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pivotTables/pivotTable3.xml" ContentType="application/vnd.openxmlformats-officedocument.spreadsheetml.pivotTable+xml"/>
  <Override PartName="/xl/pivotTables/pivotTable2.xml" ContentType="application/vnd.openxmlformats-officedocument.spreadsheetml.pivotTable+xml"/>
  <Override PartName="/xl/pivotTables/pivotTable4.xml" ContentType="application/vnd.openxmlformats-officedocument.spreadsheetml.pivotTable+xml"/>
  <Override PartName="/xl/worksheets/sheet9.xml" ContentType="application/vnd.openxmlformats-officedocument.spreadsheetml.worksheet+xml"/>
  <Override PartName="/xl/pivotTables/pivotTable1.xml" ContentType="application/vnd.openxmlformats-officedocument.spreadsheetml.pivotTable+xml"/>
  <Override PartName="/xl/theme/theme1.xml" ContentType="application/vnd.openxmlformats-officedocument.theme+xml"/>
  <Override PartName="/xl/worksheets/sheet10.xml" ContentType="application/vnd.openxmlformats-officedocument.spreadsheetml.worksheet+xml"/>
  <Override PartName="/xl/worksheets/sheet8.xml" ContentType="application/vnd.openxmlformats-officedocument.spreadsheetml.worksheet+xml"/>
  <Override PartName="/xl/styles.xml" ContentType="application/vnd.openxmlformats-officedocument.spreadsheetml.styles+xml"/>
  <Override PartName="/xl/worksheets/sheet6.xml" ContentType="application/vnd.openxmlformats-officedocument.spreadsheetml.worksheet+xml"/>
  <Override PartName="/xl/sharedStrings.xml" ContentType="application/vnd.openxmlformats-officedocument.spreadsheetml.sharedStrings+xml"/>
  <Override PartName="/xl/worksheets/sheet7.xml" ContentType="application/vnd.openxmlformats-officedocument.spreadsheetml.worksheet+xml"/>
  <Override PartName="/xl/worksheets/sheet5.xml" ContentType="application/vnd.openxmlformats-officedocument.spreadsheetml.worksheet+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ivotCache/pivotCacheRecords2.xml" ContentType="application/vnd.openxmlformats-officedocument.spreadsheetml.pivotCacheRecords+xml"/>
  <Override PartName="/xl/pivotCache/pivotCacheDefinition1.xml" ContentType="application/vnd.openxmlformats-officedocument.spreadsheetml.pivotCacheDefiniti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927"/>
  <workbookPr codeName="ThisWorkbook" defaultThemeVersion="124226"/>
  <mc:AlternateContent xmlns:mc="http://schemas.openxmlformats.org/markup-compatibility/2006">
    <mc:Choice Requires="x15">
      <x15ac:absPath xmlns:x15ac="http://schemas.microsoft.com/office/spreadsheetml/2010/11/ac" url="D:\Reyes_Graduate_School\Ebel Lab\WNV survalance\WNVS 2016\Week 25\"/>
    </mc:Choice>
  </mc:AlternateContent>
  <bookViews>
    <workbookView xWindow="0" yWindow="0" windowWidth="28800" windowHeight="15525" tabRatio="905" activeTab="1"/>
  </bookViews>
  <sheets>
    <sheet name="READ ME" sheetId="65" r:id="rId1"/>
    <sheet name="Weekly Data Input" sheetId="2" r:id="rId2"/>
    <sheet name="Weekly 009 input (- Grav, Mal)" sheetId="59" r:id="rId3"/>
    <sheet name="Total Number Of Ind" sheetId="63" r:id="rId4"/>
    <sheet name="Total Number Ind Examined " sheetId="61" r:id="rId5"/>
    <sheet name="Total Number of Pools Examined" sheetId="64" r:id="rId6"/>
    <sheet name="Total Number of WNV + Pools" sheetId="6" r:id="rId7"/>
    <sheet name="CITYINFRATE" sheetId="57" r:id="rId8"/>
    <sheet name="ZONEINFRATE" sheetId="58" r:id="rId9"/>
    <sheet name="Graphs" sheetId="5" r:id="rId10"/>
  </sheets>
  <definedNames>
    <definedName name="_xlnm._FilterDatabase" localSheetId="1" hidden="1">'Weekly Data Input'!#REF!</definedName>
  </definedNames>
  <calcPr calcId="171027"/>
  <pivotCaches>
    <pivotCache cacheId="16" r:id="rId11"/>
    <pivotCache cacheId="17" r:id="rId12"/>
  </pivotCaches>
</workbook>
</file>

<file path=xl/calcChain.xml><?xml version="1.0" encoding="utf-8"?>
<calcChain xmlns="http://schemas.openxmlformats.org/spreadsheetml/2006/main">
  <c r="M73" i="5" l="1"/>
  <c r="F12" i="5" s="1"/>
  <c r="L73" i="5"/>
  <c r="E12" i="5" s="1"/>
  <c r="L71" i="5"/>
  <c r="E10" i="5" s="1"/>
  <c r="M71" i="5"/>
  <c r="F10" i="5" s="1"/>
  <c r="M70" i="5"/>
  <c r="F9" i="5" s="1"/>
  <c r="M69" i="5"/>
  <c r="F8" i="5" s="1"/>
  <c r="M68" i="5"/>
  <c r="F7" i="5" s="1"/>
  <c r="M67" i="5"/>
  <c r="F6" i="5" s="1"/>
  <c r="L70" i="5"/>
  <c r="E9" i="5" s="1"/>
  <c r="L69" i="5"/>
  <c r="E8" i="5" s="1"/>
  <c r="L68" i="5"/>
  <c r="E7" i="5" s="1"/>
  <c r="L67" i="5"/>
  <c r="E6" i="5" s="1"/>
  <c r="J7" i="64"/>
  <c r="I11" i="6"/>
  <c r="H9" i="64"/>
  <c r="G11" i="6"/>
  <c r="I8" i="6"/>
  <c r="H8" i="64"/>
  <c r="I7" i="6"/>
  <c r="J8" i="64"/>
  <c r="I10" i="6"/>
  <c r="H7" i="6"/>
  <c r="J10" i="61"/>
  <c r="H11" i="6"/>
  <c r="K10" i="61"/>
  <c r="I9" i="6"/>
  <c r="I7" i="61"/>
  <c r="K6" i="61"/>
  <c r="I10" i="61"/>
  <c r="H7" i="64"/>
  <c r="H10" i="64"/>
  <c r="G7" i="6"/>
  <c r="G9" i="6"/>
  <c r="H9" i="6"/>
  <c r="J6" i="64"/>
  <c r="K7" i="61"/>
  <c r="J9" i="61"/>
  <c r="I6" i="64"/>
  <c r="J7" i="61"/>
  <c r="J9" i="64"/>
  <c r="I9" i="64"/>
  <c r="I8" i="61"/>
  <c r="I9" i="61"/>
  <c r="H6" i="64"/>
  <c r="K8" i="61"/>
  <c r="H8" i="6"/>
  <c r="K9" i="61"/>
  <c r="I10" i="64"/>
  <c r="J10" i="64"/>
  <c r="H10" i="6"/>
  <c r="J8" i="61"/>
  <c r="I6" i="61"/>
  <c r="I7" i="64"/>
  <c r="J6" i="61"/>
  <c r="G10" i="6"/>
  <c r="I8" i="64"/>
  <c r="G8" i="6"/>
  <c r="H9" i="63"/>
  <c r="I8" i="63"/>
  <c r="I6" i="63"/>
  <c r="H7" i="63"/>
  <c r="J8" i="63"/>
  <c r="I7" i="63"/>
  <c r="I9" i="63"/>
  <c r="H8" i="63"/>
  <c r="J7" i="63"/>
  <c r="J9" i="63"/>
  <c r="H6" i="63"/>
  <c r="I5" i="63"/>
  <c r="J6" i="63"/>
  <c r="J5" i="63"/>
  <c r="H5" i="63"/>
  <c r="F68" i="5" l="1"/>
  <c r="G73" i="5"/>
  <c r="F67" i="5"/>
  <c r="F69" i="5"/>
  <c r="G67" i="5"/>
  <c r="F70" i="5"/>
  <c r="G69" i="5"/>
  <c r="F73" i="5"/>
  <c r="G70" i="5"/>
  <c r="G68" i="5"/>
  <c r="C67" i="5"/>
  <c r="D68" i="5"/>
  <c r="C68" i="5"/>
  <c r="D73" i="5"/>
  <c r="D70" i="5"/>
  <c r="C69" i="5"/>
  <c r="D67" i="5"/>
  <c r="C73" i="5"/>
  <c r="C70" i="5"/>
  <c r="D69" i="5"/>
  <c r="C39" i="5"/>
  <c r="D37" i="5"/>
  <c r="C43" i="5"/>
  <c r="G43" i="5" s="1"/>
  <c r="C40" i="5"/>
  <c r="D39" i="5"/>
  <c r="C38" i="5"/>
  <c r="D43" i="5"/>
  <c r="H43" i="5" s="1"/>
  <c r="D40" i="5"/>
  <c r="C37" i="5"/>
  <c r="D38" i="5"/>
  <c r="J73" i="5"/>
  <c r="I73" i="5"/>
  <c r="H68" i="5" l="1"/>
  <c r="E73" i="5"/>
  <c r="H67" i="5"/>
  <c r="H69" i="5"/>
  <c r="H70" i="5"/>
  <c r="E69" i="5"/>
  <c r="E70" i="5"/>
  <c r="E68" i="5"/>
  <c r="D71" i="5"/>
  <c r="C71" i="5"/>
  <c r="E67" i="5"/>
  <c r="K73" i="5"/>
  <c r="H73" i="5"/>
  <c r="D12" i="5"/>
  <c r="H12" i="5" s="1"/>
  <c r="C12" i="5"/>
  <c r="G12" i="5" s="1"/>
  <c r="E43" i="5"/>
  <c r="I43" i="5" s="1"/>
  <c r="E71" i="5" l="1"/>
  <c r="I12" i="5"/>
  <c r="H39" i="5" l="1"/>
  <c r="H38" i="5"/>
  <c r="G40" i="5"/>
  <c r="G38" i="5"/>
  <c r="G37" i="5"/>
  <c r="H37" i="5" l="1"/>
  <c r="D6" i="5" s="1"/>
  <c r="G39" i="5"/>
  <c r="C8" i="5" s="1"/>
  <c r="H40" i="5"/>
  <c r="D9" i="5" s="1"/>
  <c r="E37" i="5"/>
  <c r="D41" i="5"/>
  <c r="C41" i="5"/>
  <c r="E38" i="5"/>
  <c r="I38" i="5" s="1"/>
  <c r="E40" i="5"/>
  <c r="E39" i="5"/>
  <c r="K70" i="5"/>
  <c r="K69" i="5"/>
  <c r="K68" i="5"/>
  <c r="K67" i="5"/>
  <c r="J70" i="5"/>
  <c r="J69" i="5"/>
  <c r="J68" i="5"/>
  <c r="J67" i="5"/>
  <c r="I67" i="5"/>
  <c r="I70" i="5"/>
  <c r="I69" i="5"/>
  <c r="I68" i="5"/>
  <c r="D8" i="5"/>
  <c r="D7" i="5"/>
  <c r="C9" i="5"/>
  <c r="C7" i="5"/>
  <c r="C6" i="5"/>
  <c r="I37" i="5" l="1"/>
  <c r="I39" i="5"/>
  <c r="G41" i="5"/>
  <c r="C10" i="5" s="1"/>
  <c r="G10" i="5" s="1"/>
  <c r="I40" i="5"/>
  <c r="H41" i="5"/>
  <c r="D10" i="5" s="1"/>
  <c r="H10" i="5" s="1"/>
  <c r="J71" i="5"/>
  <c r="K71" i="5"/>
  <c r="I71" i="5"/>
  <c r="F71" i="5"/>
  <c r="G71" i="5"/>
  <c r="E41" i="5"/>
  <c r="I41" i="5" s="1"/>
  <c r="G8" i="5"/>
  <c r="G9" i="5"/>
  <c r="G6" i="5"/>
  <c r="H6" i="5"/>
  <c r="G7" i="5"/>
  <c r="H7" i="5"/>
  <c r="H8" i="5"/>
  <c r="H9" i="5"/>
  <c r="H71" i="5" l="1"/>
  <c r="I10" i="5"/>
  <c r="I9" i="5"/>
  <c r="I8" i="5"/>
  <c r="I6" i="5"/>
  <c r="I7" i="5"/>
</calcChain>
</file>

<file path=xl/sharedStrings.xml><?xml version="1.0" encoding="utf-8"?>
<sst xmlns="http://schemas.openxmlformats.org/spreadsheetml/2006/main" count="1573" uniqueCount="386">
  <si>
    <t>Trap Date</t>
  </si>
  <si>
    <t>(All)</t>
  </si>
  <si>
    <t>Sum of Total</t>
  </si>
  <si>
    <t>Column Labels</t>
  </si>
  <si>
    <t>Row Labels</t>
  </si>
  <si>
    <t>pipiens</t>
  </si>
  <si>
    <t>tarsalis</t>
  </si>
  <si>
    <t>Grand Total</t>
  </si>
  <si>
    <t>Week</t>
  </si>
  <si>
    <t>LV</t>
  </si>
  <si>
    <t xml:space="preserve">Week: </t>
  </si>
  <si>
    <r>
      <t>Mean abundance of females per trap night</t>
    </r>
    <r>
      <rPr>
        <vertAlign val="superscript"/>
        <sz val="10"/>
        <color theme="1"/>
        <rFont val="Arial"/>
        <family val="2"/>
      </rPr>
      <t>1</t>
    </r>
  </si>
  <si>
    <t>Estimate for proportion of</t>
  </si>
  <si>
    <r>
      <t>females infected with WNV</t>
    </r>
    <r>
      <rPr>
        <vertAlign val="superscript"/>
        <sz val="10"/>
        <color theme="1"/>
        <rFont val="Arial"/>
        <family val="2"/>
      </rPr>
      <t>2</t>
    </r>
  </si>
  <si>
    <t>Vector Index</t>
  </si>
  <si>
    <t>Cx. pipiens</t>
  </si>
  <si>
    <t>Cx. tarsalis</t>
  </si>
  <si>
    <t xml:space="preserve">Cx. </t>
  </si>
  <si>
    <r>
      <t>Cx. pipiens</t>
    </r>
    <r>
      <rPr>
        <b/>
        <i/>
        <vertAlign val="superscript"/>
        <sz val="10"/>
        <color theme="1"/>
        <rFont val="Arial"/>
        <family val="2"/>
      </rPr>
      <t>3</t>
    </r>
  </si>
  <si>
    <r>
      <t>Cx. tarsalis</t>
    </r>
    <r>
      <rPr>
        <b/>
        <i/>
        <vertAlign val="superscript"/>
        <sz val="10"/>
        <color theme="1"/>
        <rFont val="Arial"/>
        <family val="2"/>
      </rPr>
      <t>4</t>
    </r>
  </si>
  <si>
    <t xml:space="preserve">All </t>
  </si>
  <si>
    <r>
      <t>Culex</t>
    </r>
    <r>
      <rPr>
        <b/>
        <i/>
        <vertAlign val="superscript"/>
        <sz val="10"/>
        <color theme="1"/>
        <rFont val="Arial"/>
        <family val="2"/>
      </rPr>
      <t>5</t>
    </r>
  </si>
  <si>
    <t>FC – Citywide</t>
  </si>
  <si>
    <t>Current year</t>
  </si>
  <si>
    <r>
      <t>Historical average</t>
    </r>
    <r>
      <rPr>
        <vertAlign val="superscript"/>
        <sz val="9"/>
        <color theme="1"/>
        <rFont val="Arial"/>
        <family val="2"/>
      </rPr>
      <t>1</t>
    </r>
  </si>
  <si>
    <t>Total number</t>
  </si>
  <si>
    <t>females collected</t>
  </si>
  <si>
    <t>Number CDC light trap nights</t>
  </si>
  <si>
    <t>Mean abundance of females per CDC light trap night</t>
  </si>
  <si>
    <r>
      <t xml:space="preserve">All </t>
    </r>
    <r>
      <rPr>
        <i/>
        <sz val="10"/>
        <color theme="1"/>
        <rFont val="Arial"/>
        <family val="2"/>
      </rPr>
      <t>Culex</t>
    </r>
  </si>
  <si>
    <r>
      <t>Cx. pipiens</t>
    </r>
    <r>
      <rPr>
        <i/>
        <vertAlign val="superscript"/>
        <sz val="10"/>
        <color theme="1"/>
        <rFont val="Arial"/>
        <family val="2"/>
      </rPr>
      <t>1</t>
    </r>
  </si>
  <si>
    <r>
      <t>Cx. tarsalis</t>
    </r>
    <r>
      <rPr>
        <i/>
        <vertAlign val="superscript"/>
        <sz val="10"/>
        <color theme="1"/>
        <rFont val="Arial"/>
        <family val="2"/>
      </rPr>
      <t>2</t>
    </r>
  </si>
  <si>
    <r>
      <t>Culex</t>
    </r>
    <r>
      <rPr>
        <i/>
        <vertAlign val="superscript"/>
        <sz val="10"/>
        <color theme="1"/>
        <rFont val="Arial"/>
        <family val="2"/>
      </rPr>
      <t>3</t>
    </r>
  </si>
  <si>
    <t xml:space="preserve">Total number </t>
  </si>
  <si>
    <t>Total number individuals examined</t>
  </si>
  <si>
    <t>Total number pools examined</t>
  </si>
  <si>
    <t>WNV-infected pools</t>
  </si>
  <si>
    <r>
      <t>Estimate for WNV infection rate per 1,000 females</t>
    </r>
    <r>
      <rPr>
        <vertAlign val="superscript"/>
        <sz val="9"/>
        <color theme="1"/>
        <rFont val="Arial"/>
        <family val="2"/>
      </rPr>
      <t>1</t>
    </r>
  </si>
  <si>
    <r>
      <t xml:space="preserve">All </t>
    </r>
    <r>
      <rPr>
        <i/>
        <sz val="9"/>
        <color theme="1"/>
        <rFont val="Arial"/>
        <family val="2"/>
      </rPr>
      <t>Culex</t>
    </r>
  </si>
  <si>
    <t>Year</t>
  </si>
  <si>
    <t>County</t>
  </si>
  <si>
    <t>Account</t>
  </si>
  <si>
    <t>Genus</t>
  </si>
  <si>
    <t>Sex</t>
  </si>
  <si>
    <t>Total</t>
  </si>
  <si>
    <t>Comments</t>
  </si>
  <si>
    <t>Zone</t>
  </si>
  <si>
    <t>FC</t>
  </si>
  <si>
    <t>GRAPH 1</t>
  </si>
  <si>
    <t>Count of CSU Pool</t>
  </si>
  <si>
    <t>Graph 2a</t>
  </si>
  <si>
    <t>Graph 2b</t>
  </si>
  <si>
    <t>Graph 3a</t>
  </si>
  <si>
    <t>Graph 3b</t>
  </si>
  <si>
    <t>Graph 1a</t>
  </si>
  <si>
    <t>Corresponds to 3a</t>
  </si>
  <si>
    <t>FC – Zone NW</t>
  </si>
  <si>
    <t>FC – Zone NE</t>
  </si>
  <si>
    <t>FC – Zone SW</t>
  </si>
  <si>
    <t>FC – Zone SE</t>
  </si>
  <si>
    <t>NW</t>
  </si>
  <si>
    <t>NE</t>
  </si>
  <si>
    <t>SE</t>
  </si>
  <si>
    <t>SW</t>
  </si>
  <si>
    <t>MLE</t>
  </si>
  <si>
    <t>CITY</t>
  </si>
  <si>
    <t>SPECIES</t>
  </si>
  <si>
    <t>ZONE</t>
  </si>
  <si>
    <t>Trap Number</t>
  </si>
  <si>
    <t>Trap Description</t>
  </si>
  <si>
    <t>Light / Gravid</t>
  </si>
  <si>
    <t>Malfunction</t>
  </si>
  <si>
    <t>Cx tarsalis</t>
  </si>
  <si>
    <t>Cx pipiens</t>
  </si>
  <si>
    <t>Total CX</t>
  </si>
  <si>
    <t>Total Females</t>
  </si>
  <si>
    <t>Sum of Total CX</t>
  </si>
  <si>
    <t>Sum of Cx tarsalis</t>
  </si>
  <si>
    <t>Sum of Cx pipiens</t>
  </si>
  <si>
    <t>FROM WEEKLY DATA INPUT</t>
  </si>
  <si>
    <t>CSU Pool Number     (CMC enters)</t>
  </si>
  <si>
    <t>IDA Pool (CSU enters, leave blank)</t>
  </si>
  <si>
    <t>Collection Site (Trap ID)</t>
  </si>
  <si>
    <t>Method (Light or Gravid)</t>
  </si>
  <si>
    <t>Spp</t>
  </si>
  <si>
    <t>No. Gravid</t>
  </si>
  <si>
    <t>No. Deplete</t>
  </si>
  <si>
    <t>Test code (CSU enters)</t>
  </si>
  <si>
    <t>Test Result (CSU enters)</t>
  </si>
  <si>
    <t>FROM 009 FILE</t>
  </si>
  <si>
    <t>Corresponds to 2a</t>
  </si>
  <si>
    <t>Count of CSU Pool Number     (CMC enters)</t>
  </si>
  <si>
    <t>Sum of Test code (CSU enters)</t>
  </si>
  <si>
    <t>PIR-City</t>
  </si>
  <si>
    <t>PIR-Zone</t>
  </si>
  <si>
    <t>Things to note:</t>
  </si>
  <si>
    <t>Change all Loveland Zones to LV</t>
  </si>
  <si>
    <t>Copy and Paste the values from these files into the corresponding tabs each week and save a copy of original file</t>
  </si>
  <si>
    <t>Each Pivot Table directs you to the data set it is using and the graph it is sending data to</t>
  </si>
  <si>
    <t>Must make "PIR-City" and "PIR-Zone" each week and save them as values, not equations</t>
  </si>
  <si>
    <t>This weekly skeleton is built to incorporate the "009" data sheet and the "weekly" datasheet from CMC.</t>
  </si>
  <si>
    <t>Values in tabs are routed to values in graphs save the CITYINFRATE and ZONEINFRATE. You must copy and paste values from the "Pooled Inf Rate" software into the appropriate places in the worksheet.</t>
  </si>
  <si>
    <t>009 File does NOT include gravid traps or malfunction traps</t>
  </si>
  <si>
    <t>All "sp." are to be changed to pipiens in 009 AND data sheet</t>
  </si>
  <si>
    <t>Highlite all positives in Weekly Data Input</t>
  </si>
  <si>
    <t>CSU-8909</t>
  </si>
  <si>
    <t>LC</t>
  </si>
  <si>
    <t>FC-034</t>
  </si>
  <si>
    <t>L</t>
  </si>
  <si>
    <t>Cx.</t>
  </si>
  <si>
    <t>F</t>
  </si>
  <si>
    <t>CSU-8910</t>
  </si>
  <si>
    <t>FC-014</t>
  </si>
  <si>
    <t>CSU-8911</t>
  </si>
  <si>
    <t>CSU-8912</t>
  </si>
  <si>
    <t>FC-038</t>
  </si>
  <si>
    <t>CSU-8913</t>
  </si>
  <si>
    <t>FC-040gr</t>
  </si>
  <si>
    <t>G</t>
  </si>
  <si>
    <t>CSU-8914</t>
  </si>
  <si>
    <t>LV-069</t>
  </si>
  <si>
    <t>CSU-8915</t>
  </si>
  <si>
    <t>FC-066</t>
  </si>
  <si>
    <t>CSU-8916</t>
  </si>
  <si>
    <t>CSU-8917</t>
  </si>
  <si>
    <t>LV-095</t>
  </si>
  <si>
    <t>CSU-8918</t>
  </si>
  <si>
    <t>CSU-8919</t>
  </si>
  <si>
    <t>CSU-8920</t>
  </si>
  <si>
    <t>FC-092gr</t>
  </si>
  <si>
    <t>CSU-8921</t>
  </si>
  <si>
    <t>FC-091gr</t>
  </si>
  <si>
    <t>CSU-8922</t>
  </si>
  <si>
    <t>FC-040</t>
  </si>
  <si>
    <t>CSU-8923</t>
  </si>
  <si>
    <t>CSU-8924</t>
  </si>
  <si>
    <t>FC-019</t>
  </si>
  <si>
    <t>CSU-8925</t>
  </si>
  <si>
    <t>FC-066gr</t>
  </si>
  <si>
    <t>CSU-8926</t>
  </si>
  <si>
    <t>FC-072</t>
  </si>
  <si>
    <t>CSU-8927</t>
  </si>
  <si>
    <t>CSU-8928</t>
  </si>
  <si>
    <t>FC-006</t>
  </si>
  <si>
    <t>CSU-8929</t>
  </si>
  <si>
    <t>CSU-8930</t>
  </si>
  <si>
    <t>FC-067</t>
  </si>
  <si>
    <t>CSU-8931</t>
  </si>
  <si>
    <t>CSU-8932</t>
  </si>
  <si>
    <t>FC-036</t>
  </si>
  <si>
    <t>CSU-8933</t>
  </si>
  <si>
    <t>LV-110</t>
  </si>
  <si>
    <t>CSU-8934</t>
  </si>
  <si>
    <t>LV-089</t>
  </si>
  <si>
    <t>CSU-8935</t>
  </si>
  <si>
    <t>CSU-8936</t>
  </si>
  <si>
    <t>CSU-8937</t>
  </si>
  <si>
    <t>LV-104</t>
  </si>
  <si>
    <t>CSU-8938</t>
  </si>
  <si>
    <t>CSU-8939</t>
  </si>
  <si>
    <t>FC-064</t>
  </si>
  <si>
    <t>CSU-8940</t>
  </si>
  <si>
    <t>FC-039</t>
  </si>
  <si>
    <t>CSU-8941</t>
  </si>
  <si>
    <t>FC-050</t>
  </si>
  <si>
    <t>CSU-8942</t>
  </si>
  <si>
    <t>FC-031</t>
  </si>
  <si>
    <t>CSU-8943</t>
  </si>
  <si>
    <t>FC-053</t>
  </si>
  <si>
    <t>CSU-8944</t>
  </si>
  <si>
    <t>CSU-8945</t>
  </si>
  <si>
    <t>FC-027</t>
  </si>
  <si>
    <t>CSU-8946</t>
  </si>
  <si>
    <t>FC-023</t>
  </si>
  <si>
    <t>CSU-8947</t>
  </si>
  <si>
    <t>FC-075gr</t>
  </si>
  <si>
    <t>CSU-8948</t>
  </si>
  <si>
    <t>FC-004</t>
  </si>
  <si>
    <t>CSU-8949</t>
  </si>
  <si>
    <t>FC-075</t>
  </si>
  <si>
    <t>CSU-8950</t>
  </si>
  <si>
    <t>FC-059</t>
  </si>
  <si>
    <t>CSU-8951</t>
  </si>
  <si>
    <t>FC-088gr</t>
  </si>
  <si>
    <t>CSU-8952</t>
  </si>
  <si>
    <t>FC-074</t>
  </si>
  <si>
    <t>CSU-8953</t>
  </si>
  <si>
    <t>CSU-8954</t>
  </si>
  <si>
    <t>FC-073</t>
  </si>
  <si>
    <t>CSU-8955</t>
  </si>
  <si>
    <t>CSU-8956</t>
  </si>
  <si>
    <t>FC-041</t>
  </si>
  <si>
    <t>CSU-8957</t>
  </si>
  <si>
    <t>FC-090gr</t>
  </si>
  <si>
    <t>CSU-8958</t>
  </si>
  <si>
    <t>CSU-8959</t>
  </si>
  <si>
    <t>FC-061</t>
  </si>
  <si>
    <t>CSU-8960</t>
  </si>
  <si>
    <t>CSU-8961</t>
  </si>
  <si>
    <t>FC-060</t>
  </si>
  <si>
    <t>CSU-8962</t>
  </si>
  <si>
    <t>CSU-8963</t>
  </si>
  <si>
    <t>FC-063gr</t>
  </si>
  <si>
    <t>CSU-8964</t>
  </si>
  <si>
    <t>LV-020</t>
  </si>
  <si>
    <t>CSU-8965</t>
  </si>
  <si>
    <t>FC-063</t>
  </si>
  <si>
    <t>CSU-8966</t>
  </si>
  <si>
    <t>FC-052</t>
  </si>
  <si>
    <t>CSU-8967</t>
  </si>
  <si>
    <t>CSU-8968</t>
  </si>
  <si>
    <t>FC-058</t>
  </si>
  <si>
    <t>CSU-8969</t>
  </si>
  <si>
    <t>FC-049</t>
  </si>
  <si>
    <t>CSU-8970</t>
  </si>
  <si>
    <t>FC-001</t>
  </si>
  <si>
    <t>CSU-8971</t>
  </si>
  <si>
    <t>FC-011</t>
  </si>
  <si>
    <t>CSU-8972</t>
  </si>
  <si>
    <t>CSU-8973</t>
  </si>
  <si>
    <t>FC-093</t>
  </si>
  <si>
    <t>CSU-8974</t>
  </si>
  <si>
    <t>CSU-8975</t>
  </si>
  <si>
    <t>FC-029gr</t>
  </si>
  <si>
    <t>CSU-8976</t>
  </si>
  <si>
    <t xml:space="preserve">FC-029 </t>
  </si>
  <si>
    <t>CSU-8977</t>
  </si>
  <si>
    <t>FC-054</t>
  </si>
  <si>
    <t>CSU-8978</t>
  </si>
  <si>
    <t>CSU-8979</t>
  </si>
  <si>
    <t>FC-089gr</t>
  </si>
  <si>
    <t>CSU-8980</t>
  </si>
  <si>
    <t>FC-062</t>
  </si>
  <si>
    <t>06/21/2016</t>
  </si>
  <si>
    <t>9th and Des Moines</t>
  </si>
  <si>
    <t>LIGHT</t>
  </si>
  <si>
    <t>NO</t>
  </si>
  <si>
    <t>06/20/2016</t>
  </si>
  <si>
    <t>LC-050</t>
  </si>
  <si>
    <t>Timnath-Wildwing</t>
  </si>
  <si>
    <t>06/22/2016</t>
  </si>
  <si>
    <t>LV-067</t>
  </si>
  <si>
    <t>Del Norte Private Park</t>
  </si>
  <si>
    <t>County Road 20C and County Road 9</t>
  </si>
  <si>
    <t>Waterfront at Boyd Lake</t>
  </si>
  <si>
    <t>LV-078</t>
  </si>
  <si>
    <t>Seven Lakes Park</t>
  </si>
  <si>
    <t>LV-042</t>
  </si>
  <si>
    <t>2001 South Douglas</t>
  </si>
  <si>
    <t>Cattail Pond</t>
  </si>
  <si>
    <t>Prospect Ponds @ Drake Water</t>
  </si>
  <si>
    <t>Egret and Rookery</t>
  </si>
  <si>
    <t>Fossil Creek South (Greenstone)</t>
  </si>
  <si>
    <t>Willow Springs</t>
  </si>
  <si>
    <t>LC-046</t>
  </si>
  <si>
    <t>Eagle Ranch Estates</t>
  </si>
  <si>
    <t>Horseshoe Peninsula</t>
  </si>
  <si>
    <t>Poudre River Drive at bike trail</t>
  </si>
  <si>
    <t>LV-088</t>
  </si>
  <si>
    <t>2229 Arikaree Court</t>
  </si>
  <si>
    <t>06/23/2016</t>
  </si>
  <si>
    <t>LV-080</t>
  </si>
  <si>
    <t>Harding and Reagan North</t>
  </si>
  <si>
    <t>422 Lake Drive Alley</t>
  </si>
  <si>
    <t>LV-004</t>
  </si>
  <si>
    <t>29th and Madison</t>
  </si>
  <si>
    <t>Redwood</t>
  </si>
  <si>
    <t>LC-038</t>
  </si>
  <si>
    <t>Turman Bruns HOA</t>
  </si>
  <si>
    <t>LV-117</t>
  </si>
  <si>
    <t>Centerra</t>
  </si>
  <si>
    <t>North Linden</t>
  </si>
  <si>
    <t>LV-120</t>
  </si>
  <si>
    <t>End of City Limits North</t>
  </si>
  <si>
    <t>Bens Park</t>
  </si>
  <si>
    <t>Magic Carpet</t>
  </si>
  <si>
    <t>LV-124</t>
  </si>
  <si>
    <t>Storage Yards 2nd St. South West</t>
  </si>
  <si>
    <t>LV-066</t>
  </si>
  <si>
    <t>Outlet Mall Apartments</t>
  </si>
  <si>
    <t>LC-053</t>
  </si>
  <si>
    <t>Berthoud West</t>
  </si>
  <si>
    <t>LC-032</t>
  </si>
  <si>
    <t>River Lakes Estates/Paradise Acres</t>
  </si>
  <si>
    <t>LC-051</t>
  </si>
  <si>
    <t>Timnath-Saratoga Falls</t>
  </si>
  <si>
    <t>FC-029</t>
  </si>
  <si>
    <t>603 Gilgalad Way</t>
  </si>
  <si>
    <t>LV-098</t>
  </si>
  <si>
    <t>Benson Park</t>
  </si>
  <si>
    <t>737 Parliament Court</t>
  </si>
  <si>
    <t>LV-097</t>
  </si>
  <si>
    <t>Farisita at Rist Benson Drainage</t>
  </si>
  <si>
    <t>LV-116</t>
  </si>
  <si>
    <t>Sundisk and 13E</t>
  </si>
  <si>
    <t>Boltz</t>
  </si>
  <si>
    <t>Big Thompson Natural Area</t>
  </si>
  <si>
    <t>LV-125</t>
  </si>
  <si>
    <t>8th St. No Name</t>
  </si>
  <si>
    <t>LV-021</t>
  </si>
  <si>
    <t>Linda and 26th Street SW</t>
  </si>
  <si>
    <t>Country Club</t>
  </si>
  <si>
    <t>Fort Collins Vistors Center</t>
  </si>
  <si>
    <t>LV-077</t>
  </si>
  <si>
    <t>1105 East First Street</t>
  </si>
  <si>
    <t>LC-010</t>
  </si>
  <si>
    <t>Timnath-Downtown</t>
  </si>
  <si>
    <t>Red Fox Meadows FCNA</t>
  </si>
  <si>
    <t>Lopez Elementary School</t>
  </si>
  <si>
    <t>LV-019</t>
  </si>
  <si>
    <t>Jocelyn and Eagle</t>
  </si>
  <si>
    <t>Rockcreek</t>
  </si>
  <si>
    <t>West Chase @ Kechter Farm</t>
  </si>
  <si>
    <t>LV-112</t>
  </si>
  <si>
    <t>915 South Boise</t>
  </si>
  <si>
    <t>LC-022</t>
  </si>
  <si>
    <t>Timnath-Golf Course</t>
  </si>
  <si>
    <t>LV-074</t>
  </si>
  <si>
    <t>Jefferson and 11th</t>
  </si>
  <si>
    <t>Hemlock</t>
  </si>
  <si>
    <t>Lochside Lane</t>
  </si>
  <si>
    <t>Casa Grande and Downing</t>
  </si>
  <si>
    <t>808 Pondersosa</t>
  </si>
  <si>
    <t>LV-087</t>
  </si>
  <si>
    <t>2444 Derby Hill Road</t>
  </si>
  <si>
    <t>Holley Environ. Plant Research Ctr</t>
  </si>
  <si>
    <t>LV-099</t>
  </si>
  <si>
    <t>Cattails Golf Course</t>
  </si>
  <si>
    <t>Spring Creek Trail @ Michener Dr</t>
  </si>
  <si>
    <t>Edora Park</t>
  </si>
  <si>
    <t>LV-093</t>
  </si>
  <si>
    <t>Pond at Silver Lake</t>
  </si>
  <si>
    <t>LC-001</t>
  </si>
  <si>
    <t>Berthoud</t>
  </si>
  <si>
    <t>LC-017</t>
  </si>
  <si>
    <t>Bonnell West 2</t>
  </si>
  <si>
    <t>Golden Meadows Ditch</t>
  </si>
  <si>
    <t>LV-100</t>
  </si>
  <si>
    <t>Lynx Runoff @ Blue Tree Real Estate</t>
  </si>
  <si>
    <t>LV-118</t>
  </si>
  <si>
    <t>Golf Vista at Golf Course Pond</t>
  </si>
  <si>
    <t>North Sage Creek</t>
  </si>
  <si>
    <t>Bighorn Drive</t>
  </si>
  <si>
    <t>LV-014</t>
  </si>
  <si>
    <t>Estrella Park</t>
  </si>
  <si>
    <t>Golden Currant</t>
  </si>
  <si>
    <t>118 Grant</t>
  </si>
  <si>
    <t>Fishback</t>
  </si>
  <si>
    <t>LV-105</t>
  </si>
  <si>
    <t>West 43rd RR</t>
  </si>
  <si>
    <t>LV-102</t>
  </si>
  <si>
    <t>Glen Isle Ditch and Pond</t>
  </si>
  <si>
    <t>Waters Edge at Blue Mesa</t>
  </si>
  <si>
    <t>San Luis</t>
  </si>
  <si>
    <t>Springwood and Lockwood</t>
  </si>
  <si>
    <t>LV-114</t>
  </si>
  <si>
    <t>The Ponds at Jill Drive</t>
  </si>
  <si>
    <t>LC-052</t>
  </si>
  <si>
    <t>Walmart East at Poudre River</t>
  </si>
  <si>
    <t>FC-069</t>
  </si>
  <si>
    <t>Linden Lake Rd</t>
  </si>
  <si>
    <t>FC-046</t>
  </si>
  <si>
    <t>725 Westshore Court</t>
  </si>
  <si>
    <t>FC-047</t>
  </si>
  <si>
    <t>Keenland &amp; Twin Oak</t>
  </si>
  <si>
    <t>LC-049</t>
  </si>
  <si>
    <t>Berthoud North of Bunyan</t>
  </si>
  <si>
    <t>LV-113</t>
  </si>
  <si>
    <t>The Springs at Marianna</t>
  </si>
  <si>
    <t>FC-068</t>
  </si>
  <si>
    <t>502 Crest Drive</t>
  </si>
  <si>
    <t>FC-071</t>
  </si>
  <si>
    <t>Silvergate Road</t>
  </si>
  <si>
    <t>EBO</t>
  </si>
  <si>
    <t>FC-037</t>
  </si>
  <si>
    <t>Chelsea Ridge</t>
  </si>
  <si>
    <t>FC-057</t>
  </si>
  <si>
    <t>Registry Ridge- End of Ranger Dr</t>
  </si>
  <si>
    <t>LV-121</t>
  </si>
  <si>
    <t>Bayfield and Windsor</t>
  </si>
  <si>
    <t>LV-122</t>
  </si>
  <si>
    <t>Fallgold</t>
  </si>
  <si>
    <t>FC-015</t>
  </si>
  <si>
    <t>Stuart and Dorset</t>
  </si>
  <si>
    <t>Negative</t>
  </si>
  <si>
    <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</si>
</sst>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m/d/yy;@"/>
    <numFmt numFmtId="165" formatCode="00"/>
    <numFmt numFmtId="166" formatCode="0.0"/>
    <numFmt numFmtId="167" formatCode="0.000"/>
    <numFmt numFmtId="168" formatCode="0.0000"/>
  </numFmts>
  <fonts count="17" x14ac:knownFonts="1">
    <font>
      <sz val="11"/>
      <color theme="1"/>
      <name val="Calibri"/>
      <family val="2"/>
      <scheme val="minor"/>
    </font>
    <font>
      <sz val="10"/>
      <name val="Arial"/>
      <family val="2"/>
      <charset val="1"/>
    </font>
    <font>
      <sz val="10"/>
      <color theme="1"/>
      <name val="Arial"/>
      <family val="2"/>
    </font>
    <font>
      <vertAlign val="superscript"/>
      <sz val="10"/>
      <color theme="1"/>
      <name val="Arial"/>
      <family val="2"/>
    </font>
    <font>
      <b/>
      <sz val="10"/>
      <color theme="1"/>
      <name val="Arial"/>
      <family val="2"/>
    </font>
    <font>
      <i/>
      <sz val="10"/>
      <color theme="1"/>
      <name val="Arial"/>
      <family val="2"/>
    </font>
    <font>
      <b/>
      <i/>
      <sz val="10"/>
      <color theme="1"/>
      <name val="Arial"/>
      <family val="2"/>
    </font>
    <font>
      <b/>
      <i/>
      <vertAlign val="superscript"/>
      <sz val="10"/>
      <color theme="1"/>
      <name val="Arial"/>
      <family val="2"/>
    </font>
    <font>
      <sz val="9"/>
      <color theme="1"/>
      <name val="Arial"/>
      <family val="2"/>
    </font>
    <font>
      <vertAlign val="superscript"/>
      <sz val="9"/>
      <color theme="1"/>
      <name val="Arial"/>
      <family val="2"/>
    </font>
    <font>
      <i/>
      <vertAlign val="superscript"/>
      <sz val="10"/>
      <color theme="1"/>
      <name val="Arial"/>
      <family val="2"/>
    </font>
    <font>
      <i/>
      <sz val="9"/>
      <color theme="1"/>
      <name val="Arial"/>
      <family val="2"/>
    </font>
    <font>
      <b/>
      <sz val="11"/>
      <color theme="1"/>
      <name val="Calibri"/>
      <family val="2"/>
      <scheme val="minor"/>
    </font>
    <font>
      <b/>
      <sz val="8"/>
      <name val="Arial"/>
      <family val="2"/>
    </font>
    <font>
      <sz val="8"/>
      <name val="Arial"/>
      <family val="2"/>
    </font>
    <font>
      <b/>
      <u/>
      <sz val="11"/>
      <color theme="1"/>
      <name val="Calibri"/>
      <family val="2"/>
      <scheme val="minor"/>
    </font>
    <font>
      <sz val="9"/>
      <color rgb="FF000000"/>
      <name val="Arial"/>
      <family val="2"/>
    </font>
  </fonts>
  <fills count="5">
    <fill>
      <patternFill patternType="none"/>
    </fill>
    <fill>
      <patternFill patternType="gray125"/>
    </fill>
    <fill>
      <patternFill patternType="solid">
        <fgColor theme="4" tint="0.79998168889431442"/>
        <bgColor theme="4" tint="0.79998168889431442"/>
      </patternFill>
    </fill>
    <fill>
      <patternFill patternType="solid">
        <fgColor rgb="FFFFFF00"/>
        <bgColor indexed="64"/>
      </patternFill>
    </fill>
    <fill>
      <patternFill patternType="solid">
        <fgColor theme="0" tint="-0.34998626667073579"/>
        <bgColor indexed="64"/>
      </patternFill>
    </fill>
  </fills>
  <borders count="16">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thin">
        <color theme="4" tint="0.3999755851924192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1" fillId="0" borderId="0"/>
  </cellStyleXfs>
  <cellXfs count="100">
    <xf numFmtId="0" fontId="0" fillId="0" borderId="0" xfId="0"/>
    <xf numFmtId="0" fontId="0" fillId="0" borderId="0" xfId="0" applyAlignment="1">
      <alignment horizontal="left"/>
    </xf>
    <xf numFmtId="0" fontId="0" fillId="0" borderId="0" xfId="0" applyNumberFormat="1"/>
    <xf numFmtId="0" fontId="0" fillId="0" borderId="0" xfId="0" pivotButton="1"/>
    <xf numFmtId="0" fontId="2" fillId="0" borderId="1" xfId="0" applyFont="1" applyBorder="1" applyAlignment="1">
      <alignment vertical="center" wrapText="1"/>
    </xf>
    <xf numFmtId="0" fontId="2" fillId="0" borderId="2" xfId="0" applyFont="1" applyBorder="1" applyAlignment="1">
      <alignment vertical="center" wrapText="1"/>
    </xf>
    <xf numFmtId="0" fontId="0" fillId="0" borderId="3" xfId="0" applyBorder="1" applyAlignment="1">
      <alignment vertical="top" wrapText="1"/>
    </xf>
    <xf numFmtId="0" fontId="5" fillId="0" borderId="6" xfId="0" applyFont="1" applyBorder="1" applyAlignment="1">
      <alignment horizontal="center" vertical="center" wrapText="1"/>
    </xf>
    <xf numFmtId="0" fontId="5" fillId="0" borderId="8" xfId="0" applyFont="1" applyBorder="1" applyAlignment="1">
      <alignment horizontal="center" vertical="center" wrapText="1"/>
    </xf>
    <xf numFmtId="0" fontId="4" fillId="0" borderId="6" xfId="0" applyFont="1" applyBorder="1" applyAlignment="1">
      <alignment horizontal="center" vertical="center" wrapText="1"/>
    </xf>
    <xf numFmtId="0" fontId="6" fillId="0" borderId="8" xfId="0" applyFont="1" applyBorder="1" applyAlignment="1">
      <alignment horizontal="center" vertical="center" wrapText="1"/>
    </xf>
    <xf numFmtId="0" fontId="2" fillId="0" borderId="3" xfId="0" applyFont="1" applyBorder="1" applyAlignment="1">
      <alignment vertical="center" wrapText="1"/>
    </xf>
    <xf numFmtId="0" fontId="2" fillId="0" borderId="8" xfId="0" applyFont="1" applyBorder="1" applyAlignment="1">
      <alignment horizontal="center" vertical="center" wrapText="1"/>
    </xf>
    <xf numFmtId="0" fontId="0" fillId="0" borderId="8" xfId="0" applyBorder="1" applyAlignment="1">
      <alignment vertical="top" wrapText="1"/>
    </xf>
    <xf numFmtId="0" fontId="2" fillId="0" borderId="6" xfId="0" applyFont="1" applyBorder="1" applyAlignment="1">
      <alignment horizontal="center" vertical="center" wrapText="1"/>
    </xf>
    <xf numFmtId="0" fontId="2" fillId="0" borderId="5" xfId="0" applyFont="1" applyBorder="1" applyAlignment="1">
      <alignment horizontal="center" vertical="center" wrapText="1"/>
    </xf>
    <xf numFmtId="0" fontId="8" fillId="0" borderId="1" xfId="0" applyFont="1" applyBorder="1" applyAlignment="1">
      <alignment vertical="center" wrapText="1"/>
    </xf>
    <xf numFmtId="0" fontId="8" fillId="0" borderId="2" xfId="0" applyFont="1" applyBorder="1" applyAlignment="1">
      <alignment vertical="center" wrapText="1"/>
    </xf>
    <xf numFmtId="0" fontId="8" fillId="0" borderId="3" xfId="0" applyFont="1" applyBorder="1" applyAlignment="1">
      <alignment vertical="center" wrapText="1"/>
    </xf>
    <xf numFmtId="0" fontId="8" fillId="0" borderId="5" xfId="0" applyFont="1" applyBorder="1" applyAlignment="1">
      <alignment horizontal="center" vertical="center" wrapText="1"/>
    </xf>
    <xf numFmtId="0" fontId="8" fillId="0" borderId="6" xfId="0" applyFont="1" applyBorder="1" applyAlignment="1">
      <alignment horizontal="center" vertical="center" wrapText="1"/>
    </xf>
    <xf numFmtId="0" fontId="8" fillId="0" borderId="8" xfId="0" applyFont="1" applyBorder="1" applyAlignment="1">
      <alignment horizontal="center" vertical="center" wrapText="1"/>
    </xf>
    <xf numFmtId="0" fontId="0" fillId="0" borderId="6" xfId="0" applyBorder="1" applyAlignment="1">
      <alignment vertical="top" wrapText="1"/>
    </xf>
    <xf numFmtId="0" fontId="11" fillId="0" borderId="8" xfId="0" applyFont="1" applyBorder="1" applyAlignment="1">
      <alignment horizontal="center" vertical="center" wrapText="1"/>
    </xf>
    <xf numFmtId="0" fontId="12" fillId="2" borderId="0" xfId="0" applyFont="1" applyFill="1"/>
    <xf numFmtId="0" fontId="12" fillId="2" borderId="12" xfId="0" applyFont="1" applyFill="1" applyBorder="1"/>
    <xf numFmtId="2" fontId="2" fillId="0" borderId="8" xfId="0" applyNumberFormat="1" applyFont="1" applyBorder="1" applyAlignment="1">
      <alignment horizontal="center" vertical="center" wrapText="1"/>
    </xf>
    <xf numFmtId="166" fontId="2" fillId="0" borderId="6" xfId="0" applyNumberFormat="1" applyFont="1" applyBorder="1" applyAlignment="1">
      <alignment horizontal="center" vertical="center" wrapText="1"/>
    </xf>
    <xf numFmtId="166" fontId="5" fillId="0" borderId="8" xfId="0" applyNumberFormat="1" applyFont="1" applyBorder="1" applyAlignment="1">
      <alignment horizontal="center" vertical="center" wrapText="1"/>
    </xf>
    <xf numFmtId="2" fontId="8" fillId="0" borderId="8" xfId="0" applyNumberFormat="1" applyFont="1" applyBorder="1" applyAlignment="1">
      <alignment horizontal="center" vertical="center" wrapText="1"/>
    </xf>
    <xf numFmtId="2" fontId="0" fillId="0" borderId="0" xfId="0" applyNumberFormat="1"/>
    <xf numFmtId="167" fontId="4" fillId="0" borderId="8" xfId="0" applyNumberFormat="1" applyFont="1" applyBorder="1" applyAlignment="1">
      <alignment horizontal="center" vertical="center" wrapText="1"/>
    </xf>
    <xf numFmtId="0" fontId="0" fillId="3" borderId="0" xfId="0" applyFill="1"/>
    <xf numFmtId="0" fontId="15" fillId="0" borderId="0" xfId="0" applyFont="1"/>
    <xf numFmtId="0" fontId="14" fillId="0" borderId="14" xfId="0" applyFont="1" applyBorder="1" applyAlignment="1">
      <alignment horizontal="left" vertical="center"/>
    </xf>
    <xf numFmtId="0" fontId="14" fillId="0" borderId="13" xfId="0" applyFont="1" applyFill="1" applyBorder="1" applyAlignment="1">
      <alignment horizontal="left" vertical="center"/>
    </xf>
    <xf numFmtId="0" fontId="14" fillId="0" borderId="13" xfId="0" applyFont="1" applyBorder="1" applyAlignment="1">
      <alignment horizontal="left" vertical="center"/>
    </xf>
    <xf numFmtId="164" fontId="14" fillId="0" borderId="13" xfId="0" applyNumberFormat="1" applyFont="1" applyBorder="1" applyAlignment="1">
      <alignment horizontal="left" vertical="center"/>
    </xf>
    <xf numFmtId="0" fontId="14" fillId="0" borderId="15" xfId="0" applyFont="1" applyBorder="1" applyAlignment="1">
      <alignment horizontal="left" vertical="center"/>
    </xf>
    <xf numFmtId="165" fontId="13" fillId="4" borderId="13" xfId="0" applyNumberFormat="1" applyFont="1" applyFill="1" applyBorder="1" applyAlignment="1">
      <alignment horizontal="left" vertical="center" wrapText="1"/>
    </xf>
    <xf numFmtId="0" fontId="13" fillId="4" borderId="13" xfId="0" applyFont="1" applyFill="1" applyBorder="1" applyAlignment="1">
      <alignment horizontal="left" vertical="center" wrapText="1"/>
    </xf>
    <xf numFmtId="164" fontId="13" fillId="4" borderId="13" xfId="0" applyNumberFormat="1" applyFont="1" applyFill="1" applyBorder="1" applyAlignment="1">
      <alignment horizontal="left" vertical="center" wrapText="1"/>
    </xf>
    <xf numFmtId="14" fontId="13" fillId="4" borderId="13" xfId="0" applyNumberFormat="1" applyFont="1" applyFill="1" applyBorder="1" applyAlignment="1">
      <alignment horizontal="left" vertical="center" wrapText="1"/>
    </xf>
    <xf numFmtId="0" fontId="13" fillId="4" borderId="14" xfId="0" applyFont="1" applyFill="1" applyBorder="1" applyAlignment="1">
      <alignment horizontal="left" vertical="center"/>
    </xf>
    <xf numFmtId="0" fontId="12" fillId="4" borderId="13" xfId="0" applyFont="1" applyFill="1" applyBorder="1"/>
    <xf numFmtId="0" fontId="0" fillId="0" borderId="0" xfId="0" applyAlignment="1">
      <alignment wrapText="1"/>
    </xf>
    <xf numFmtId="168" fontId="2" fillId="0" borderId="8" xfId="0" applyNumberFormat="1" applyFont="1" applyBorder="1" applyAlignment="1">
      <alignment horizontal="center" vertical="center" wrapText="1"/>
    </xf>
    <xf numFmtId="0" fontId="8" fillId="0" borderId="8" xfId="0" applyFont="1" applyBorder="1" applyAlignment="1">
      <alignment horizontal="center" vertical="center" wrapText="1"/>
    </xf>
    <xf numFmtId="0" fontId="8" fillId="0" borderId="8" xfId="0" applyFont="1" applyBorder="1" applyAlignment="1">
      <alignment horizontal="center" vertical="center" wrapText="1"/>
    </xf>
    <xf numFmtId="0" fontId="8" fillId="0" borderId="3" xfId="0" applyFont="1" applyBorder="1" applyAlignment="1">
      <alignment horizontal="right" vertical="center" wrapText="1"/>
    </xf>
    <xf numFmtId="2" fontId="16" fillId="0" borderId="3" xfId="0" applyNumberFormat="1" applyFont="1" applyBorder="1" applyAlignment="1">
      <alignment horizontal="right" vertical="center" wrapText="1"/>
    </xf>
    <xf numFmtId="0" fontId="8" fillId="0" borderId="8" xfId="0" applyFont="1" applyBorder="1" applyAlignment="1">
      <alignment horizontal="right" vertical="center" wrapText="1"/>
    </xf>
    <xf numFmtId="2" fontId="16" fillId="0" borderId="8" xfId="0" applyNumberFormat="1" applyFont="1" applyBorder="1" applyAlignment="1">
      <alignment horizontal="right" vertical="center" wrapText="1"/>
    </xf>
    <xf numFmtId="2" fontId="8" fillId="0" borderId="8" xfId="0" applyNumberFormat="1" applyFont="1" applyBorder="1" applyAlignment="1">
      <alignment horizontal="right" vertical="center" wrapText="1"/>
    </xf>
    <xf numFmtId="2" fontId="2" fillId="0" borderId="8" xfId="0" applyNumberFormat="1" applyFont="1" applyBorder="1" applyAlignment="1">
      <alignment horizontal="right" vertical="center" wrapText="1"/>
    </xf>
    <xf numFmtId="2" fontId="8" fillId="0" borderId="3" xfId="0" applyNumberFormat="1" applyFont="1" applyBorder="1" applyAlignment="1">
      <alignment vertical="center" wrapText="1"/>
    </xf>
    <xf numFmtId="2" fontId="8" fillId="0" borderId="8" xfId="0" applyNumberFormat="1" applyFont="1" applyBorder="1" applyAlignment="1">
      <alignment vertical="center" wrapText="1"/>
    </xf>
    <xf numFmtId="2" fontId="16" fillId="0" borderId="3" xfId="0" applyNumberFormat="1" applyFont="1" applyBorder="1" applyAlignment="1">
      <alignment vertical="center" wrapText="1"/>
    </xf>
    <xf numFmtId="2" fontId="16" fillId="0" borderId="8" xfId="0" applyNumberFormat="1" applyFont="1" applyBorder="1" applyAlignment="1">
      <alignment vertical="center" wrapText="1"/>
    </xf>
    <xf numFmtId="1" fontId="2" fillId="0" borderId="8" xfId="0" applyNumberFormat="1" applyFont="1" applyBorder="1" applyAlignment="1">
      <alignment horizontal="center" vertical="center" wrapText="1"/>
    </xf>
    <xf numFmtId="1" fontId="8" fillId="0" borderId="8" xfId="0" applyNumberFormat="1" applyFont="1" applyBorder="1" applyAlignment="1">
      <alignment horizontal="center" vertical="center" wrapText="1"/>
    </xf>
    <xf numFmtId="0" fontId="14" fillId="0" borderId="13" xfId="0" applyFont="1" applyBorder="1"/>
    <xf numFmtId="0" fontId="0" fillId="3" borderId="0" xfId="0" applyFill="1" applyAlignment="1">
      <alignment horizontal="center"/>
    </xf>
    <xf numFmtId="0" fontId="8" fillId="0" borderId="9" xfId="0" applyFont="1" applyBorder="1" applyAlignment="1">
      <alignment horizontal="center" vertical="center" wrapText="1"/>
    </xf>
    <xf numFmtId="0" fontId="8" fillId="0" borderId="4" xfId="0" applyFont="1" applyBorder="1" applyAlignment="1">
      <alignment horizontal="center" vertical="center" wrapText="1"/>
    </xf>
    <xf numFmtId="0" fontId="8" fillId="0" borderId="5" xfId="0" applyFont="1" applyBorder="1" applyAlignment="1">
      <alignment horizontal="center" vertical="center" wrapText="1"/>
    </xf>
    <xf numFmtId="0" fontId="8" fillId="0" borderId="10" xfId="0" applyFont="1" applyBorder="1" applyAlignment="1">
      <alignment horizontal="center" vertical="center" wrapText="1"/>
    </xf>
    <xf numFmtId="0" fontId="8" fillId="0" borderId="0" xfId="0" applyFont="1" applyBorder="1" applyAlignment="1">
      <alignment horizontal="center" vertical="center" wrapText="1"/>
    </xf>
    <xf numFmtId="0" fontId="8" fillId="0" borderId="6" xfId="0" applyFont="1" applyBorder="1" applyAlignment="1">
      <alignment horizontal="center" vertical="center" wrapText="1"/>
    </xf>
    <xf numFmtId="0" fontId="8" fillId="0" borderId="11" xfId="0" applyFont="1" applyBorder="1" applyAlignment="1">
      <alignment horizontal="center" vertical="center" wrapText="1"/>
    </xf>
    <xf numFmtId="0" fontId="8" fillId="0" borderId="7" xfId="0" applyFont="1" applyBorder="1" applyAlignment="1">
      <alignment horizontal="center" vertical="center" wrapText="1"/>
    </xf>
    <xf numFmtId="0" fontId="8" fillId="0" borderId="8" xfId="0" applyFont="1" applyBorder="1" applyAlignment="1">
      <alignment horizontal="center" vertical="center" wrapText="1"/>
    </xf>
    <xf numFmtId="0" fontId="8" fillId="0" borderId="0" xfId="0" applyFont="1" applyAlignment="1">
      <alignment horizontal="center" vertical="center" wrapText="1"/>
    </xf>
    <xf numFmtId="0" fontId="0" fillId="0" borderId="11" xfId="0" applyBorder="1" applyAlignment="1">
      <alignment vertical="top" wrapText="1"/>
    </xf>
    <xf numFmtId="0" fontId="0" fillId="0" borderId="7" xfId="0" applyBorder="1" applyAlignment="1">
      <alignment vertical="top" wrapText="1"/>
    </xf>
    <xf numFmtId="0" fontId="0" fillId="0" borderId="8" xfId="0" applyBorder="1" applyAlignment="1">
      <alignment vertical="top" wrapText="1"/>
    </xf>
    <xf numFmtId="0" fontId="2" fillId="0" borderId="9" xfId="0" applyFont="1" applyBorder="1" applyAlignment="1">
      <alignment horizontal="center" vertical="center" wrapText="1"/>
    </xf>
    <xf numFmtId="0" fontId="2" fillId="0" borderId="4" xfId="0" applyFont="1" applyBorder="1" applyAlignment="1">
      <alignment horizontal="center" vertical="center" wrapText="1"/>
    </xf>
    <xf numFmtId="0" fontId="2" fillId="0" borderId="5" xfId="0" applyFont="1" applyBorder="1" applyAlignment="1">
      <alignment horizontal="center" vertical="center" wrapText="1"/>
    </xf>
    <xf numFmtId="0" fontId="2" fillId="0" borderId="10" xfId="0" applyFont="1" applyBorder="1" applyAlignment="1">
      <alignment horizontal="center" vertical="center" wrapText="1"/>
    </xf>
    <xf numFmtId="0" fontId="2" fillId="0" borderId="0" xfId="0" applyFont="1" applyAlignment="1">
      <alignment horizontal="center" vertical="center" wrapText="1"/>
    </xf>
    <xf numFmtId="0" fontId="2" fillId="0" borderId="6" xfId="0" applyFont="1" applyBorder="1" applyAlignment="1">
      <alignment horizontal="center" vertical="center" wrapText="1"/>
    </xf>
    <xf numFmtId="0" fontId="2" fillId="0" borderId="0" xfId="0" applyFont="1" applyBorder="1" applyAlignment="1">
      <alignment horizontal="center" vertical="center" wrapText="1"/>
    </xf>
    <xf numFmtId="0" fontId="2" fillId="0" borderId="11" xfId="0" applyFont="1" applyBorder="1" applyAlignment="1">
      <alignment horizontal="center" vertical="center" wrapText="1"/>
    </xf>
    <xf numFmtId="0" fontId="2" fillId="0" borderId="7" xfId="0" applyFont="1" applyBorder="1" applyAlignment="1">
      <alignment horizontal="center" vertical="center" wrapText="1"/>
    </xf>
    <xf numFmtId="0" fontId="2" fillId="0" borderId="8" xfId="0" applyFont="1" applyBorder="1" applyAlignment="1">
      <alignment horizontal="center" vertical="center" wrapText="1"/>
    </xf>
    <xf numFmtId="0" fontId="5" fillId="0" borderId="1" xfId="0" applyFont="1" applyBorder="1" applyAlignment="1">
      <alignment horizontal="center" vertical="center" wrapText="1"/>
    </xf>
    <xf numFmtId="0" fontId="5" fillId="0" borderId="3" xfId="0" applyFont="1" applyBorder="1" applyAlignment="1">
      <alignment horizontal="center" vertical="center" wrapText="1"/>
    </xf>
    <xf numFmtId="0" fontId="2" fillId="0" borderId="1" xfId="0" applyFont="1" applyBorder="1" applyAlignment="1">
      <alignment horizontal="center" vertical="center" wrapText="1"/>
    </xf>
    <xf numFmtId="0" fontId="2" fillId="0" borderId="3" xfId="0" applyFont="1" applyBorder="1" applyAlignment="1">
      <alignment horizontal="center" vertical="center" wrapText="1"/>
    </xf>
    <xf numFmtId="166" fontId="5" fillId="0" borderId="1" xfId="0" applyNumberFormat="1" applyFont="1" applyBorder="1" applyAlignment="1">
      <alignment horizontal="center" vertical="center" wrapText="1"/>
    </xf>
    <xf numFmtId="166" fontId="5" fillId="0" borderId="3" xfId="0" applyNumberFormat="1" applyFont="1" applyBorder="1" applyAlignment="1">
      <alignment horizontal="center" vertical="center" wrapText="1"/>
    </xf>
    <xf numFmtId="0" fontId="6" fillId="0" borderId="1" xfId="0" applyFont="1" applyBorder="1" applyAlignment="1">
      <alignment horizontal="center" vertical="center" wrapText="1"/>
    </xf>
    <xf numFmtId="0" fontId="6" fillId="0" borderId="3" xfId="0" applyFont="1" applyBorder="1" applyAlignment="1">
      <alignment horizontal="center" vertical="center" wrapText="1"/>
    </xf>
    <xf numFmtId="0" fontId="4" fillId="0" borderId="9" xfId="0" applyFont="1" applyBorder="1" applyAlignment="1">
      <alignment horizontal="center" vertical="center" wrapText="1"/>
    </xf>
    <xf numFmtId="0" fontId="4" fillId="0" borderId="4" xfId="0" applyFont="1" applyBorder="1" applyAlignment="1">
      <alignment horizontal="center" vertical="center" wrapText="1"/>
    </xf>
    <xf numFmtId="0" fontId="4" fillId="0" borderId="5" xfId="0" applyFont="1" applyBorder="1" applyAlignment="1">
      <alignment horizontal="center" vertical="center" wrapText="1"/>
    </xf>
    <xf numFmtId="0" fontId="4" fillId="0" borderId="10" xfId="0" applyFont="1" applyBorder="1" applyAlignment="1">
      <alignment horizontal="center" vertical="center" wrapText="1"/>
    </xf>
    <xf numFmtId="0" fontId="4" fillId="0" borderId="0" xfId="0" applyFont="1" applyAlignment="1">
      <alignment horizontal="center" vertical="center" wrapText="1"/>
    </xf>
    <xf numFmtId="0" fontId="4" fillId="0" borderId="6" xfId="0" applyFont="1" applyBorder="1" applyAlignment="1">
      <alignment horizontal="center" vertical="center" wrapText="1"/>
    </xf>
  </cellXfs>
  <cellStyles count="2">
    <cellStyle name="Excel Built-in Normal" xfId="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2.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Reyes Murrieta" refreshedDate="42545.672796412036" createdVersion="6" refreshedVersion="6" minRefreshableVersion="3" recordCount="92">
  <cacheSource type="worksheet">
    <worksheetSource ref="A1:K93" sheet="Weekly 009 input (- Grav, Mal)"/>
  </cacheSource>
  <cacheFields count="11">
    <cacheField name="Week" numFmtId="0">
      <sharedItems containsSemiMixedTypes="0" containsString="0" containsNumber="1" containsInteger="1" minValue="25" maxValue="25" count="1">
        <n v="25"/>
      </sharedItems>
    </cacheField>
    <cacheField name="Trap Date" numFmtId="0">
      <sharedItems/>
    </cacheField>
    <cacheField name="Trap Number" numFmtId="0">
      <sharedItems/>
    </cacheField>
    <cacheField name="Zone" numFmtId="0">
      <sharedItems count="6">
        <s v="SW"/>
        <s v="SE"/>
        <s v="NE"/>
        <s v="NW"/>
        <s v="LC"/>
        <s v="LV"/>
      </sharedItems>
    </cacheField>
    <cacheField name="Trap Description" numFmtId="0">
      <sharedItems/>
    </cacheField>
    <cacheField name="Light / Gravid" numFmtId="0">
      <sharedItems/>
    </cacheField>
    <cacheField name="Malfunction" numFmtId="0">
      <sharedItems/>
    </cacheField>
    <cacheField name="Cx tarsalis" numFmtId="0">
      <sharedItems containsSemiMixedTypes="0" containsString="0" containsNumber="1" containsInteger="1" minValue="0" maxValue="106"/>
    </cacheField>
    <cacheField name="Cx pipiens" numFmtId="0">
      <sharedItems containsSemiMixedTypes="0" containsString="0" containsNumber="1" containsInteger="1" minValue="0" maxValue="32"/>
    </cacheField>
    <cacheField name="Total CX" numFmtId="0">
      <sharedItems containsSemiMixedTypes="0" containsString="0" containsNumber="1" containsInteger="1" minValue="0" maxValue="106"/>
    </cacheField>
    <cacheField name="Total Females" numFmtId="0">
      <sharedItems containsSemiMixedTypes="0" containsString="0" containsNumber="1" containsInteger="1" minValue="0" maxValue="1933"/>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Reyes Murrieta" refreshedDate="42545.673456712961" createdVersion="6" refreshedVersion="6" minRefreshableVersion="3" recordCount="72">
  <cacheSource type="worksheet">
    <worksheetSource ref="A1:R73" sheet="Weekly Data Input"/>
  </cacheSource>
  <cacheFields count="18">
    <cacheField name="Year" numFmtId="0">
      <sharedItems containsSemiMixedTypes="0" containsString="0" containsNumber="1" containsInteger="1" minValue="2016" maxValue="2016"/>
    </cacheField>
    <cacheField name="CSU Pool Number     (CMC enters)" numFmtId="0">
      <sharedItems/>
    </cacheField>
    <cacheField name="IDA Pool (CSU enters, leave blank)" numFmtId="0">
      <sharedItems containsSemiMixedTypes="0" containsString="0" containsNumber="1" containsInteger="1" minValue="18456" maxValue="18527"/>
    </cacheField>
    <cacheField name="Week" numFmtId="0">
      <sharedItems containsSemiMixedTypes="0" containsString="0" containsNumber="1" containsInteger="1" minValue="25" maxValue="25" count="1">
        <n v="25"/>
      </sharedItems>
    </cacheField>
    <cacheField name="Trap Date" numFmtId="0">
      <sharedItems containsSemiMixedTypes="0" containsDate="1" containsString="0" containsMixedTypes="1" minDate="2016-06-20T00:00:00" maxDate="1900-01-08T09:49:04" count="5">
        <d v="2016-06-20T00:00:00"/>
        <d v="2016-06-21T00:00:00"/>
        <d v="2016-06-22T00:00:00"/>
        <d v="2016-06-23T00:00:00"/>
        <n v="42544"/>
      </sharedItems>
    </cacheField>
    <cacheField name="County" numFmtId="0">
      <sharedItems/>
    </cacheField>
    <cacheField name="Account" numFmtId="0">
      <sharedItems/>
    </cacheField>
    <cacheField name="Collection Site (Trap ID)" numFmtId="0">
      <sharedItems/>
    </cacheField>
    <cacheField name="Zone" numFmtId="0">
      <sharedItems count="5">
        <s v="LV"/>
        <s v="NE"/>
        <s v="NW"/>
        <s v="SE"/>
        <s v="SW"/>
      </sharedItems>
    </cacheField>
    <cacheField name="Method (Light or Gravid)" numFmtId="0">
      <sharedItems/>
    </cacheField>
    <cacheField name="Genus" numFmtId="0">
      <sharedItems/>
    </cacheField>
    <cacheField name="Spp" numFmtId="0">
      <sharedItems count="2">
        <s v="tarsalis"/>
        <s v="pipiens"/>
      </sharedItems>
    </cacheField>
    <cacheField name="Sex" numFmtId="0">
      <sharedItems/>
    </cacheField>
    <cacheField name="No. Gravid" numFmtId="0">
      <sharedItems containsString="0" containsBlank="1" containsNumber="1" containsInteger="1" minValue="1" maxValue="34"/>
    </cacheField>
    <cacheField name="No. Deplete" numFmtId="0">
      <sharedItems containsString="0" containsBlank="1" containsNumber="1" containsInteger="1" minValue="1" maxValue="50"/>
    </cacheField>
    <cacheField name="Total" numFmtId="0">
      <sharedItems containsSemiMixedTypes="0" containsString="0" containsNumber="1" containsInteger="1" minValue="1" maxValue="50"/>
    </cacheField>
    <cacheField name="Test code (CSU enters)" numFmtId="0">
      <sharedItems containsSemiMixedTypes="0" containsString="0" containsNumber="1" containsInteger="1" minValue="0" maxValue="0"/>
    </cacheField>
    <cacheField name="Test Result (CSU enters)"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92">
  <r>
    <x v="0"/>
    <s v="06/23/2016"/>
    <s v="FC-001"/>
    <x v="0"/>
    <s v="Magic Carpet"/>
    <s v="LIGHT"/>
    <s v="NO"/>
    <n v="12"/>
    <n v="0"/>
    <n v="12"/>
    <n v="30"/>
  </r>
  <r>
    <x v="0"/>
    <s v="06/21/2016"/>
    <s v="FC-004"/>
    <x v="1"/>
    <s v="Bighorn Drive"/>
    <s v="LIGHT"/>
    <s v="NO"/>
    <n v="2"/>
    <n v="0"/>
    <n v="2"/>
    <n v="13"/>
  </r>
  <r>
    <x v="0"/>
    <s v="06/20/2016"/>
    <s v="FC-006"/>
    <x v="2"/>
    <s v="North Linden"/>
    <s v="LIGHT"/>
    <s v="NO"/>
    <n v="6"/>
    <n v="7"/>
    <n v="13"/>
    <n v="359"/>
  </r>
  <r>
    <x v="0"/>
    <s v="06/23/2016"/>
    <s v="FC-011"/>
    <x v="3"/>
    <s v="Golden Currant"/>
    <s v="LIGHT"/>
    <s v="NO"/>
    <n v="1"/>
    <n v="1"/>
    <n v="2"/>
    <n v="18"/>
  </r>
  <r>
    <x v="0"/>
    <s v="06/20/2016"/>
    <s v="FC-014"/>
    <x v="2"/>
    <s v="Fort Collins Vistors Center"/>
    <s v="LIGHT"/>
    <s v="NO"/>
    <n v="4"/>
    <n v="2"/>
    <n v="6"/>
    <n v="10"/>
  </r>
  <r>
    <x v="0"/>
    <s v="06/22/2016"/>
    <s v="FC-015"/>
    <x v="3"/>
    <s v="Stuart and Dorset"/>
    <s v="LIGHT"/>
    <s v="NO"/>
    <n v="0"/>
    <n v="0"/>
    <n v="0"/>
    <n v="0"/>
  </r>
  <r>
    <x v="0"/>
    <s v="06/20/2016"/>
    <s v="FC-019"/>
    <x v="2"/>
    <s v="Edora Park"/>
    <s v="LIGHT"/>
    <s v="NO"/>
    <n v="0"/>
    <n v="3"/>
    <n v="3"/>
    <n v="66"/>
  </r>
  <r>
    <x v="0"/>
    <s v="06/21/2016"/>
    <s v="FC-023"/>
    <x v="1"/>
    <s v="Boltz"/>
    <s v="LIGHT"/>
    <s v="NO"/>
    <n v="7"/>
    <n v="0"/>
    <n v="7"/>
    <n v="29"/>
  </r>
  <r>
    <x v="0"/>
    <s v="06/21/2016"/>
    <s v="FC-027"/>
    <x v="1"/>
    <s v="San Luis"/>
    <s v="LIGHT"/>
    <s v="NO"/>
    <n v="1"/>
    <n v="0"/>
    <n v="1"/>
    <n v="9"/>
  </r>
  <r>
    <x v="0"/>
    <s v="06/23/2016"/>
    <s v="FC-029"/>
    <x v="1"/>
    <s v="Bens Park"/>
    <s v="LIGHT"/>
    <s v="NO"/>
    <n v="8"/>
    <n v="0"/>
    <n v="8"/>
    <n v="20"/>
  </r>
  <r>
    <x v="0"/>
    <s v="06/21/2016"/>
    <s v="FC-031"/>
    <x v="1"/>
    <s v="Willow Springs"/>
    <s v="LIGHT"/>
    <s v="NO"/>
    <n v="0"/>
    <n v="32"/>
    <n v="32"/>
    <n v="55"/>
  </r>
  <r>
    <x v="0"/>
    <s v="06/20/2016"/>
    <s v="FC-034"/>
    <x v="2"/>
    <s v="Country Club"/>
    <s v="LIGHT"/>
    <s v="NO"/>
    <n v="6"/>
    <n v="0"/>
    <n v="6"/>
    <n v="32"/>
  </r>
  <r>
    <x v="0"/>
    <s v="06/20/2016"/>
    <s v="FC-036"/>
    <x v="3"/>
    <s v="Hemlock"/>
    <s v="LIGHT"/>
    <s v="NO"/>
    <n v="4"/>
    <n v="0"/>
    <n v="4"/>
    <n v="1073"/>
  </r>
  <r>
    <x v="0"/>
    <s v="06/23/2016"/>
    <s v="FC-037"/>
    <x v="0"/>
    <s v="Chelsea Ridge"/>
    <s v="LIGHT"/>
    <s v="NO"/>
    <n v="0"/>
    <n v="0"/>
    <n v="0"/>
    <n v="17"/>
  </r>
  <r>
    <x v="0"/>
    <s v="06/20/2016"/>
    <s v="FC-038"/>
    <x v="2"/>
    <s v="Lochside Lane"/>
    <s v="LIGHT"/>
    <s v="NO"/>
    <n v="4"/>
    <n v="0"/>
    <n v="4"/>
    <n v="74"/>
  </r>
  <r>
    <x v="0"/>
    <s v="06/21/2016"/>
    <s v="FC-039"/>
    <x v="1"/>
    <s v="Fossil Creek South (Greenstone)"/>
    <s v="LIGHT"/>
    <s v="NO"/>
    <n v="33"/>
    <n v="0"/>
    <n v="33"/>
    <n v="42"/>
  </r>
  <r>
    <x v="0"/>
    <s v="06/20/2016"/>
    <s v="FC-040"/>
    <x v="2"/>
    <s v="Redwood"/>
    <s v="LIGHT"/>
    <s v="NO"/>
    <n v="9"/>
    <n v="7"/>
    <n v="16"/>
    <n v="126"/>
  </r>
  <r>
    <x v="0"/>
    <s v="06/22/2016"/>
    <s v="FC-041"/>
    <x v="3"/>
    <s v="Fishback"/>
    <s v="LIGHT"/>
    <s v="NO"/>
    <n v="2"/>
    <n v="0"/>
    <n v="2"/>
    <n v="29"/>
  </r>
  <r>
    <x v="0"/>
    <s v="06/21/2016"/>
    <s v="FC-046"/>
    <x v="1"/>
    <s v="725 Westshore Court"/>
    <s v="LIGHT"/>
    <s v="NO"/>
    <n v="0"/>
    <n v="0"/>
    <n v="0"/>
    <n v="16"/>
  </r>
  <r>
    <x v="0"/>
    <s v="06/21/2016"/>
    <s v="FC-047"/>
    <x v="1"/>
    <s v="Keenland &amp; Twin Oak"/>
    <s v="LIGHT"/>
    <s v="NO"/>
    <n v="0"/>
    <n v="0"/>
    <n v="0"/>
    <n v="7"/>
  </r>
  <r>
    <x v="0"/>
    <s v="06/22/2016"/>
    <s v="FC-049"/>
    <x v="0"/>
    <s v="Casa Grande and Downing"/>
    <s v="LIGHT"/>
    <s v="NO"/>
    <n v="0"/>
    <n v="4"/>
    <n v="4"/>
    <n v="16"/>
  </r>
  <r>
    <x v="0"/>
    <s v="06/21/2016"/>
    <s v="FC-050"/>
    <x v="1"/>
    <s v="Golden Meadows Ditch"/>
    <s v="LIGHT"/>
    <s v="NO"/>
    <n v="0"/>
    <n v="2"/>
    <n v="2"/>
    <n v="10"/>
  </r>
  <r>
    <x v="0"/>
    <s v="06/22/2016"/>
    <s v="FC-052"/>
    <x v="3"/>
    <s v="603 Gilgalad Way"/>
    <s v="LIGHT"/>
    <s v="NO"/>
    <n v="6"/>
    <n v="1"/>
    <n v="7"/>
    <n v="73"/>
  </r>
  <r>
    <x v="0"/>
    <s v="06/21/2016"/>
    <s v="FC-053"/>
    <x v="1"/>
    <s v="Egret and Rookery"/>
    <s v="LIGHT"/>
    <s v="NO"/>
    <n v="29"/>
    <n v="5"/>
    <n v="34"/>
    <n v="69"/>
  </r>
  <r>
    <x v="0"/>
    <s v="06/23/2016"/>
    <s v="FC-054"/>
    <x v="1"/>
    <s v="737 Parliament Court"/>
    <s v="LIGHT"/>
    <s v="NO"/>
    <n v="6"/>
    <n v="1"/>
    <n v="7"/>
    <n v="22"/>
  </r>
  <r>
    <x v="0"/>
    <s v="06/23/2016"/>
    <s v="FC-057"/>
    <x v="0"/>
    <s v="Registry Ridge- End of Ranger Dr"/>
    <s v="LIGHT"/>
    <s v="NO"/>
    <n v="0"/>
    <n v="0"/>
    <n v="0"/>
    <n v="0"/>
  </r>
  <r>
    <x v="0"/>
    <s v="06/22/2016"/>
    <s v="FC-058"/>
    <x v="0"/>
    <s v="Spring Creek Trail @ Michener Dr"/>
    <s v="LIGHT"/>
    <s v="NO"/>
    <n v="3"/>
    <n v="0"/>
    <n v="3"/>
    <n v="151"/>
  </r>
  <r>
    <x v="0"/>
    <s v="06/21/2016"/>
    <s v="FC-059"/>
    <x v="1"/>
    <s v="Springwood and Lockwood"/>
    <s v="LIGHT"/>
    <s v="NO"/>
    <n v="0"/>
    <n v="1"/>
    <n v="1"/>
    <n v="68"/>
  </r>
  <r>
    <x v="0"/>
    <s v="06/22/2016"/>
    <s v="FC-060"/>
    <x v="3"/>
    <s v="808 Pondersosa"/>
    <s v="LIGHT"/>
    <s v="NO"/>
    <n v="2"/>
    <n v="2"/>
    <n v="4"/>
    <n v="9"/>
  </r>
  <r>
    <x v="0"/>
    <s v="06/22/2016"/>
    <s v="FC-061"/>
    <x v="3"/>
    <s v="Holley Environ. Plant Research Ctr"/>
    <s v="LIGHT"/>
    <s v="NO"/>
    <n v="2"/>
    <n v="1"/>
    <n v="3"/>
    <n v="205"/>
  </r>
  <r>
    <x v="0"/>
    <s v="06/23/2016"/>
    <s v="FC-062"/>
    <x v="0"/>
    <s v="Waters Edge at Blue Mesa"/>
    <s v="LIGHT"/>
    <s v="NO"/>
    <n v="0"/>
    <n v="1"/>
    <n v="1"/>
    <n v="18"/>
  </r>
  <r>
    <x v="0"/>
    <s v="06/22/2016"/>
    <s v="FC-063"/>
    <x v="3"/>
    <s v="Red Fox Meadows FCNA"/>
    <s v="LIGHT"/>
    <s v="NO"/>
    <n v="1"/>
    <n v="0"/>
    <n v="1"/>
    <n v="40"/>
  </r>
  <r>
    <x v="0"/>
    <s v="06/21/2016"/>
    <s v="FC-064"/>
    <x v="1"/>
    <s v="West Chase @ Kechter Farm"/>
    <s v="LIGHT"/>
    <s v="NO"/>
    <n v="4"/>
    <n v="0"/>
    <n v="4"/>
    <n v="37"/>
  </r>
  <r>
    <x v="0"/>
    <s v="06/20/2016"/>
    <s v="FC-066"/>
    <x v="2"/>
    <s v="Prospect Ponds @ Drake Water"/>
    <s v="LIGHT"/>
    <s v="NO"/>
    <n v="33"/>
    <n v="3"/>
    <n v="36"/>
    <n v="315"/>
  </r>
  <r>
    <x v="0"/>
    <s v="06/20/2016"/>
    <s v="FC-067"/>
    <x v="2"/>
    <s v="Poudre River Drive at bike trail"/>
    <s v="LIGHT"/>
    <s v="NO"/>
    <n v="23"/>
    <n v="4"/>
    <n v="27"/>
    <n v="1933"/>
  </r>
  <r>
    <x v="0"/>
    <s v="06/23/2016"/>
    <s v="FC-068"/>
    <x v="0"/>
    <s v="502 Crest Drive"/>
    <s v="LIGHT"/>
    <s v="NO"/>
    <n v="0"/>
    <n v="0"/>
    <n v="0"/>
    <n v="2"/>
  </r>
  <r>
    <x v="0"/>
    <s v="06/20/2016"/>
    <s v="FC-069"/>
    <x v="2"/>
    <s v="Linden Lake Rd"/>
    <s v="LIGHT"/>
    <s v="NO"/>
    <n v="0"/>
    <n v="0"/>
    <n v="0"/>
    <n v="43"/>
  </r>
  <r>
    <x v="0"/>
    <s v="06/23/2016"/>
    <s v="FC-071"/>
    <x v="0"/>
    <s v="Silvergate Road"/>
    <s v="LIGHT"/>
    <s v="NO"/>
    <n v="0"/>
    <n v="0"/>
    <n v="0"/>
    <n v="0"/>
  </r>
  <r>
    <x v="0"/>
    <s v="06/20/2016"/>
    <s v="FC-072"/>
    <x v="2"/>
    <s v="422 Lake Drive Alley"/>
    <s v="LIGHT"/>
    <s v="NO"/>
    <n v="13"/>
    <n v="6"/>
    <n v="19"/>
    <n v="61"/>
  </r>
  <r>
    <x v="0"/>
    <s v="06/22/2016"/>
    <s v="FC-073"/>
    <x v="3"/>
    <s v="118 Grant"/>
    <s v="LIGHT"/>
    <s v="NO"/>
    <n v="1"/>
    <n v="1"/>
    <n v="2"/>
    <n v="15"/>
  </r>
  <r>
    <x v="0"/>
    <s v="06/21/2016"/>
    <s v="FC-074"/>
    <x v="1"/>
    <s v="Rockcreek"/>
    <s v="LIGHT"/>
    <s v="NO"/>
    <n v="4"/>
    <n v="1"/>
    <n v="5"/>
    <n v="64"/>
  </r>
  <r>
    <x v="0"/>
    <s v="06/21/2016"/>
    <s v="FC-075"/>
    <x v="1"/>
    <s v="North Sage Creek"/>
    <s v="LIGHT"/>
    <s v="NO"/>
    <n v="2"/>
    <n v="0"/>
    <n v="2"/>
    <n v="10"/>
  </r>
  <r>
    <x v="0"/>
    <s v="06/23/2016"/>
    <s v="FC-093"/>
    <x v="0"/>
    <s v="Lopez Elementary School"/>
    <s v="LIGHT"/>
    <s v="NO"/>
    <n v="3"/>
    <n v="2"/>
    <n v="5"/>
    <n v="45"/>
  </r>
  <r>
    <x v="0"/>
    <s v="06/22/2016"/>
    <s v="LC-001"/>
    <x v="4"/>
    <s v="Berthoud"/>
    <s v="LIGHT"/>
    <s v="NO"/>
    <n v="3"/>
    <n v="0"/>
    <n v="3"/>
    <n v="26"/>
  </r>
  <r>
    <x v="0"/>
    <s v="06/20/2016"/>
    <s v="LC-010"/>
    <x v="4"/>
    <s v="Timnath-Downtown"/>
    <s v="LIGHT"/>
    <s v="NO"/>
    <n v="6"/>
    <n v="0"/>
    <n v="6"/>
    <n v="35"/>
  </r>
  <r>
    <x v="0"/>
    <s v="06/22/2016"/>
    <s v="LC-017"/>
    <x v="4"/>
    <s v="Bonnell West 2"/>
    <s v="LIGHT"/>
    <s v="NO"/>
    <n v="1"/>
    <n v="1"/>
    <n v="2"/>
    <n v="6"/>
  </r>
  <r>
    <x v="0"/>
    <s v="06/20/2016"/>
    <s v="LC-022"/>
    <x v="4"/>
    <s v="Timnath-Golf Course"/>
    <s v="LIGHT"/>
    <s v="NO"/>
    <n v="4"/>
    <n v="0"/>
    <n v="4"/>
    <n v="26"/>
  </r>
  <r>
    <x v="0"/>
    <s v="06/20/2016"/>
    <s v="LC-032"/>
    <x v="4"/>
    <s v="River Lakes Estates/Paradise Acres"/>
    <s v="LIGHT"/>
    <s v="NO"/>
    <n v="7"/>
    <n v="1"/>
    <n v="8"/>
    <n v="93"/>
  </r>
  <r>
    <x v="0"/>
    <s v="06/20/2016"/>
    <s v="LC-038"/>
    <x v="4"/>
    <s v="Turman Bruns HOA"/>
    <s v="LIGHT"/>
    <s v="NO"/>
    <n v="14"/>
    <n v="1"/>
    <n v="15"/>
    <n v="17"/>
  </r>
  <r>
    <x v="0"/>
    <s v="06/20/2016"/>
    <s v="LC-046"/>
    <x v="4"/>
    <s v="Eagle Ranch Estates"/>
    <s v="LIGHT"/>
    <s v="NO"/>
    <n v="32"/>
    <n v="0"/>
    <n v="32"/>
    <n v="41"/>
  </r>
  <r>
    <x v="0"/>
    <s v="06/22/2016"/>
    <s v="LC-049"/>
    <x v="4"/>
    <s v="Berthoud North of Bunyan"/>
    <s v="LIGHT"/>
    <s v="NO"/>
    <n v="0"/>
    <n v="0"/>
    <n v="0"/>
    <n v="14"/>
  </r>
  <r>
    <x v="0"/>
    <s v="06/20/2016"/>
    <s v="LC-050"/>
    <x v="4"/>
    <s v="Timnath-Wildwing"/>
    <s v="LIGHT"/>
    <s v="NO"/>
    <n v="76"/>
    <n v="12"/>
    <n v="88"/>
    <n v="206"/>
  </r>
  <r>
    <x v="0"/>
    <s v="06/20/2016"/>
    <s v="LC-051"/>
    <x v="4"/>
    <s v="Timnath-Saratoga Falls"/>
    <s v="LIGHT"/>
    <s v="NO"/>
    <n v="8"/>
    <n v="0"/>
    <n v="8"/>
    <n v="26"/>
  </r>
  <r>
    <x v="0"/>
    <s v="06/20/2016"/>
    <s v="LC-052"/>
    <x v="4"/>
    <s v="Walmart East at Poudre River"/>
    <s v="LIGHT"/>
    <s v="NO"/>
    <n v="1"/>
    <n v="0"/>
    <n v="1"/>
    <n v="183"/>
  </r>
  <r>
    <x v="0"/>
    <s v="06/22/2016"/>
    <s v="LC-053"/>
    <x v="4"/>
    <s v="Berthoud West"/>
    <s v="LIGHT"/>
    <s v="NO"/>
    <n v="9"/>
    <n v="0"/>
    <n v="9"/>
    <n v="92"/>
  </r>
  <r>
    <x v="0"/>
    <s v="06/20/2016"/>
    <s v="LV-004"/>
    <x v="5"/>
    <s v="29th and Madison"/>
    <s v="LIGHT"/>
    <s v="NO"/>
    <n v="17"/>
    <n v="1"/>
    <n v="18"/>
    <n v="24"/>
  </r>
  <r>
    <x v="0"/>
    <s v="06/23/2016"/>
    <s v="LV-014"/>
    <x v="5"/>
    <s v="Estrella Park"/>
    <s v="LIGHT"/>
    <s v="NO"/>
    <n v="2"/>
    <n v="0"/>
    <n v="2"/>
    <n v="5"/>
  </r>
  <r>
    <x v="0"/>
    <s v="06/22/2016"/>
    <s v="LV-019"/>
    <x v="5"/>
    <s v="Jocelyn and Eagle"/>
    <s v="LIGHT"/>
    <s v="NO"/>
    <n v="5"/>
    <n v="0"/>
    <n v="5"/>
    <n v="15"/>
  </r>
  <r>
    <x v="0"/>
    <s v="06/22/2016"/>
    <s v="LV-020"/>
    <x v="5"/>
    <s v="Cattail Pond"/>
    <s v="LIGHT"/>
    <s v="NO"/>
    <n v="39"/>
    <n v="0"/>
    <n v="39"/>
    <n v="388"/>
  </r>
  <r>
    <x v="0"/>
    <s v="06/22/2016"/>
    <s v="LV-021"/>
    <x v="5"/>
    <s v="Linda and 26th Street SW"/>
    <s v="LIGHT"/>
    <s v="NO"/>
    <n v="6"/>
    <n v="0"/>
    <n v="6"/>
    <n v="9"/>
  </r>
  <r>
    <x v="0"/>
    <s v="06/22/2016"/>
    <s v="LV-042"/>
    <x v="5"/>
    <s v="2001 South Douglas"/>
    <s v="LIGHT"/>
    <s v="NO"/>
    <n v="40"/>
    <n v="0"/>
    <n v="40"/>
    <n v="43"/>
  </r>
  <r>
    <x v="0"/>
    <s v="06/20/2016"/>
    <s v="LV-066"/>
    <x v="5"/>
    <s v="Outlet Mall Apartments"/>
    <s v="LIGHT"/>
    <s v="NO"/>
    <n v="9"/>
    <n v="0"/>
    <n v="9"/>
    <n v="149"/>
  </r>
  <r>
    <x v="0"/>
    <s v="06/22/2016"/>
    <s v="LV-067"/>
    <x v="5"/>
    <s v="Del Norte Private Park"/>
    <s v="LIGHT"/>
    <s v="NO"/>
    <n v="73"/>
    <n v="2"/>
    <n v="75"/>
    <n v="103"/>
  </r>
  <r>
    <x v="0"/>
    <s v="06/20/2016"/>
    <s v="LV-069"/>
    <x v="5"/>
    <s v="Horseshoe Peninsula"/>
    <s v="LIGHT"/>
    <s v="NO"/>
    <n v="28"/>
    <n v="0"/>
    <n v="28"/>
    <n v="40"/>
  </r>
  <r>
    <x v="0"/>
    <s v="06/21/2016"/>
    <s v="LV-074"/>
    <x v="5"/>
    <s v="Jefferson and 11th"/>
    <s v="LIGHT"/>
    <s v="NO"/>
    <n v="4"/>
    <n v="0"/>
    <n v="4"/>
    <n v="13"/>
  </r>
  <r>
    <x v="0"/>
    <s v="06/21/2016"/>
    <s v="LV-077"/>
    <x v="5"/>
    <s v="1105 East First Street"/>
    <s v="LIGHT"/>
    <s v="NO"/>
    <n v="1"/>
    <n v="5"/>
    <n v="6"/>
    <n v="27"/>
  </r>
  <r>
    <x v="0"/>
    <s v="06/20/2016"/>
    <s v="LV-078"/>
    <x v="5"/>
    <s v="Seven Lakes Park"/>
    <s v="LIGHT"/>
    <s v="NO"/>
    <n v="53"/>
    <n v="7"/>
    <n v="60"/>
    <n v="170"/>
  </r>
  <r>
    <x v="0"/>
    <s v="06/20/2016"/>
    <s v="LV-080"/>
    <x v="5"/>
    <s v="Harding and Reagan North"/>
    <s v="LIGHT"/>
    <s v="NO"/>
    <n v="19"/>
    <n v="0"/>
    <n v="19"/>
    <n v="28"/>
  </r>
  <r>
    <x v="0"/>
    <s v="06/22/2016"/>
    <s v="LV-087"/>
    <x v="5"/>
    <s v="2444 Derby Hill Road"/>
    <s v="LIGHT"/>
    <s v="NO"/>
    <n v="4"/>
    <n v="0"/>
    <n v="4"/>
    <n v="5"/>
  </r>
  <r>
    <x v="0"/>
    <s v="06/20/2016"/>
    <s v="LV-088"/>
    <x v="5"/>
    <s v="2229 Arikaree Court"/>
    <s v="LIGHT"/>
    <s v="NO"/>
    <n v="21"/>
    <n v="3"/>
    <n v="24"/>
    <n v="45"/>
  </r>
  <r>
    <x v="0"/>
    <s v="06/21/2016"/>
    <s v="LV-089"/>
    <x v="5"/>
    <s v="9th and Des Moines"/>
    <s v="LIGHT"/>
    <s v="NO"/>
    <n v="106"/>
    <n v="0"/>
    <n v="106"/>
    <n v="140"/>
  </r>
  <r>
    <x v="0"/>
    <s v="06/20/2016"/>
    <s v="LV-093"/>
    <x v="5"/>
    <s v="Pond at Silver Lake"/>
    <s v="LIGHT"/>
    <s v="NO"/>
    <n v="3"/>
    <n v="0"/>
    <n v="3"/>
    <n v="71"/>
  </r>
  <r>
    <x v="0"/>
    <s v="06/20/2016"/>
    <s v="LV-095"/>
    <x v="5"/>
    <s v="Waterfront at Boyd Lake"/>
    <s v="LIGHT"/>
    <s v="NO"/>
    <n v="62"/>
    <n v="2"/>
    <n v="64"/>
    <n v="107"/>
  </r>
  <r>
    <x v="0"/>
    <s v="06/23/2016"/>
    <s v="LV-097"/>
    <x v="5"/>
    <s v="Farisita at Rist Benson Drainage"/>
    <s v="LIGHT"/>
    <s v="NO"/>
    <n v="6"/>
    <n v="1"/>
    <n v="7"/>
    <n v="17"/>
  </r>
  <r>
    <x v="0"/>
    <s v="06/23/2016"/>
    <s v="LV-098"/>
    <x v="5"/>
    <s v="Benson Park"/>
    <s v="LIGHT"/>
    <s v="NO"/>
    <n v="5"/>
    <n v="2"/>
    <n v="7"/>
    <n v="17"/>
  </r>
  <r>
    <x v="0"/>
    <s v="06/23/2016"/>
    <s v="LV-099"/>
    <x v="5"/>
    <s v="Cattails Golf Course"/>
    <s v="LIGHT"/>
    <s v="NO"/>
    <n v="2"/>
    <n v="1"/>
    <n v="3"/>
    <n v="4"/>
  </r>
  <r>
    <x v="0"/>
    <s v="06/21/2016"/>
    <s v="LV-100"/>
    <x v="5"/>
    <s v="Lynx Runoff @ Blue Tree Real Estate"/>
    <s v="LIGHT"/>
    <s v="NO"/>
    <n v="2"/>
    <n v="0"/>
    <n v="2"/>
    <n v="15"/>
  </r>
  <r>
    <x v="0"/>
    <s v="06/23/2016"/>
    <s v="LV-102"/>
    <x v="5"/>
    <s v="Glen Isle Ditch and Pond"/>
    <s v="LIGHT"/>
    <s v="NO"/>
    <n v="1"/>
    <n v="0"/>
    <n v="1"/>
    <n v="12"/>
  </r>
  <r>
    <x v="0"/>
    <s v="06/21/2016"/>
    <s v="LV-104"/>
    <x v="5"/>
    <s v="County Road 20C and County Road 9"/>
    <s v="LIGHT"/>
    <s v="NO"/>
    <n v="74"/>
    <n v="0"/>
    <n v="74"/>
    <n v="197"/>
  </r>
  <r>
    <x v="0"/>
    <s v="06/23/2016"/>
    <s v="LV-105"/>
    <x v="5"/>
    <s v="West 43rd RR"/>
    <s v="LIGHT"/>
    <s v="NO"/>
    <n v="2"/>
    <n v="0"/>
    <n v="2"/>
    <n v="4"/>
  </r>
  <r>
    <x v="0"/>
    <s v="06/21/2016"/>
    <s v="LV-110"/>
    <x v="5"/>
    <s v="Big Thompson Natural Area"/>
    <s v="LIGHT"/>
    <s v="NO"/>
    <n v="7"/>
    <n v="0"/>
    <n v="7"/>
    <n v="31"/>
  </r>
  <r>
    <x v="0"/>
    <s v="06/21/2016"/>
    <s v="LV-112"/>
    <x v="5"/>
    <s v="915 South Boise"/>
    <s v="LIGHT"/>
    <s v="NO"/>
    <n v="1"/>
    <n v="3"/>
    <n v="4"/>
    <n v="13"/>
  </r>
  <r>
    <x v="0"/>
    <s v="06/21/2016"/>
    <s v="LV-113"/>
    <x v="5"/>
    <s v="The Springs at Marianna"/>
    <s v="LIGHT"/>
    <s v="NO"/>
    <n v="0"/>
    <n v="0"/>
    <n v="0"/>
    <n v="47"/>
  </r>
  <r>
    <x v="0"/>
    <s v="06/22/2016"/>
    <s v="LV-114"/>
    <x v="5"/>
    <s v="The Ponds at Jill Drive"/>
    <s v="LIGHT"/>
    <s v="NO"/>
    <n v="1"/>
    <n v="0"/>
    <n v="1"/>
    <n v="8"/>
  </r>
  <r>
    <x v="0"/>
    <s v="06/20/2016"/>
    <s v="LV-116"/>
    <x v="5"/>
    <s v="Sundisk and 13E"/>
    <s v="LIGHT"/>
    <s v="NO"/>
    <n v="5"/>
    <n v="2"/>
    <n v="7"/>
    <n v="18"/>
  </r>
  <r>
    <x v="0"/>
    <s v="06/20/2016"/>
    <s v="LV-117"/>
    <x v="5"/>
    <s v="Centerra"/>
    <s v="LIGHT"/>
    <s v="NO"/>
    <n v="12"/>
    <n v="2"/>
    <n v="14"/>
    <n v="51"/>
  </r>
  <r>
    <x v="0"/>
    <s v="06/21/2016"/>
    <s v="LV-118"/>
    <x v="5"/>
    <s v="Golf Vista at Golf Course Pond"/>
    <s v="LIGHT"/>
    <s v="NO"/>
    <n v="2"/>
    <n v="0"/>
    <n v="2"/>
    <n v="23"/>
  </r>
  <r>
    <x v="0"/>
    <s v="06/22/2016"/>
    <s v="LV-120"/>
    <x v="5"/>
    <s v="End of City Limits North"/>
    <s v="LIGHT"/>
    <s v="NO"/>
    <n v="11"/>
    <n v="2"/>
    <n v="13"/>
    <n v="26"/>
  </r>
  <r>
    <x v="0"/>
    <s v="06/23/2016"/>
    <s v="LV-121"/>
    <x v="5"/>
    <s v="Bayfield and Windsor"/>
    <s v="LIGHT"/>
    <s v="NO"/>
    <n v="0"/>
    <n v="0"/>
    <n v="0"/>
    <n v="3"/>
  </r>
  <r>
    <x v="0"/>
    <s v="06/23/2016"/>
    <s v="LV-122"/>
    <x v="5"/>
    <s v="Fallgold"/>
    <s v="LIGHT"/>
    <s v="NO"/>
    <n v="0"/>
    <n v="0"/>
    <n v="0"/>
    <n v="1"/>
  </r>
  <r>
    <x v="0"/>
    <s v="06/21/2016"/>
    <s v="LV-124"/>
    <x v="5"/>
    <s v="Storage Yards 2nd St. South West"/>
    <s v="LIGHT"/>
    <s v="NO"/>
    <n v="9"/>
    <n v="1"/>
    <n v="10"/>
    <n v="12"/>
  </r>
  <r>
    <x v="0"/>
    <s v="06/21/2016"/>
    <s v="LV-125"/>
    <x v="5"/>
    <s v="8th St. No Name"/>
    <s v="LIGHT"/>
    <s v="NO"/>
    <n v="4"/>
    <n v="2"/>
    <n v="6"/>
    <n v="32"/>
  </r>
</pivotCacheRecords>
</file>

<file path=xl/pivotCache/pivotCacheRecords2.xml><?xml version="1.0" encoding="utf-8"?>
<pivotCacheRecords xmlns="http://schemas.openxmlformats.org/spreadsheetml/2006/main" xmlns:r="http://schemas.openxmlformats.org/officeDocument/2006/relationships" count="72">
  <r>
    <n v="2016"/>
    <s v="CSU-8914"/>
    <n v="18461"/>
    <x v="0"/>
    <x v="0"/>
    <s v="LC"/>
    <s v="LV"/>
    <s v="LV-069"/>
    <x v="0"/>
    <s v="L"/>
    <s v="Cx."/>
    <x v="0"/>
    <s v="F"/>
    <m/>
    <n v="28"/>
    <n v="28"/>
    <n v="0"/>
    <s v="Negative"/>
  </r>
  <r>
    <n v="2016"/>
    <s v="CSU-8917"/>
    <n v="18464"/>
    <x v="0"/>
    <x v="0"/>
    <s v="LC"/>
    <s v="LV"/>
    <s v="LV-095"/>
    <x v="0"/>
    <s v="L"/>
    <s v="Cx."/>
    <x v="0"/>
    <s v="F"/>
    <m/>
    <n v="50"/>
    <n v="50"/>
    <n v="0"/>
    <s v="Negative"/>
  </r>
  <r>
    <n v="2016"/>
    <s v="CSU-8918"/>
    <n v="18465"/>
    <x v="0"/>
    <x v="0"/>
    <s v="LC"/>
    <s v="LV"/>
    <s v="LV-095"/>
    <x v="0"/>
    <s v="L"/>
    <s v="Cx."/>
    <x v="0"/>
    <s v="F"/>
    <m/>
    <n v="12"/>
    <n v="12"/>
    <n v="0"/>
    <s v="Negative"/>
  </r>
  <r>
    <n v="2016"/>
    <s v="CSU-8919"/>
    <n v="18466"/>
    <x v="0"/>
    <x v="0"/>
    <s v="LC"/>
    <s v="LV"/>
    <s v="LV-095"/>
    <x v="0"/>
    <s v="L"/>
    <s v="Cx."/>
    <x v="1"/>
    <s v="F"/>
    <m/>
    <n v="2"/>
    <n v="2"/>
    <n v="0"/>
    <s v="Negative"/>
  </r>
  <r>
    <n v="2016"/>
    <s v="CSU-8933"/>
    <n v="18480"/>
    <x v="0"/>
    <x v="1"/>
    <s v="LC"/>
    <s v="LV"/>
    <s v="LV-110"/>
    <x v="0"/>
    <s v="L"/>
    <s v="Cx."/>
    <x v="0"/>
    <s v="F"/>
    <m/>
    <n v="7"/>
    <n v="7"/>
    <n v="0"/>
    <s v="Negative"/>
  </r>
  <r>
    <n v="2016"/>
    <s v="CSU-8934"/>
    <n v="18481"/>
    <x v="0"/>
    <x v="1"/>
    <s v="LC"/>
    <s v="LV"/>
    <s v="LV-089"/>
    <x v="0"/>
    <s v="L"/>
    <s v="Cx."/>
    <x v="0"/>
    <s v="F"/>
    <m/>
    <n v="50"/>
    <n v="50"/>
    <n v="0"/>
    <s v="Negative"/>
  </r>
  <r>
    <n v="2016"/>
    <s v="CSU-8935"/>
    <n v="18482"/>
    <x v="0"/>
    <x v="1"/>
    <s v="LC"/>
    <s v="LV"/>
    <s v="LV-089"/>
    <x v="0"/>
    <s v="L"/>
    <s v="Cx."/>
    <x v="0"/>
    <s v="F"/>
    <m/>
    <n v="50"/>
    <n v="50"/>
    <n v="0"/>
    <s v="Negative"/>
  </r>
  <r>
    <n v="2016"/>
    <s v="CSU-8936"/>
    <n v="18483"/>
    <x v="0"/>
    <x v="1"/>
    <s v="LC"/>
    <s v="LV"/>
    <s v="LV-089"/>
    <x v="0"/>
    <s v="L"/>
    <s v="Cx."/>
    <x v="0"/>
    <s v="F"/>
    <m/>
    <n v="6"/>
    <n v="6"/>
    <n v="0"/>
    <s v="Negative"/>
  </r>
  <r>
    <n v="2016"/>
    <s v="CSU-8937"/>
    <n v="18484"/>
    <x v="0"/>
    <x v="1"/>
    <s v="LC"/>
    <s v="LV"/>
    <s v="LV-104"/>
    <x v="0"/>
    <s v="L"/>
    <s v="Cx."/>
    <x v="0"/>
    <s v="F"/>
    <m/>
    <n v="50"/>
    <n v="50"/>
    <n v="0"/>
    <s v="Negative"/>
  </r>
  <r>
    <n v="2016"/>
    <s v="CSU-8938"/>
    <n v="18485"/>
    <x v="0"/>
    <x v="1"/>
    <s v="LC"/>
    <s v="LV"/>
    <s v="LV-104"/>
    <x v="0"/>
    <s v="L"/>
    <s v="Cx."/>
    <x v="0"/>
    <s v="F"/>
    <m/>
    <n v="24"/>
    <n v="24"/>
    <n v="0"/>
    <s v="Negative"/>
  </r>
  <r>
    <n v="2016"/>
    <s v="CSU-8964"/>
    <n v="18511"/>
    <x v="0"/>
    <x v="2"/>
    <s v="LC"/>
    <s v="LV"/>
    <s v="LV-020"/>
    <x v="0"/>
    <s v="L"/>
    <s v="Cx."/>
    <x v="0"/>
    <s v="F"/>
    <m/>
    <n v="39"/>
    <n v="39"/>
    <n v="0"/>
    <s v="Negative"/>
  </r>
  <r>
    <n v="2016"/>
    <s v="CSU-8909"/>
    <n v="18456"/>
    <x v="0"/>
    <x v="0"/>
    <s v="LC"/>
    <s v="FC"/>
    <s v="FC-034"/>
    <x v="1"/>
    <s v="L"/>
    <s v="Cx."/>
    <x v="0"/>
    <s v="F"/>
    <m/>
    <n v="6"/>
    <n v="6"/>
    <n v="0"/>
    <s v="Negative"/>
  </r>
  <r>
    <n v="2016"/>
    <s v="CSU-8910"/>
    <n v="18457"/>
    <x v="0"/>
    <x v="0"/>
    <s v="LC"/>
    <s v="FC"/>
    <s v="FC-014"/>
    <x v="1"/>
    <s v="L"/>
    <s v="Cx."/>
    <x v="0"/>
    <s v="F"/>
    <m/>
    <n v="4"/>
    <n v="4"/>
    <n v="0"/>
    <s v="Negative"/>
  </r>
  <r>
    <n v="2016"/>
    <s v="CSU-8911"/>
    <n v="18458"/>
    <x v="0"/>
    <x v="0"/>
    <s v="LC"/>
    <s v="FC"/>
    <s v="FC-014"/>
    <x v="1"/>
    <s v="L"/>
    <s v="Cx."/>
    <x v="1"/>
    <s v="F"/>
    <m/>
    <n v="2"/>
    <n v="2"/>
    <n v="0"/>
    <s v="Negative"/>
  </r>
  <r>
    <n v="2016"/>
    <s v="CSU-8912"/>
    <n v="18459"/>
    <x v="0"/>
    <x v="0"/>
    <s v="LC"/>
    <s v="FC"/>
    <s v="FC-038"/>
    <x v="1"/>
    <s v="L"/>
    <s v="Cx."/>
    <x v="0"/>
    <s v="F"/>
    <m/>
    <n v="4"/>
    <n v="4"/>
    <n v="0"/>
    <s v="Negative"/>
  </r>
  <r>
    <n v="2016"/>
    <s v="CSU-8913"/>
    <n v="18460"/>
    <x v="0"/>
    <x v="0"/>
    <s v="LC"/>
    <s v="FC"/>
    <s v="FC-040gr"/>
    <x v="1"/>
    <s v="G"/>
    <s v="Cx."/>
    <x v="1"/>
    <s v="F"/>
    <n v="10"/>
    <m/>
    <n v="10"/>
    <n v="0"/>
    <s v="Negative"/>
  </r>
  <r>
    <n v="2016"/>
    <s v="CSU-8915"/>
    <n v="18462"/>
    <x v="0"/>
    <x v="0"/>
    <s v="LC"/>
    <s v="FC"/>
    <s v="FC-066"/>
    <x v="1"/>
    <s v="L"/>
    <s v="Cx."/>
    <x v="0"/>
    <s v="F"/>
    <m/>
    <n v="33"/>
    <n v="33"/>
    <n v="0"/>
    <s v="Negative"/>
  </r>
  <r>
    <n v="2016"/>
    <s v="CSU-8916"/>
    <n v="18463"/>
    <x v="0"/>
    <x v="0"/>
    <s v="LC"/>
    <s v="FC"/>
    <s v="FC-066"/>
    <x v="1"/>
    <s v="L"/>
    <s v="Cx."/>
    <x v="1"/>
    <s v="F"/>
    <m/>
    <n v="3"/>
    <n v="3"/>
    <n v="0"/>
    <s v="Negative"/>
  </r>
  <r>
    <n v="2016"/>
    <s v="CSU-8920"/>
    <n v="18467"/>
    <x v="0"/>
    <x v="0"/>
    <s v="LC"/>
    <s v="FC"/>
    <s v="FC-092gr"/>
    <x v="1"/>
    <s v="G"/>
    <s v="Cx."/>
    <x v="1"/>
    <s v="F"/>
    <n v="13"/>
    <m/>
    <n v="13"/>
    <n v="0"/>
    <s v="Negative"/>
  </r>
  <r>
    <n v="2016"/>
    <s v="CSU-8921"/>
    <n v="18468"/>
    <x v="0"/>
    <x v="0"/>
    <s v="LC"/>
    <s v="FC"/>
    <s v="FC-091gr"/>
    <x v="1"/>
    <s v="G"/>
    <s v="Cx."/>
    <x v="1"/>
    <s v="F"/>
    <n v="7"/>
    <m/>
    <n v="7"/>
    <n v="0"/>
    <s v="Negative"/>
  </r>
  <r>
    <n v="2016"/>
    <s v="CSU-8922"/>
    <n v="18469"/>
    <x v="0"/>
    <x v="0"/>
    <s v="LC"/>
    <s v="FC"/>
    <s v="FC-040"/>
    <x v="1"/>
    <s v="L"/>
    <s v="Cx."/>
    <x v="0"/>
    <s v="F"/>
    <m/>
    <n v="9"/>
    <n v="9"/>
    <n v="0"/>
    <s v="Negative"/>
  </r>
  <r>
    <n v="2016"/>
    <s v="CSU-8923"/>
    <n v="18470"/>
    <x v="0"/>
    <x v="0"/>
    <s v="LC"/>
    <s v="FC"/>
    <s v="FC-040"/>
    <x v="1"/>
    <s v="L"/>
    <s v="Cx."/>
    <x v="1"/>
    <s v="F"/>
    <m/>
    <n v="7"/>
    <n v="7"/>
    <n v="0"/>
    <s v="Negative"/>
  </r>
  <r>
    <n v="2016"/>
    <s v="CSU-8924"/>
    <n v="18471"/>
    <x v="0"/>
    <x v="0"/>
    <s v="LC"/>
    <s v="FC"/>
    <s v="FC-019"/>
    <x v="1"/>
    <s v="L"/>
    <s v="Cx."/>
    <x v="1"/>
    <s v="F"/>
    <m/>
    <n v="3"/>
    <n v="3"/>
    <n v="0"/>
    <s v="Negative"/>
  </r>
  <r>
    <n v="2016"/>
    <s v="CSU-8925"/>
    <n v="18472"/>
    <x v="0"/>
    <x v="0"/>
    <s v="LC"/>
    <s v="FC"/>
    <s v="FC-066gr"/>
    <x v="1"/>
    <s v="G"/>
    <s v="Cx."/>
    <x v="1"/>
    <s v="F"/>
    <n v="18"/>
    <m/>
    <n v="18"/>
    <n v="0"/>
    <s v="Negative"/>
  </r>
  <r>
    <n v="2016"/>
    <s v="CSU-8926"/>
    <n v="18473"/>
    <x v="0"/>
    <x v="0"/>
    <s v="LC"/>
    <s v="FC"/>
    <s v="FC-072"/>
    <x v="1"/>
    <s v="L"/>
    <s v="Cx."/>
    <x v="0"/>
    <s v="F"/>
    <m/>
    <n v="13"/>
    <n v="13"/>
    <n v="0"/>
    <s v="Negative"/>
  </r>
  <r>
    <n v="2016"/>
    <s v="CSU-8927"/>
    <n v="18474"/>
    <x v="0"/>
    <x v="0"/>
    <s v="LC"/>
    <s v="FC"/>
    <s v="FC-072"/>
    <x v="1"/>
    <s v="L"/>
    <s v="Cx."/>
    <x v="1"/>
    <s v="F"/>
    <m/>
    <n v="6"/>
    <n v="6"/>
    <n v="0"/>
    <s v="Negative"/>
  </r>
  <r>
    <n v="2016"/>
    <s v="CSU-8928"/>
    <n v="18475"/>
    <x v="0"/>
    <x v="0"/>
    <s v="LC"/>
    <s v="FC"/>
    <s v="FC-006"/>
    <x v="1"/>
    <s v="L"/>
    <s v="Cx."/>
    <x v="0"/>
    <s v="F"/>
    <m/>
    <n v="6"/>
    <n v="6"/>
    <n v="0"/>
    <s v="Negative"/>
  </r>
  <r>
    <n v="2016"/>
    <s v="CSU-8929"/>
    <n v="18476"/>
    <x v="0"/>
    <x v="0"/>
    <s v="LC"/>
    <s v="FC"/>
    <s v="FC-006"/>
    <x v="1"/>
    <s v="L"/>
    <s v="Cx."/>
    <x v="1"/>
    <s v="F"/>
    <m/>
    <n v="7"/>
    <n v="7"/>
    <n v="0"/>
    <s v="Negative"/>
  </r>
  <r>
    <n v="2016"/>
    <s v="CSU-8930"/>
    <n v="18477"/>
    <x v="0"/>
    <x v="0"/>
    <s v="LC"/>
    <s v="FC"/>
    <s v="FC-067"/>
    <x v="1"/>
    <s v="L"/>
    <s v="Cx."/>
    <x v="0"/>
    <s v="F"/>
    <m/>
    <n v="23"/>
    <n v="23"/>
    <n v="0"/>
    <s v="Negative"/>
  </r>
  <r>
    <n v="2016"/>
    <s v="CSU-8931"/>
    <n v="18478"/>
    <x v="0"/>
    <x v="0"/>
    <s v="LC"/>
    <s v="FC"/>
    <s v="FC-067"/>
    <x v="1"/>
    <s v="L"/>
    <s v="Cx."/>
    <x v="1"/>
    <s v="F"/>
    <m/>
    <n v="4"/>
    <n v="4"/>
    <n v="0"/>
    <s v="Negative"/>
  </r>
  <r>
    <n v="2016"/>
    <s v="CSU-8932"/>
    <n v="18479"/>
    <x v="0"/>
    <x v="0"/>
    <s v="LC"/>
    <s v="FC"/>
    <s v="FC-036"/>
    <x v="2"/>
    <s v="L"/>
    <s v="Cx."/>
    <x v="0"/>
    <s v="F"/>
    <m/>
    <n v="4"/>
    <n v="4"/>
    <n v="0"/>
    <s v="Negative"/>
  </r>
  <r>
    <n v="2016"/>
    <s v="CSU-8954"/>
    <n v="18501"/>
    <x v="0"/>
    <x v="2"/>
    <s v="LC"/>
    <s v="FC"/>
    <s v="FC-073"/>
    <x v="2"/>
    <s v="L"/>
    <s v="Cx."/>
    <x v="0"/>
    <s v="F"/>
    <m/>
    <n v="1"/>
    <n v="1"/>
    <n v="0"/>
    <s v="Negative"/>
  </r>
  <r>
    <n v="2016"/>
    <s v="CSU-8955"/>
    <n v="18502"/>
    <x v="0"/>
    <x v="2"/>
    <s v="LC"/>
    <s v="FC"/>
    <s v="FC-073"/>
    <x v="2"/>
    <s v="L"/>
    <s v="Cx."/>
    <x v="1"/>
    <s v="F"/>
    <m/>
    <n v="1"/>
    <n v="1"/>
    <n v="0"/>
    <s v="Negative"/>
  </r>
  <r>
    <n v="2016"/>
    <s v="CSU-8956"/>
    <n v="18503"/>
    <x v="0"/>
    <x v="2"/>
    <s v="LC"/>
    <s v="FC"/>
    <s v="FC-041"/>
    <x v="2"/>
    <s v="L"/>
    <s v="Cx."/>
    <x v="0"/>
    <s v="F"/>
    <m/>
    <n v="2"/>
    <n v="2"/>
    <n v="0"/>
    <s v="Negative"/>
  </r>
  <r>
    <n v="2016"/>
    <s v="CSU-8957"/>
    <n v="18504"/>
    <x v="0"/>
    <x v="2"/>
    <s v="LC"/>
    <s v="FC"/>
    <s v="FC-090gr"/>
    <x v="2"/>
    <s v="G"/>
    <s v="Cx."/>
    <x v="0"/>
    <s v="F"/>
    <n v="1"/>
    <m/>
    <n v="1"/>
    <n v="0"/>
    <s v="Negative"/>
  </r>
  <r>
    <n v="2016"/>
    <s v="CSU-8958"/>
    <n v="18505"/>
    <x v="0"/>
    <x v="2"/>
    <s v="LC"/>
    <s v="FC"/>
    <s v="FC-090gr"/>
    <x v="2"/>
    <s v="G"/>
    <s v="Cx."/>
    <x v="1"/>
    <s v="F"/>
    <n v="7"/>
    <m/>
    <n v="7"/>
    <n v="0"/>
    <s v="Negative"/>
  </r>
  <r>
    <n v="2016"/>
    <s v="CSU-8959"/>
    <n v="18506"/>
    <x v="0"/>
    <x v="2"/>
    <s v="LC"/>
    <s v="FC"/>
    <s v="FC-061"/>
    <x v="2"/>
    <s v="L"/>
    <s v="Cx."/>
    <x v="0"/>
    <s v="F"/>
    <m/>
    <n v="2"/>
    <n v="2"/>
    <n v="0"/>
    <s v="Negative"/>
  </r>
  <r>
    <n v="2016"/>
    <s v="CSU-8960"/>
    <n v="18507"/>
    <x v="0"/>
    <x v="2"/>
    <s v="LC"/>
    <s v="FC"/>
    <s v="FC-061"/>
    <x v="2"/>
    <s v="L"/>
    <s v="Cx."/>
    <x v="1"/>
    <s v="F"/>
    <m/>
    <n v="1"/>
    <n v="1"/>
    <n v="0"/>
    <s v="Negative"/>
  </r>
  <r>
    <n v="2016"/>
    <s v="CSU-8961"/>
    <n v="18508"/>
    <x v="0"/>
    <x v="2"/>
    <s v="LC"/>
    <s v="FC"/>
    <s v="FC-060"/>
    <x v="2"/>
    <s v="L"/>
    <s v="Cx."/>
    <x v="0"/>
    <s v="F"/>
    <m/>
    <n v="2"/>
    <n v="2"/>
    <n v="0"/>
    <s v="Negative"/>
  </r>
  <r>
    <n v="2016"/>
    <s v="CSU-8962"/>
    <n v="18509"/>
    <x v="0"/>
    <x v="2"/>
    <s v="LC"/>
    <s v="FC"/>
    <s v="FC-060"/>
    <x v="2"/>
    <s v="L"/>
    <s v="Cx."/>
    <x v="1"/>
    <s v="F"/>
    <m/>
    <n v="2"/>
    <n v="2"/>
    <n v="0"/>
    <s v="Negative"/>
  </r>
  <r>
    <n v="2016"/>
    <s v="CSU-8963"/>
    <n v="18510"/>
    <x v="0"/>
    <x v="2"/>
    <s v="LC"/>
    <s v="FC"/>
    <s v="FC-063gr"/>
    <x v="2"/>
    <s v="G"/>
    <s v="Cx."/>
    <x v="1"/>
    <s v="F"/>
    <n v="6"/>
    <m/>
    <n v="6"/>
    <n v="0"/>
    <s v="Negative"/>
  </r>
  <r>
    <n v="2016"/>
    <s v="CSU-8965"/>
    <n v="18512"/>
    <x v="0"/>
    <x v="2"/>
    <s v="LC"/>
    <s v="FC"/>
    <s v="FC-063"/>
    <x v="2"/>
    <s v="L"/>
    <s v="Cx."/>
    <x v="0"/>
    <s v="F"/>
    <m/>
    <n v="1"/>
    <n v="1"/>
    <n v="0"/>
    <s v="Negative"/>
  </r>
  <r>
    <n v="2016"/>
    <s v="CSU-8966"/>
    <n v="18513"/>
    <x v="0"/>
    <x v="2"/>
    <s v="LC"/>
    <s v="FC"/>
    <s v="FC-052"/>
    <x v="2"/>
    <s v="L"/>
    <s v="Cx."/>
    <x v="0"/>
    <s v="F"/>
    <m/>
    <n v="6"/>
    <n v="6"/>
    <n v="0"/>
    <s v="Negative"/>
  </r>
  <r>
    <n v="2016"/>
    <s v="CSU-8967"/>
    <n v="18514"/>
    <x v="0"/>
    <x v="2"/>
    <s v="LC"/>
    <s v="FC"/>
    <s v="FC-052"/>
    <x v="2"/>
    <s v="L"/>
    <s v="Cx."/>
    <x v="1"/>
    <s v="F"/>
    <m/>
    <n v="1"/>
    <n v="1"/>
    <n v="0"/>
    <s v="Negative"/>
  </r>
  <r>
    <n v="2016"/>
    <s v="CSU-8971"/>
    <n v="18518"/>
    <x v="0"/>
    <x v="3"/>
    <s v="LC"/>
    <s v="FC"/>
    <s v="FC-011"/>
    <x v="2"/>
    <s v="L"/>
    <s v="Cx."/>
    <x v="0"/>
    <s v="F"/>
    <m/>
    <n v="1"/>
    <n v="1"/>
    <n v="0"/>
    <s v="Negative"/>
  </r>
  <r>
    <n v="2016"/>
    <s v="CSU-8972"/>
    <n v="18519"/>
    <x v="0"/>
    <x v="3"/>
    <s v="LC"/>
    <s v="FC"/>
    <s v="FC-011"/>
    <x v="2"/>
    <s v="L"/>
    <s v="Cx."/>
    <x v="1"/>
    <s v="F"/>
    <m/>
    <n v="1"/>
    <n v="1"/>
    <n v="0"/>
    <s v="Negative"/>
  </r>
  <r>
    <n v="2016"/>
    <s v="CSU-8939"/>
    <n v="18486"/>
    <x v="0"/>
    <x v="1"/>
    <s v="LC"/>
    <s v="FC"/>
    <s v="FC-064"/>
    <x v="3"/>
    <s v="L"/>
    <s v="Cx."/>
    <x v="0"/>
    <s v="F"/>
    <m/>
    <n v="4"/>
    <n v="4"/>
    <n v="0"/>
    <s v="Negative"/>
  </r>
  <r>
    <n v="2016"/>
    <s v="CSU-8940"/>
    <n v="18487"/>
    <x v="0"/>
    <x v="1"/>
    <s v="LC"/>
    <s v="FC"/>
    <s v="FC-039"/>
    <x v="3"/>
    <s v="L"/>
    <s v="Cx."/>
    <x v="0"/>
    <s v="F"/>
    <m/>
    <n v="33"/>
    <n v="33"/>
    <n v="0"/>
    <s v="Negative"/>
  </r>
  <r>
    <n v="2016"/>
    <s v="CSU-8941"/>
    <n v="18488"/>
    <x v="0"/>
    <x v="1"/>
    <s v="LC"/>
    <s v="FC"/>
    <s v="FC-050"/>
    <x v="3"/>
    <s v="L"/>
    <s v="Cx."/>
    <x v="1"/>
    <s v="F"/>
    <m/>
    <n v="2"/>
    <n v="2"/>
    <n v="0"/>
    <s v="Negative"/>
  </r>
  <r>
    <n v="2016"/>
    <s v="CSU-8942"/>
    <n v="18489"/>
    <x v="0"/>
    <x v="1"/>
    <s v="LC"/>
    <s v="FC"/>
    <s v="FC-031"/>
    <x v="3"/>
    <s v="L"/>
    <s v="Cx."/>
    <x v="0"/>
    <s v="F"/>
    <m/>
    <n v="32"/>
    <n v="32"/>
    <n v="0"/>
    <s v="Negative"/>
  </r>
  <r>
    <n v="2016"/>
    <s v="CSU-8943"/>
    <n v="18490"/>
    <x v="0"/>
    <x v="1"/>
    <s v="LC"/>
    <s v="FC"/>
    <s v="FC-053"/>
    <x v="3"/>
    <s v="L"/>
    <s v="Cx."/>
    <x v="0"/>
    <s v="F"/>
    <m/>
    <n v="29"/>
    <n v="29"/>
    <n v="0"/>
    <s v="Negative"/>
  </r>
  <r>
    <n v="2016"/>
    <s v="CSU-8944"/>
    <n v="18491"/>
    <x v="0"/>
    <x v="1"/>
    <s v="LC"/>
    <s v="FC"/>
    <s v="FC-053"/>
    <x v="3"/>
    <s v="L"/>
    <s v="Cx."/>
    <x v="1"/>
    <s v="F"/>
    <m/>
    <n v="5"/>
    <n v="5"/>
    <n v="0"/>
    <s v="Negative"/>
  </r>
  <r>
    <n v="2016"/>
    <s v="CSU-8945"/>
    <n v="18492"/>
    <x v="0"/>
    <x v="1"/>
    <s v="LC"/>
    <s v="FC"/>
    <s v="FC-027"/>
    <x v="3"/>
    <s v="L"/>
    <s v="Cx."/>
    <x v="0"/>
    <s v="F"/>
    <m/>
    <n v="1"/>
    <n v="1"/>
    <n v="0"/>
    <s v="Negative"/>
  </r>
  <r>
    <n v="2016"/>
    <s v="CSU-8946"/>
    <n v="18493"/>
    <x v="0"/>
    <x v="1"/>
    <s v="LC"/>
    <s v="FC"/>
    <s v="FC-023"/>
    <x v="3"/>
    <s v="L"/>
    <s v="Cx."/>
    <x v="0"/>
    <s v="F"/>
    <m/>
    <n v="7"/>
    <n v="7"/>
    <n v="0"/>
    <s v="Negative"/>
  </r>
  <r>
    <n v="2016"/>
    <s v="CSU-8947"/>
    <n v="18494"/>
    <x v="0"/>
    <x v="1"/>
    <s v="LC"/>
    <s v="FC"/>
    <s v="FC-075gr"/>
    <x v="3"/>
    <s v="G"/>
    <s v="Cx."/>
    <x v="1"/>
    <s v="F"/>
    <n v="5"/>
    <m/>
    <n v="5"/>
    <n v="0"/>
    <s v="Negative"/>
  </r>
  <r>
    <n v="2016"/>
    <s v="CSU-8948"/>
    <n v="18495"/>
    <x v="0"/>
    <x v="1"/>
    <s v="LC"/>
    <s v="FC"/>
    <s v="FC-004"/>
    <x v="3"/>
    <s v="L"/>
    <s v="Cx."/>
    <x v="0"/>
    <s v="F"/>
    <m/>
    <n v="2"/>
    <n v="2"/>
    <n v="0"/>
    <s v="Negative"/>
  </r>
  <r>
    <n v="2016"/>
    <s v="CSU-8949"/>
    <n v="18496"/>
    <x v="0"/>
    <x v="1"/>
    <s v="LC"/>
    <s v="FC"/>
    <s v="FC-075"/>
    <x v="3"/>
    <s v="L"/>
    <s v="Cx."/>
    <x v="0"/>
    <s v="F"/>
    <m/>
    <n v="2"/>
    <n v="2"/>
    <n v="0"/>
    <s v="Negative"/>
  </r>
  <r>
    <n v="2016"/>
    <s v="CSU-8950"/>
    <n v="18497"/>
    <x v="0"/>
    <x v="1"/>
    <s v="LC"/>
    <s v="FC"/>
    <s v="FC-059"/>
    <x v="3"/>
    <s v="L"/>
    <s v="Cx."/>
    <x v="1"/>
    <s v="F"/>
    <m/>
    <n v="1"/>
    <n v="1"/>
    <n v="0"/>
    <s v="Negative"/>
  </r>
  <r>
    <n v="2016"/>
    <s v="CSU-8951"/>
    <n v="18498"/>
    <x v="0"/>
    <x v="1"/>
    <s v="LC"/>
    <s v="FC"/>
    <s v="FC-088gr"/>
    <x v="3"/>
    <s v="G"/>
    <s v="Cx."/>
    <x v="1"/>
    <s v="F"/>
    <n v="34"/>
    <m/>
    <n v="34"/>
    <n v="0"/>
    <s v="Negative"/>
  </r>
  <r>
    <n v="2016"/>
    <s v="CSU-8952"/>
    <n v="18499"/>
    <x v="0"/>
    <x v="1"/>
    <s v="LC"/>
    <s v="FC"/>
    <s v="FC-074"/>
    <x v="3"/>
    <s v="L"/>
    <s v="Cx."/>
    <x v="0"/>
    <s v="F"/>
    <m/>
    <n v="4"/>
    <n v="4"/>
    <n v="0"/>
    <s v="Negative"/>
  </r>
  <r>
    <n v="2016"/>
    <s v="CSU-8953"/>
    <n v="18500"/>
    <x v="0"/>
    <x v="1"/>
    <s v="LC"/>
    <s v="FC"/>
    <s v="FC-074"/>
    <x v="3"/>
    <s v="L"/>
    <s v="Cx."/>
    <x v="1"/>
    <s v="F"/>
    <m/>
    <n v="1"/>
    <n v="1"/>
    <n v="0"/>
    <s v="Negative"/>
  </r>
  <r>
    <n v="2016"/>
    <s v="CSU-8975"/>
    <n v="18522"/>
    <x v="0"/>
    <x v="3"/>
    <s v="LC"/>
    <s v="FC"/>
    <s v="FC-029gr"/>
    <x v="3"/>
    <s v="G"/>
    <s v="Cx."/>
    <x v="1"/>
    <s v="F"/>
    <n v="12"/>
    <m/>
    <n v="12"/>
    <n v="0"/>
    <s v="Negative"/>
  </r>
  <r>
    <n v="2016"/>
    <s v="CSU-8976"/>
    <n v="18523"/>
    <x v="0"/>
    <x v="3"/>
    <s v="LC"/>
    <s v="FC"/>
    <s v="FC-029 "/>
    <x v="3"/>
    <s v="L"/>
    <s v="Cx."/>
    <x v="0"/>
    <s v="F"/>
    <m/>
    <n v="8"/>
    <n v="8"/>
    <n v="0"/>
    <s v="Negative"/>
  </r>
  <r>
    <n v="2016"/>
    <s v="CSU-8977"/>
    <n v="18524"/>
    <x v="0"/>
    <x v="3"/>
    <s v="LC"/>
    <s v="FC"/>
    <s v="FC-054"/>
    <x v="3"/>
    <s v="L"/>
    <s v="Cx."/>
    <x v="0"/>
    <s v="F"/>
    <m/>
    <n v="6"/>
    <n v="6"/>
    <n v="0"/>
    <s v="Negative"/>
  </r>
  <r>
    <n v="2016"/>
    <s v="CSU-8978"/>
    <n v="18525"/>
    <x v="0"/>
    <x v="4"/>
    <s v="LC"/>
    <s v="FC"/>
    <s v="FC-054"/>
    <x v="3"/>
    <s v="L"/>
    <s v="Cx."/>
    <x v="1"/>
    <s v="F"/>
    <m/>
    <n v="1"/>
    <n v="1"/>
    <n v="0"/>
    <s v="Negative"/>
  </r>
  <r>
    <n v="2016"/>
    <s v="CSU-8968"/>
    <n v="18515"/>
    <x v="0"/>
    <x v="2"/>
    <s v="LC"/>
    <s v="FC"/>
    <s v="FC-058"/>
    <x v="4"/>
    <s v="L"/>
    <s v="Cx."/>
    <x v="0"/>
    <s v="F"/>
    <m/>
    <n v="3"/>
    <n v="3"/>
    <n v="0"/>
    <s v="Negative"/>
  </r>
  <r>
    <n v="2016"/>
    <s v="CSU-8969"/>
    <n v="18516"/>
    <x v="0"/>
    <x v="2"/>
    <s v="LC"/>
    <s v="FC"/>
    <s v="FC-049"/>
    <x v="4"/>
    <s v="L"/>
    <s v="Cx."/>
    <x v="1"/>
    <s v="F"/>
    <m/>
    <n v="4"/>
    <n v="4"/>
    <n v="0"/>
    <s v="Negative"/>
  </r>
  <r>
    <n v="2016"/>
    <s v="CSU-8970"/>
    <n v="18517"/>
    <x v="0"/>
    <x v="3"/>
    <s v="LC"/>
    <s v="FC"/>
    <s v="FC-001"/>
    <x v="4"/>
    <s v="L"/>
    <s v="Cx."/>
    <x v="0"/>
    <s v="F"/>
    <m/>
    <n v="12"/>
    <n v="12"/>
    <n v="0"/>
    <s v="Negative"/>
  </r>
  <r>
    <n v="2016"/>
    <s v="CSU-8973"/>
    <n v="18520"/>
    <x v="0"/>
    <x v="3"/>
    <s v="LC"/>
    <s v="FC"/>
    <s v="FC-093"/>
    <x v="4"/>
    <s v="L"/>
    <s v="Cx."/>
    <x v="0"/>
    <s v="F"/>
    <m/>
    <n v="3"/>
    <n v="3"/>
    <n v="0"/>
    <s v="Negative"/>
  </r>
  <r>
    <n v="2016"/>
    <s v="CSU-8974"/>
    <n v="18521"/>
    <x v="0"/>
    <x v="3"/>
    <s v="LC"/>
    <s v="FC"/>
    <s v="FC-093"/>
    <x v="4"/>
    <s v="L"/>
    <s v="Cx."/>
    <x v="1"/>
    <s v="F"/>
    <m/>
    <n v="2"/>
    <n v="2"/>
    <n v="0"/>
    <s v="Negative"/>
  </r>
  <r>
    <n v="2016"/>
    <s v="CSU-8979"/>
    <n v="18526"/>
    <x v="0"/>
    <x v="4"/>
    <s v="LC"/>
    <s v="FC"/>
    <s v="FC-089gr"/>
    <x v="4"/>
    <s v="G"/>
    <s v="Cx."/>
    <x v="1"/>
    <s v="F"/>
    <n v="23"/>
    <m/>
    <n v="23"/>
    <n v="0"/>
    <s v="Negative"/>
  </r>
  <r>
    <n v="2016"/>
    <s v="CSU-8980"/>
    <n v="18527"/>
    <x v="0"/>
    <x v="4"/>
    <s v="LC"/>
    <s v="FC"/>
    <s v="FC-062"/>
    <x v="4"/>
    <s v="L"/>
    <s v="Cx."/>
    <x v="1"/>
    <s v="F"/>
    <m/>
    <n v="1"/>
    <n v="1"/>
    <n v="0"/>
    <s v="Negative"/>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3" cacheId="16"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location ref="A4:D11" firstHeaderRow="0" firstDataRow="1" firstDataCol="1" rowPageCount="1" colPageCount="1"/>
  <pivotFields count="11">
    <pivotField axis="axisPage" showAll="0">
      <items count="2">
        <item x="0"/>
        <item t="default"/>
      </items>
    </pivotField>
    <pivotField showAll="0"/>
    <pivotField showAll="0"/>
    <pivotField axis="axisRow" showAll="0">
      <items count="7">
        <item x="5"/>
        <item x="2"/>
        <item x="3"/>
        <item x="1"/>
        <item x="0"/>
        <item x="4"/>
        <item t="default"/>
      </items>
    </pivotField>
    <pivotField showAll="0"/>
    <pivotField showAll="0"/>
    <pivotField showAll="0"/>
    <pivotField dataField="1" showAll="0"/>
    <pivotField dataField="1" showAll="0"/>
    <pivotField dataField="1" showAll="0"/>
    <pivotField showAll="0" defaultSubtotal="0"/>
  </pivotFields>
  <rowFields count="1">
    <field x="3"/>
  </rowFields>
  <rowItems count="7">
    <i>
      <x/>
    </i>
    <i>
      <x v="1"/>
    </i>
    <i>
      <x v="2"/>
    </i>
    <i>
      <x v="3"/>
    </i>
    <i>
      <x v="4"/>
    </i>
    <i>
      <x v="5"/>
    </i>
    <i t="grand">
      <x/>
    </i>
  </rowItems>
  <colFields count="1">
    <field x="-2"/>
  </colFields>
  <colItems count="3">
    <i>
      <x/>
    </i>
    <i i="1">
      <x v="1"/>
    </i>
    <i i="2">
      <x v="2"/>
    </i>
  </colItems>
  <pageFields count="1">
    <pageField fld="0" hier="-1"/>
  </pageFields>
  <dataFields count="3">
    <dataField name="Sum of Cx pipiens" fld="8" baseField="0" baseItem="0"/>
    <dataField name="Sum of Cx tarsalis" fld="7" baseField="0" baseItem="0"/>
    <dataField name="Sum of Total CX"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1" cacheId="17"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location ref="A4:D11" firstHeaderRow="1" firstDataRow="2" firstDataCol="1" rowPageCount="1" colPageCount="1"/>
  <pivotFields count="18">
    <pivotField showAll="0" defaultSubtotal="0"/>
    <pivotField showAll="0" defaultSubtotal="0"/>
    <pivotField showAll="0" defaultSubtotal="0"/>
    <pivotField axis="axisPage" showAll="0">
      <items count="2">
        <item x="0"/>
        <item t="default"/>
      </items>
    </pivotField>
    <pivotField showAll="0"/>
    <pivotField showAll="0" defaultSubtotal="0"/>
    <pivotField showAll="0" defaultSubtotal="0"/>
    <pivotField showAll="0" defaultSubtotal="0"/>
    <pivotField axis="axisRow" showAll="0">
      <items count="6">
        <item x="0"/>
        <item x="1"/>
        <item x="2"/>
        <item x="3"/>
        <item x="4"/>
        <item t="default"/>
      </items>
    </pivotField>
    <pivotField showAll="0" defaultSubtotal="0"/>
    <pivotField showAll="0" defaultSubtotal="0"/>
    <pivotField axis="axisCol" showAll="0" defaultSubtotal="0">
      <items count="2">
        <item x="1"/>
        <item x="0"/>
      </items>
    </pivotField>
    <pivotField showAll="0" defaultSubtotal="0"/>
    <pivotField showAll="0" defaultSubtotal="0"/>
    <pivotField showAll="0" defaultSubtotal="0"/>
    <pivotField dataField="1" showAll="0" defaultSubtotal="0"/>
    <pivotField showAll="0" defaultSubtotal="0"/>
    <pivotField showAll="0" defaultSubtotal="0"/>
  </pivotFields>
  <rowFields count="1">
    <field x="8"/>
  </rowFields>
  <rowItems count="6">
    <i>
      <x/>
    </i>
    <i>
      <x v="1"/>
    </i>
    <i>
      <x v="2"/>
    </i>
    <i>
      <x v="3"/>
    </i>
    <i>
      <x v="4"/>
    </i>
    <i t="grand">
      <x/>
    </i>
  </rowItems>
  <colFields count="1">
    <field x="11"/>
  </colFields>
  <colItems count="3">
    <i>
      <x/>
    </i>
    <i>
      <x v="1"/>
    </i>
    <i t="grand">
      <x/>
    </i>
  </colItems>
  <pageFields count="1">
    <pageField fld="3" hier="-1"/>
  </pageFields>
  <dataFields count="1">
    <dataField name="Sum of Total" fld="1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4" cacheId="17"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location ref="A4:D11" firstHeaderRow="1" firstDataRow="2" firstDataCol="1" rowPageCount="1" colPageCount="1"/>
  <pivotFields count="18">
    <pivotField showAll="0"/>
    <pivotField dataField="1" showAll="0"/>
    <pivotField showAll="0"/>
    <pivotField axis="axisPage" showAll="0">
      <items count="2">
        <item x="0"/>
        <item t="default"/>
      </items>
    </pivotField>
    <pivotField numFmtId="164" showAll="0"/>
    <pivotField showAll="0"/>
    <pivotField showAll="0"/>
    <pivotField showAll="0"/>
    <pivotField axis="axisRow" showAll="0">
      <items count="6">
        <item x="0"/>
        <item x="1"/>
        <item x="2"/>
        <item x="3"/>
        <item x="4"/>
        <item t="default"/>
      </items>
    </pivotField>
    <pivotField showAll="0"/>
    <pivotField showAll="0"/>
    <pivotField axis="axisCol" showAll="0">
      <items count="3">
        <item x="1"/>
        <item x="0"/>
        <item t="default"/>
      </items>
    </pivotField>
    <pivotField showAll="0"/>
    <pivotField showAll="0"/>
    <pivotField showAll="0"/>
    <pivotField showAll="0"/>
    <pivotField showAll="0"/>
    <pivotField showAll="0"/>
  </pivotFields>
  <rowFields count="1">
    <field x="8"/>
  </rowFields>
  <rowItems count="6">
    <i>
      <x/>
    </i>
    <i>
      <x v="1"/>
    </i>
    <i>
      <x v="2"/>
    </i>
    <i>
      <x v="3"/>
    </i>
    <i>
      <x v="4"/>
    </i>
    <i t="grand">
      <x/>
    </i>
  </rowItems>
  <colFields count="1">
    <field x="11"/>
  </colFields>
  <colItems count="3">
    <i>
      <x/>
    </i>
    <i>
      <x v="1"/>
    </i>
    <i t="grand">
      <x/>
    </i>
  </colItems>
  <pageFields count="1">
    <pageField fld="3" hier="-1"/>
  </pageFields>
  <dataFields count="1">
    <dataField name="Count of CSU Pool Number     (CMC enters)"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name="PivotTable1" cacheId="17" applyNumberFormats="0" applyBorderFormats="0" applyFontFormats="0" applyPatternFormats="0" applyAlignmentFormats="0" applyWidthHeightFormats="1" dataCaption="Values" updatedVersion="6" minRefreshableVersion="3" useAutoFormatting="1" itemPrintTitles="1" createdVersion="4" indent="0" outline="1" outlineData="1" multipleFieldFilters="0">
  <location ref="A5:D12" firstHeaderRow="1" firstDataRow="2" firstDataCol="1" rowPageCount="1" colPageCount="1"/>
  <pivotFields count="18">
    <pivotField showAll="0"/>
    <pivotField showAll="0" defaultSubtotal="0"/>
    <pivotField showAll="0" defaultSubtotal="0"/>
    <pivotField showAll="0"/>
    <pivotField axis="axisPage" numFmtId="164" showAll="0">
      <items count="6">
        <item x="0"/>
        <item x="1"/>
        <item x="2"/>
        <item x="3"/>
        <item x="4"/>
        <item t="default"/>
      </items>
    </pivotField>
    <pivotField showAll="0"/>
    <pivotField showAll="0"/>
    <pivotField showAll="0" defaultSubtotal="0"/>
    <pivotField axis="axisRow" showAll="0">
      <items count="6">
        <item x="2"/>
        <item x="1"/>
        <item x="3"/>
        <item x="4"/>
        <item x="0"/>
        <item t="default"/>
      </items>
    </pivotField>
    <pivotField showAll="0" defaultSubtotal="0"/>
    <pivotField showAll="0"/>
    <pivotField axis="axisCol" showAll="0" defaultSubtotal="0">
      <items count="2">
        <item x="1"/>
        <item x="0"/>
      </items>
    </pivotField>
    <pivotField showAll="0"/>
    <pivotField showAll="0" defaultSubtotal="0"/>
    <pivotField showAll="0" defaultSubtotal="0"/>
    <pivotField showAll="0"/>
    <pivotField dataField="1" showAll="0" defaultSubtotal="0"/>
    <pivotField showAll="0" defaultSubtotal="0"/>
  </pivotFields>
  <rowFields count="1">
    <field x="8"/>
  </rowFields>
  <rowItems count="6">
    <i>
      <x/>
    </i>
    <i>
      <x v="1"/>
    </i>
    <i>
      <x v="2"/>
    </i>
    <i>
      <x v="3"/>
    </i>
    <i>
      <x v="4"/>
    </i>
    <i t="grand">
      <x/>
    </i>
  </rowItems>
  <colFields count="1">
    <field x="11"/>
  </colFields>
  <colItems count="3">
    <i>
      <x/>
    </i>
    <i>
      <x v="1"/>
    </i>
    <i t="grand">
      <x/>
    </i>
  </colItems>
  <pageFields count="1">
    <pageField fld="4" hier="-1"/>
  </pageFields>
  <dataFields count="1">
    <dataField name="Sum of Test code (CSU enters)" fld="1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1"/>
  <sheetViews>
    <sheetView workbookViewId="0">
      <selection activeCell="A12" sqref="A12"/>
    </sheetView>
  </sheetViews>
  <sheetFormatPr defaultRowHeight="15" x14ac:dyDescent="0.25"/>
  <sheetData>
    <row r="1" spans="1:1" x14ac:dyDescent="0.25">
      <c r="A1" t="s">
        <v>100</v>
      </c>
    </row>
    <row r="2" spans="1:1" x14ac:dyDescent="0.25">
      <c r="A2" t="s">
        <v>97</v>
      </c>
    </row>
    <row r="3" spans="1:1" x14ac:dyDescent="0.25">
      <c r="A3" t="s">
        <v>98</v>
      </c>
    </row>
    <row r="5" spans="1:1" x14ac:dyDescent="0.25">
      <c r="A5" t="s">
        <v>95</v>
      </c>
    </row>
    <row r="6" spans="1:1" x14ac:dyDescent="0.25">
      <c r="A6" t="s">
        <v>102</v>
      </c>
    </row>
    <row r="7" spans="1:1" x14ac:dyDescent="0.25">
      <c r="A7" t="s">
        <v>96</v>
      </c>
    </row>
    <row r="8" spans="1:1" x14ac:dyDescent="0.25">
      <c r="A8" t="s">
        <v>103</v>
      </c>
    </row>
    <row r="9" spans="1:1" x14ac:dyDescent="0.25">
      <c r="A9" t="s">
        <v>99</v>
      </c>
    </row>
    <row r="10" spans="1:1" x14ac:dyDescent="0.25">
      <c r="A10" t="s">
        <v>101</v>
      </c>
    </row>
    <row r="11" spans="1:1" x14ac:dyDescent="0.25">
      <c r="A11" t="s">
        <v>104</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N91"/>
  <sheetViews>
    <sheetView topLeftCell="A25" zoomScale="80" zoomScaleNormal="80" workbookViewId="0">
      <selection activeCell="D12" sqref="D12"/>
    </sheetView>
  </sheetViews>
  <sheetFormatPr defaultRowHeight="15" x14ac:dyDescent="0.25"/>
  <cols>
    <col min="1" max="1" width="25.42578125" customWidth="1"/>
    <col min="3" max="3" width="10.28515625" bestFit="1" customWidth="1"/>
    <col min="4" max="5" width="11.42578125" bestFit="1" customWidth="1"/>
    <col min="6" max="6" width="10.28515625" bestFit="1" customWidth="1"/>
    <col min="7" max="7" width="11.7109375" bestFit="1" customWidth="1"/>
    <col min="8" max="8" width="12.7109375" bestFit="1" customWidth="1"/>
    <col min="9" max="9" width="9" customWidth="1"/>
    <col min="10" max="10" width="11" customWidth="1"/>
    <col min="12" max="12" width="12.42578125" customWidth="1"/>
    <col min="13" max="13" width="11.7109375" bestFit="1" customWidth="1"/>
  </cols>
  <sheetData>
    <row r="1" spans="1:13" ht="25.5" customHeight="1" x14ac:dyDescent="0.25">
      <c r="A1" t="s">
        <v>48</v>
      </c>
      <c r="B1" s="4"/>
      <c r="C1" s="76" t="s">
        <v>11</v>
      </c>
      <c r="D1" s="78"/>
      <c r="E1" s="76" t="s">
        <v>12</v>
      </c>
      <c r="F1" s="78"/>
      <c r="G1" s="94"/>
      <c r="H1" s="95"/>
      <c r="I1" s="96"/>
    </row>
    <row r="2" spans="1:13" ht="27" customHeight="1" x14ac:dyDescent="0.25">
      <c r="B2" s="5"/>
      <c r="C2" s="79"/>
      <c r="D2" s="81"/>
      <c r="E2" s="79" t="s">
        <v>13</v>
      </c>
      <c r="F2" s="81"/>
      <c r="G2" s="97" t="s">
        <v>14</v>
      </c>
      <c r="H2" s="98"/>
      <c r="I2" s="99"/>
    </row>
    <row r="3" spans="1:13" ht="15.75" thickBot="1" x14ac:dyDescent="0.3">
      <c r="B3" s="5"/>
      <c r="C3" s="83"/>
      <c r="D3" s="85"/>
      <c r="E3" s="73"/>
      <c r="F3" s="75"/>
      <c r="G3" s="73"/>
      <c r="H3" s="74"/>
      <c r="I3" s="75"/>
    </row>
    <row r="4" spans="1:13" ht="15.75" customHeight="1" x14ac:dyDescent="0.25">
      <c r="B4" s="5" t="s">
        <v>10</v>
      </c>
      <c r="C4" s="86" t="s">
        <v>15</v>
      </c>
      <c r="D4" s="86" t="s">
        <v>16</v>
      </c>
      <c r="E4" s="7" t="s">
        <v>17</v>
      </c>
      <c r="F4" s="7" t="s">
        <v>17</v>
      </c>
      <c r="G4" s="92" t="s">
        <v>18</v>
      </c>
      <c r="H4" s="92" t="s">
        <v>19</v>
      </c>
      <c r="I4" s="9" t="s">
        <v>20</v>
      </c>
    </row>
    <row r="5" spans="1:13" ht="15.75" thickBot="1" x14ac:dyDescent="0.3">
      <c r="B5" s="6"/>
      <c r="C5" s="87"/>
      <c r="D5" s="87"/>
      <c r="E5" s="8" t="s">
        <v>5</v>
      </c>
      <c r="F5" s="8" t="s">
        <v>6</v>
      </c>
      <c r="G5" s="93"/>
      <c r="H5" s="93"/>
      <c r="I5" s="10" t="s">
        <v>21</v>
      </c>
    </row>
    <row r="6" spans="1:13" ht="26.25" thickBot="1" x14ac:dyDescent="0.3">
      <c r="B6" s="11" t="s">
        <v>56</v>
      </c>
      <c r="C6" s="26">
        <f>G37</f>
        <v>0.66666666666666663</v>
      </c>
      <c r="D6" s="26">
        <f>H37</f>
        <v>2.1111111111111112</v>
      </c>
      <c r="E6" s="46">
        <f>L67/1000</f>
        <v>0</v>
      </c>
      <c r="F6" s="46">
        <f>M67/1000</f>
        <v>0</v>
      </c>
      <c r="G6" s="31">
        <f>C6*E6</f>
        <v>0</v>
      </c>
      <c r="H6" s="31">
        <f>D6*F6</f>
        <v>0</v>
      </c>
      <c r="I6" s="31">
        <f>G6+H6</f>
        <v>0</v>
      </c>
    </row>
    <row r="7" spans="1:13" ht="26.25" thickBot="1" x14ac:dyDescent="0.3">
      <c r="B7" s="11" t="s">
        <v>57</v>
      </c>
      <c r="C7" s="26">
        <f t="shared" ref="C7:C10" si="0">G38</f>
        <v>3.2</v>
      </c>
      <c r="D7" s="26">
        <f t="shared" ref="D7:D10" si="1">H38</f>
        <v>9.8000000000000007</v>
      </c>
      <c r="E7" s="46">
        <f t="shared" ref="E7:E10" si="2">L68/1000</f>
        <v>0</v>
      </c>
      <c r="F7" s="46">
        <f t="shared" ref="F7:F10" si="3">M68/1000</f>
        <v>0</v>
      </c>
      <c r="G7" s="31">
        <f t="shared" ref="G7:G9" si="4">C7*E7</f>
        <v>0</v>
      </c>
      <c r="H7" s="31">
        <f t="shared" ref="H7:H9" si="5">D7*F7</f>
        <v>0</v>
      </c>
      <c r="I7" s="31">
        <f t="shared" ref="I7:I10" si="6">G7+H7</f>
        <v>0</v>
      </c>
    </row>
    <row r="8" spans="1:13" ht="26.25" thickBot="1" x14ac:dyDescent="0.3">
      <c r="B8" s="11" t="s">
        <v>59</v>
      </c>
      <c r="C8" s="26">
        <f t="shared" si="0"/>
        <v>2.8</v>
      </c>
      <c r="D8" s="26">
        <f t="shared" si="1"/>
        <v>6.4</v>
      </c>
      <c r="E8" s="46">
        <f t="shared" si="2"/>
        <v>0</v>
      </c>
      <c r="F8" s="46">
        <f t="shared" si="3"/>
        <v>0</v>
      </c>
      <c r="G8" s="31">
        <f t="shared" si="4"/>
        <v>0</v>
      </c>
      <c r="H8" s="31">
        <f t="shared" si="5"/>
        <v>0</v>
      </c>
      <c r="I8" s="31">
        <f t="shared" si="6"/>
        <v>0</v>
      </c>
    </row>
    <row r="9" spans="1:13" ht="26.25" thickBot="1" x14ac:dyDescent="0.3">
      <c r="B9" s="11" t="s">
        <v>58</v>
      </c>
      <c r="C9" s="26">
        <f t="shared" si="0"/>
        <v>0.77777777777777779</v>
      </c>
      <c r="D9" s="26">
        <f t="shared" si="1"/>
        <v>2</v>
      </c>
      <c r="E9" s="46">
        <f t="shared" si="2"/>
        <v>0</v>
      </c>
      <c r="F9" s="46">
        <f t="shared" si="3"/>
        <v>0</v>
      </c>
      <c r="G9" s="31">
        <f t="shared" si="4"/>
        <v>0</v>
      </c>
      <c r="H9" s="31">
        <f t="shared" si="5"/>
        <v>0</v>
      </c>
      <c r="I9" s="31">
        <f t="shared" si="6"/>
        <v>0</v>
      </c>
    </row>
    <row r="10" spans="1:13" ht="26.25" thickBot="1" x14ac:dyDescent="0.3">
      <c r="B10" s="11" t="s">
        <v>22</v>
      </c>
      <c r="C10" s="26">
        <f t="shared" si="0"/>
        <v>2.0232558139534884</v>
      </c>
      <c r="D10" s="26">
        <f t="shared" si="1"/>
        <v>5.3720930232558137</v>
      </c>
      <c r="E10" s="46">
        <f t="shared" si="2"/>
        <v>0</v>
      </c>
      <c r="F10" s="46">
        <f t="shared" si="3"/>
        <v>0</v>
      </c>
      <c r="G10" s="31">
        <f>C10*E10</f>
        <v>0</v>
      </c>
      <c r="H10" s="31">
        <f>D10*F10</f>
        <v>0</v>
      </c>
      <c r="I10" s="31">
        <f t="shared" si="6"/>
        <v>0</v>
      </c>
    </row>
    <row r="11" spans="1:13" ht="15.75" thickBot="1" x14ac:dyDescent="0.3">
      <c r="B11" s="11"/>
      <c r="C11" s="12"/>
      <c r="D11" s="12"/>
      <c r="E11" s="46"/>
      <c r="F11" s="46"/>
      <c r="G11" s="31"/>
      <c r="H11" s="31"/>
      <c r="I11" s="31"/>
    </row>
    <row r="12" spans="1:13" ht="15.75" thickBot="1" x14ac:dyDescent="0.3">
      <c r="B12" s="11" t="s">
        <v>9</v>
      </c>
      <c r="C12" s="26">
        <f>G43</f>
        <v>0.97297297297297303</v>
      </c>
      <c r="D12" s="26">
        <f>H43</f>
        <v>17.189189189189189</v>
      </c>
      <c r="E12" s="46">
        <f>L73/1000</f>
        <v>0</v>
      </c>
      <c r="F12" s="46">
        <f>M73/1000</f>
        <v>0</v>
      </c>
      <c r="G12" s="31">
        <f>C12*E12</f>
        <v>0</v>
      </c>
      <c r="H12" s="31">
        <f>D12*F12</f>
        <v>0</v>
      </c>
      <c r="I12" s="31">
        <f>G12+H12</f>
        <v>0</v>
      </c>
    </row>
    <row r="13" spans="1:13" ht="15.75" thickBot="1" x14ac:dyDescent="0.3"/>
    <row r="14" spans="1:13" ht="15" customHeight="1" x14ac:dyDescent="0.25">
      <c r="A14" t="s">
        <v>54</v>
      </c>
      <c r="B14" s="16"/>
      <c r="C14" s="63" t="s">
        <v>56</v>
      </c>
      <c r="D14" s="65"/>
      <c r="E14" s="63" t="s">
        <v>57</v>
      </c>
      <c r="F14" s="65"/>
      <c r="G14" s="63" t="s">
        <v>59</v>
      </c>
      <c r="H14" s="65"/>
      <c r="I14" s="63" t="s">
        <v>58</v>
      </c>
      <c r="J14" s="65"/>
      <c r="K14" s="63" t="s">
        <v>22</v>
      </c>
      <c r="L14" s="65"/>
      <c r="M14" s="19"/>
    </row>
    <row r="15" spans="1:13" ht="15.75" thickBot="1" x14ac:dyDescent="0.3">
      <c r="B15" s="17"/>
      <c r="C15" s="69"/>
      <c r="D15" s="71"/>
      <c r="E15" s="69"/>
      <c r="F15" s="71"/>
      <c r="G15" s="69"/>
      <c r="H15" s="71"/>
      <c r="I15" s="69"/>
      <c r="J15" s="71"/>
      <c r="K15" s="69"/>
      <c r="L15" s="71"/>
      <c r="M15" s="20"/>
    </row>
    <row r="16" spans="1:13" ht="26.25" thickBot="1" x14ac:dyDescent="0.3">
      <c r="B16" s="18" t="s">
        <v>8</v>
      </c>
      <c r="C16" s="21" t="s">
        <v>23</v>
      </c>
      <c r="D16" s="21" t="s">
        <v>24</v>
      </c>
      <c r="E16" s="21" t="s">
        <v>23</v>
      </c>
      <c r="F16" s="48" t="s">
        <v>24</v>
      </c>
      <c r="G16" s="21" t="s">
        <v>23</v>
      </c>
      <c r="H16" s="48" t="s">
        <v>24</v>
      </c>
      <c r="I16" s="21" t="s">
        <v>23</v>
      </c>
      <c r="J16" s="48" t="s">
        <v>24</v>
      </c>
      <c r="K16" s="21" t="s">
        <v>23</v>
      </c>
      <c r="L16" s="48" t="s">
        <v>24</v>
      </c>
      <c r="M16" s="21" t="s">
        <v>9</v>
      </c>
    </row>
    <row r="17" spans="1:13" ht="15.75" thickBot="1" x14ac:dyDescent="0.3">
      <c r="B17" s="49">
        <v>24</v>
      </c>
      <c r="C17" s="53">
        <v>0</v>
      </c>
      <c r="D17" s="50">
        <v>0</v>
      </c>
      <c r="E17" s="53">
        <v>0</v>
      </c>
      <c r="F17" s="50">
        <v>0</v>
      </c>
      <c r="G17" s="53">
        <v>0</v>
      </c>
      <c r="H17" s="50">
        <v>6.3721999999999997E-3</v>
      </c>
      <c r="I17" s="53">
        <v>0</v>
      </c>
      <c r="J17" s="50">
        <v>0</v>
      </c>
      <c r="K17" s="53">
        <v>0</v>
      </c>
      <c r="L17" s="50">
        <v>2.310872354827171E-3</v>
      </c>
      <c r="M17" s="53">
        <v>0</v>
      </c>
    </row>
    <row r="18" spans="1:13" ht="15.75" thickBot="1" x14ac:dyDescent="0.3">
      <c r="B18" s="49">
        <v>25</v>
      </c>
      <c r="C18" s="53">
        <v>0</v>
      </c>
      <c r="D18" s="50">
        <v>0</v>
      </c>
      <c r="E18" s="53">
        <v>0</v>
      </c>
      <c r="F18" s="50">
        <v>1.8774300000000001E-2</v>
      </c>
      <c r="G18" s="53">
        <v>0</v>
      </c>
      <c r="H18" s="50">
        <v>0</v>
      </c>
      <c r="I18" s="53">
        <v>0</v>
      </c>
      <c r="J18" s="50">
        <v>0</v>
      </c>
      <c r="K18" s="53">
        <v>0</v>
      </c>
      <c r="L18" s="50">
        <v>3.7680930482037458E-3</v>
      </c>
      <c r="M18" s="53">
        <v>0</v>
      </c>
    </row>
    <row r="19" spans="1:13" ht="15.75" thickBot="1" x14ac:dyDescent="0.3">
      <c r="B19" s="49">
        <v>26</v>
      </c>
      <c r="C19" s="53"/>
      <c r="D19" s="50">
        <v>0</v>
      </c>
      <c r="E19" s="53"/>
      <c r="F19" s="50">
        <v>9.7776000000000009E-3</v>
      </c>
      <c r="G19" s="53"/>
      <c r="H19" s="50">
        <v>1.8501699999999999E-2</v>
      </c>
      <c r="I19" s="53"/>
      <c r="J19" s="50">
        <v>1.16285E-2</v>
      </c>
      <c r="K19" s="53"/>
      <c r="L19" s="50">
        <v>1.1468048137997683E-2</v>
      </c>
      <c r="M19" s="53"/>
    </row>
    <row r="20" spans="1:13" ht="15.75" thickBot="1" x14ac:dyDescent="0.3">
      <c r="B20" s="49">
        <v>27</v>
      </c>
      <c r="C20" s="54"/>
      <c r="D20" s="50">
        <v>0</v>
      </c>
      <c r="E20" s="54"/>
      <c r="F20" s="50">
        <v>4.0647552933751996E-2</v>
      </c>
      <c r="G20" s="53"/>
      <c r="H20" s="50">
        <v>7.1589000000000002E-3</v>
      </c>
      <c r="I20" s="53"/>
      <c r="J20" s="50">
        <v>0</v>
      </c>
      <c r="K20" s="53"/>
      <c r="L20" s="50">
        <v>1.2877096216512543E-2</v>
      </c>
      <c r="M20" s="53"/>
    </row>
    <row r="21" spans="1:13" ht="15.75" thickBot="1" x14ac:dyDescent="0.3">
      <c r="B21" s="49">
        <v>28</v>
      </c>
      <c r="C21" s="53"/>
      <c r="D21" s="50">
        <v>0</v>
      </c>
      <c r="E21" s="53"/>
      <c r="F21" s="50">
        <v>4.1391000835061531E-2</v>
      </c>
      <c r="G21" s="53"/>
      <c r="H21" s="50">
        <v>0.1194880889603864</v>
      </c>
      <c r="I21" s="53"/>
      <c r="J21" s="50">
        <v>1.10096E-2</v>
      </c>
      <c r="K21" s="53"/>
      <c r="L21" s="50">
        <v>5.0170215439748055E-2</v>
      </c>
      <c r="M21" s="53"/>
    </row>
    <row r="22" spans="1:13" ht="15.75" thickBot="1" x14ac:dyDescent="0.3">
      <c r="B22" s="49">
        <v>29</v>
      </c>
      <c r="C22" s="51"/>
      <c r="D22" s="50">
        <v>0.11412426705542533</v>
      </c>
      <c r="E22" s="51"/>
      <c r="F22" s="50">
        <v>0.15544689999999997</v>
      </c>
      <c r="G22" s="51"/>
      <c r="H22" s="50">
        <v>0.3556589</v>
      </c>
      <c r="I22" s="51"/>
      <c r="J22" s="50">
        <v>3.6847699999999997E-2</v>
      </c>
      <c r="K22" s="51"/>
      <c r="L22" s="50">
        <v>0.18404600770427676</v>
      </c>
      <c r="M22" s="51"/>
    </row>
    <row r="23" spans="1:13" ht="15.75" thickBot="1" x14ac:dyDescent="0.3">
      <c r="B23" s="49">
        <v>30</v>
      </c>
      <c r="C23" s="51"/>
      <c r="D23" s="50">
        <v>0.12836757316874287</v>
      </c>
      <c r="E23" s="51"/>
      <c r="F23" s="50">
        <v>0.17618547045558217</v>
      </c>
      <c r="G23" s="51"/>
      <c r="H23" s="50">
        <v>0.31145640112101491</v>
      </c>
      <c r="I23" s="51"/>
      <c r="J23" s="50">
        <v>9.3182299999999996E-2</v>
      </c>
      <c r="K23" s="51"/>
      <c r="L23" s="50">
        <v>0.19031609671605768</v>
      </c>
      <c r="M23" s="51"/>
    </row>
    <row r="24" spans="1:13" ht="15.75" thickBot="1" x14ac:dyDescent="0.3">
      <c r="B24" s="49">
        <v>31</v>
      </c>
      <c r="C24" s="51"/>
      <c r="D24" s="50">
        <v>0.19638383038889326</v>
      </c>
      <c r="E24" s="51"/>
      <c r="F24" s="50">
        <v>0.18242749092950958</v>
      </c>
      <c r="G24" s="51"/>
      <c r="H24" s="50">
        <v>0.20621614181958181</v>
      </c>
      <c r="I24" s="51"/>
      <c r="J24" s="50">
        <v>6.0853287335230676E-2</v>
      </c>
      <c r="K24" s="51"/>
      <c r="L24" s="50">
        <v>0.18863058745500902</v>
      </c>
      <c r="M24" s="51"/>
    </row>
    <row r="25" spans="1:13" ht="15.75" thickBot="1" x14ac:dyDescent="0.3">
      <c r="B25" s="49">
        <v>32</v>
      </c>
      <c r="C25" s="51"/>
      <c r="D25" s="50">
        <v>0.15227360076844429</v>
      </c>
      <c r="E25" s="51"/>
      <c r="F25" s="50">
        <v>0.31470231336694138</v>
      </c>
      <c r="G25" s="51"/>
      <c r="H25" s="50">
        <v>0.38534694138798203</v>
      </c>
      <c r="I25" s="51"/>
      <c r="J25" s="50">
        <v>8.9430430214423609E-2</v>
      </c>
      <c r="K25" s="51"/>
      <c r="L25" s="50">
        <v>0.25668196245911118</v>
      </c>
      <c r="M25" s="51"/>
    </row>
    <row r="26" spans="1:13" ht="15.75" thickBot="1" x14ac:dyDescent="0.3">
      <c r="B26" s="49">
        <v>33</v>
      </c>
      <c r="C26" s="51"/>
      <c r="D26" s="50">
        <v>0.18774752664862557</v>
      </c>
      <c r="E26" s="51"/>
      <c r="F26" s="50">
        <v>0.35275219502825739</v>
      </c>
      <c r="G26" s="51"/>
      <c r="H26" s="50">
        <v>0.25890097035805321</v>
      </c>
      <c r="I26" s="51"/>
      <c r="J26" s="50">
        <v>5.6851330171674E-2</v>
      </c>
      <c r="K26" s="51"/>
      <c r="L26" s="50">
        <v>0.22197707400449748</v>
      </c>
      <c r="M26" s="51"/>
    </row>
    <row r="27" spans="1:13" ht="15.75" thickBot="1" x14ac:dyDescent="0.3">
      <c r="B27" s="49">
        <v>34</v>
      </c>
      <c r="C27" s="51"/>
      <c r="D27" s="50">
        <v>0.14035534568046981</v>
      </c>
      <c r="E27" s="51"/>
      <c r="F27" s="50">
        <v>0.15779742049789733</v>
      </c>
      <c r="G27" s="51"/>
      <c r="H27" s="50">
        <v>0.32777904179655093</v>
      </c>
      <c r="I27" s="51"/>
      <c r="J27" s="50">
        <v>5.1218048395847697E-2</v>
      </c>
      <c r="K27" s="51"/>
      <c r="L27" s="50">
        <v>0.18728282853665851</v>
      </c>
      <c r="M27" s="51"/>
    </row>
    <row r="28" spans="1:13" ht="15.75" thickBot="1" x14ac:dyDescent="0.3">
      <c r="B28" s="49">
        <v>35</v>
      </c>
      <c r="C28" s="51"/>
      <c r="D28" s="50">
        <v>4.335731195516504E-2</v>
      </c>
      <c r="E28" s="51"/>
      <c r="F28" s="50">
        <v>0.14162417961513102</v>
      </c>
      <c r="G28" s="51"/>
      <c r="H28" s="50">
        <v>0.20382188653161887</v>
      </c>
      <c r="I28" s="51"/>
      <c r="J28" s="50">
        <v>0.14801054102234854</v>
      </c>
      <c r="K28" s="51"/>
      <c r="L28" s="50">
        <v>0.1439366748784412</v>
      </c>
      <c r="M28" s="51"/>
    </row>
    <row r="29" spans="1:13" ht="15.75" thickBot="1" x14ac:dyDescent="0.3">
      <c r="B29" s="49">
        <v>36</v>
      </c>
      <c r="C29" s="51"/>
      <c r="D29" s="52">
        <v>5.1723037505435936E-2</v>
      </c>
      <c r="E29" s="51"/>
      <c r="F29" s="52">
        <v>8.3553176158545545E-2</v>
      </c>
      <c r="G29" s="51"/>
      <c r="H29" s="52">
        <v>0</v>
      </c>
      <c r="I29" s="51"/>
      <c r="J29" s="52">
        <v>0</v>
      </c>
      <c r="K29" s="51"/>
      <c r="L29" s="52">
        <v>3.5916385208361226E-2</v>
      </c>
      <c r="M29" s="51"/>
    </row>
    <row r="30" spans="1:13" ht="15.75" thickBot="1" x14ac:dyDescent="0.3">
      <c r="B30" s="49">
        <v>37</v>
      </c>
      <c r="C30" s="51"/>
      <c r="D30" s="53">
        <v>0</v>
      </c>
      <c r="E30" s="51"/>
      <c r="F30" s="53">
        <v>5.0416000000000002E-2</v>
      </c>
      <c r="G30" s="51"/>
      <c r="H30" s="53">
        <v>2.7E-2</v>
      </c>
      <c r="I30" s="51"/>
      <c r="J30" s="53">
        <v>0</v>
      </c>
      <c r="K30" s="51"/>
      <c r="L30" s="53">
        <v>2.1445116279069771E-2</v>
      </c>
      <c r="M30" s="51"/>
    </row>
    <row r="31" spans="1:13" ht="15.75" thickBot="1" x14ac:dyDescent="0.3"/>
    <row r="32" spans="1:13" x14ac:dyDescent="0.25">
      <c r="A32" t="s">
        <v>50</v>
      </c>
      <c r="B32" s="4"/>
      <c r="C32" s="76" t="s">
        <v>25</v>
      </c>
      <c r="D32" s="77"/>
      <c r="E32" s="78"/>
      <c r="F32" s="15"/>
      <c r="G32" s="76" t="s">
        <v>28</v>
      </c>
      <c r="H32" s="77"/>
      <c r="I32" s="78"/>
    </row>
    <row r="33" spans="1:13" ht="38.25" x14ac:dyDescent="0.25">
      <c r="B33" s="5"/>
      <c r="C33" s="79" t="s">
        <v>26</v>
      </c>
      <c r="D33" s="80"/>
      <c r="E33" s="81"/>
      <c r="F33" s="14" t="s">
        <v>27</v>
      </c>
      <c r="G33" s="79"/>
      <c r="H33" s="82"/>
      <c r="I33" s="81"/>
    </row>
    <row r="34" spans="1:13" ht="15.75" thickBot="1" x14ac:dyDescent="0.3">
      <c r="B34" s="5"/>
      <c r="C34" s="73"/>
      <c r="D34" s="74"/>
      <c r="E34" s="75"/>
      <c r="F34" s="22"/>
      <c r="G34" s="83"/>
      <c r="H34" s="84"/>
      <c r="I34" s="85"/>
    </row>
    <row r="35" spans="1:13" x14ac:dyDescent="0.25">
      <c r="B35" s="5" t="s">
        <v>10</v>
      </c>
      <c r="C35" s="86" t="s">
        <v>15</v>
      </c>
      <c r="D35" s="86" t="s">
        <v>16</v>
      </c>
      <c r="E35" s="88" t="s">
        <v>29</v>
      </c>
      <c r="F35" s="22"/>
      <c r="G35" s="90" t="s">
        <v>30</v>
      </c>
      <c r="H35" s="90" t="s">
        <v>31</v>
      </c>
      <c r="I35" s="27" t="s">
        <v>20</v>
      </c>
    </row>
    <row r="36" spans="1:13" ht="15.75" thickBot="1" x14ac:dyDescent="0.3">
      <c r="B36" s="6"/>
      <c r="C36" s="87"/>
      <c r="D36" s="87"/>
      <c r="E36" s="89"/>
      <c r="F36" s="13"/>
      <c r="G36" s="91"/>
      <c r="H36" s="91"/>
      <c r="I36" s="28" t="s">
        <v>32</v>
      </c>
    </row>
    <row r="37" spans="1:13" ht="26.25" thickBot="1" x14ac:dyDescent="0.3">
      <c r="B37" s="11" t="s">
        <v>56</v>
      </c>
      <c r="C37" s="59">
        <f>'Total Number Of Ind'!H7</f>
        <v>6</v>
      </c>
      <c r="D37" s="59">
        <f>'Total Number Of Ind'!I7</f>
        <v>19</v>
      </c>
      <c r="E37" s="59">
        <f>C37+D37</f>
        <v>25</v>
      </c>
      <c r="F37" s="59">
        <v>9</v>
      </c>
      <c r="G37" s="26">
        <f>C37/F37</f>
        <v>0.66666666666666663</v>
      </c>
      <c r="H37" s="26">
        <f>D37/F37</f>
        <v>2.1111111111111112</v>
      </c>
      <c r="I37" s="26">
        <f>E37/F37</f>
        <v>2.7777777777777777</v>
      </c>
    </row>
    <row r="38" spans="1:13" ht="26.25" thickBot="1" x14ac:dyDescent="0.3">
      <c r="B38" s="11" t="s">
        <v>57</v>
      </c>
      <c r="C38" s="59">
        <f>'Total Number Of Ind'!H6</f>
        <v>32</v>
      </c>
      <c r="D38" s="59">
        <f>'Total Number Of Ind'!I6</f>
        <v>98</v>
      </c>
      <c r="E38" s="59">
        <f t="shared" ref="E38:E40" si="7">C38+D38</f>
        <v>130</v>
      </c>
      <c r="F38" s="59">
        <v>10</v>
      </c>
      <c r="G38" s="26">
        <f t="shared" ref="G38:G43" si="8">C38/F38</f>
        <v>3.2</v>
      </c>
      <c r="H38" s="26">
        <f t="shared" ref="H38:H41" si="9">D38/F38</f>
        <v>9.8000000000000007</v>
      </c>
      <c r="I38" s="26">
        <f t="shared" ref="I38:I43" si="10">E38/F38</f>
        <v>13</v>
      </c>
    </row>
    <row r="39" spans="1:13" ht="26.25" thickBot="1" x14ac:dyDescent="0.3">
      <c r="B39" s="11" t="s">
        <v>59</v>
      </c>
      <c r="C39" s="59">
        <f>'Total Number Of Ind'!H8</f>
        <v>42</v>
      </c>
      <c r="D39" s="59">
        <f>'Total Number Of Ind'!I8</f>
        <v>96</v>
      </c>
      <c r="E39" s="59">
        <f t="shared" si="7"/>
        <v>138</v>
      </c>
      <c r="F39" s="59">
        <v>15</v>
      </c>
      <c r="G39" s="26">
        <f t="shared" si="8"/>
        <v>2.8</v>
      </c>
      <c r="H39" s="26">
        <f>D39/F39</f>
        <v>6.4</v>
      </c>
      <c r="I39" s="26">
        <f t="shared" si="10"/>
        <v>9.1999999999999993</v>
      </c>
    </row>
    <row r="40" spans="1:13" ht="26.25" thickBot="1" x14ac:dyDescent="0.3">
      <c r="B40" s="11" t="s">
        <v>58</v>
      </c>
      <c r="C40" s="59">
        <f>'Total Number Of Ind'!H9</f>
        <v>7</v>
      </c>
      <c r="D40" s="59">
        <f>'Total Number Of Ind'!I9</f>
        <v>18</v>
      </c>
      <c r="E40" s="59">
        <f t="shared" si="7"/>
        <v>25</v>
      </c>
      <c r="F40" s="59">
        <v>9</v>
      </c>
      <c r="G40" s="26">
        <f t="shared" si="8"/>
        <v>0.77777777777777779</v>
      </c>
      <c r="H40" s="26">
        <f t="shared" si="9"/>
        <v>2</v>
      </c>
      <c r="I40" s="26">
        <f t="shared" si="10"/>
        <v>2.7777777777777777</v>
      </c>
    </row>
    <row r="41" spans="1:13" ht="26.25" thickBot="1" x14ac:dyDescent="0.3">
      <c r="B41" s="11" t="s">
        <v>22</v>
      </c>
      <c r="C41" s="59">
        <f>SUM(C37:C40)</f>
        <v>87</v>
      </c>
      <c r="D41" s="59">
        <f>SUM(D37:D40)</f>
        <v>231</v>
      </c>
      <c r="E41" s="59">
        <f>SUM(E37:E40)</f>
        <v>318</v>
      </c>
      <c r="F41" s="59">
        <v>43</v>
      </c>
      <c r="G41" s="26">
        <f t="shared" si="8"/>
        <v>2.0232558139534884</v>
      </c>
      <c r="H41" s="26">
        <f t="shared" si="9"/>
        <v>5.3720930232558137</v>
      </c>
      <c r="I41" s="26">
        <f>E41/F41</f>
        <v>7.3953488372093021</v>
      </c>
    </row>
    <row r="42" spans="1:13" ht="15.75" thickBot="1" x14ac:dyDescent="0.3">
      <c r="B42" s="11"/>
      <c r="C42" s="59"/>
      <c r="D42" s="59"/>
      <c r="E42" s="59"/>
      <c r="F42" s="59"/>
      <c r="G42" s="26"/>
      <c r="H42" s="26"/>
      <c r="I42" s="26"/>
    </row>
    <row r="43" spans="1:13" ht="15.75" thickBot="1" x14ac:dyDescent="0.3">
      <c r="B43" s="11" t="s">
        <v>9</v>
      </c>
      <c r="C43" s="59">
        <f>'Total Number Of Ind'!H5</f>
        <v>36</v>
      </c>
      <c r="D43" s="59">
        <f>'Total Number Of Ind'!I5</f>
        <v>636</v>
      </c>
      <c r="E43" s="59">
        <f>C43+D43</f>
        <v>672</v>
      </c>
      <c r="F43" s="59">
        <v>37</v>
      </c>
      <c r="G43" s="26">
        <f t="shared" si="8"/>
        <v>0.97297297297297303</v>
      </c>
      <c r="H43" s="26">
        <f>D43/F43</f>
        <v>17.189189189189189</v>
      </c>
      <c r="I43" s="26">
        <f t="shared" si="10"/>
        <v>18.162162162162161</v>
      </c>
    </row>
    <row r="44" spans="1:13" ht="15.75" thickBot="1" x14ac:dyDescent="0.3"/>
    <row r="45" spans="1:13" x14ac:dyDescent="0.25">
      <c r="A45" t="s">
        <v>51</v>
      </c>
      <c r="B45" s="16"/>
      <c r="C45" s="63" t="s">
        <v>56</v>
      </c>
      <c r="D45" s="65"/>
      <c r="E45" s="63" t="s">
        <v>57</v>
      </c>
      <c r="F45" s="65"/>
      <c r="G45" s="63" t="s">
        <v>59</v>
      </c>
      <c r="H45" s="65"/>
      <c r="I45" s="63" t="s">
        <v>58</v>
      </c>
      <c r="J45" s="65"/>
      <c r="K45" s="63" t="s">
        <v>22</v>
      </c>
      <c r="L45" s="65"/>
      <c r="M45" s="19"/>
    </row>
    <row r="46" spans="1:13" ht="15.75" thickBot="1" x14ac:dyDescent="0.3">
      <c r="B46" s="17"/>
      <c r="C46" s="69"/>
      <c r="D46" s="71"/>
      <c r="E46" s="69"/>
      <c r="F46" s="71"/>
      <c r="G46" s="69"/>
      <c r="H46" s="71"/>
      <c r="I46" s="69"/>
      <c r="J46" s="71"/>
      <c r="K46" s="69"/>
      <c r="L46" s="71"/>
      <c r="M46" s="20"/>
    </row>
    <row r="47" spans="1:13" ht="26.25" thickBot="1" x14ac:dyDescent="0.3">
      <c r="B47" s="18" t="s">
        <v>8</v>
      </c>
      <c r="C47" s="21" t="s">
        <v>23</v>
      </c>
      <c r="D47" s="21" t="s">
        <v>24</v>
      </c>
      <c r="E47" s="21" t="s">
        <v>23</v>
      </c>
      <c r="F47" s="21" t="s">
        <v>24</v>
      </c>
      <c r="G47" s="21" t="s">
        <v>23</v>
      </c>
      <c r="H47" s="21" t="s">
        <v>24</v>
      </c>
      <c r="I47" s="21" t="s">
        <v>23</v>
      </c>
      <c r="J47" s="21" t="s">
        <v>24</v>
      </c>
      <c r="K47" s="21" t="s">
        <v>23</v>
      </c>
      <c r="L47" s="21" t="s">
        <v>24</v>
      </c>
      <c r="M47" s="21" t="s">
        <v>9</v>
      </c>
    </row>
    <row r="48" spans="1:13" ht="15.75" thickBot="1" x14ac:dyDescent="0.3">
      <c r="B48" s="18">
        <v>24</v>
      </c>
      <c r="C48" s="29">
        <v>0.88888888888888884</v>
      </c>
      <c r="D48" s="55">
        <v>2.292134831460674</v>
      </c>
      <c r="E48" s="29">
        <v>1.9</v>
      </c>
      <c r="F48" s="55">
        <v>8.3775510204081627</v>
      </c>
      <c r="G48" s="29">
        <v>1.8</v>
      </c>
      <c r="H48" s="55">
        <v>10.858156028368795</v>
      </c>
      <c r="I48" s="29">
        <v>0.66666666666666663</v>
      </c>
      <c r="J48" s="55">
        <v>1.1395348837209303</v>
      </c>
      <c r="K48" s="29">
        <v>1.3953488372093024</v>
      </c>
      <c r="L48" s="55">
        <v>6.4106280193236715</v>
      </c>
      <c r="M48" s="29">
        <v>3.0526315789473686</v>
      </c>
    </row>
    <row r="49" spans="1:14" ht="15.75" thickBot="1" x14ac:dyDescent="0.3">
      <c r="B49" s="18">
        <v>25</v>
      </c>
      <c r="C49" s="29">
        <v>2.7777777777777777</v>
      </c>
      <c r="D49" s="55">
        <v>8.0113636363636367</v>
      </c>
      <c r="E49" s="29">
        <v>13</v>
      </c>
      <c r="F49" s="55">
        <v>21.408163265306122</v>
      </c>
      <c r="G49" s="29">
        <v>9.1999999999999993</v>
      </c>
      <c r="H49" s="55">
        <v>26.169014084507044</v>
      </c>
      <c r="I49" s="29">
        <v>2.7777777777777777</v>
      </c>
      <c r="J49" s="55">
        <v>3.6829268292682928</v>
      </c>
      <c r="K49" s="29">
        <v>7.3953488372093021</v>
      </c>
      <c r="L49" s="55">
        <v>16.636585365853659</v>
      </c>
      <c r="M49" s="26">
        <v>18.162162162162161</v>
      </c>
    </row>
    <row r="50" spans="1:14" ht="15.75" thickBot="1" x14ac:dyDescent="0.3">
      <c r="B50" s="18">
        <v>26</v>
      </c>
      <c r="C50" s="29"/>
      <c r="D50" s="55">
        <v>13.833333333333334</v>
      </c>
      <c r="E50" s="29"/>
      <c r="F50" s="55">
        <v>40.03092783505155</v>
      </c>
      <c r="G50" s="29"/>
      <c r="H50" s="55">
        <v>37.070921985815602</v>
      </c>
      <c r="I50" s="29"/>
      <c r="J50" s="55">
        <v>6.375</v>
      </c>
      <c r="K50" s="29"/>
      <c r="L50" s="55">
        <v>26.240384615384617</v>
      </c>
      <c r="M50" s="26"/>
    </row>
    <row r="51" spans="1:14" ht="15.75" thickBot="1" x14ac:dyDescent="0.3">
      <c r="B51" s="18">
        <v>27</v>
      </c>
      <c r="C51" s="29"/>
      <c r="D51" s="55">
        <v>29.192307692307693</v>
      </c>
      <c r="E51" s="29"/>
      <c r="F51" s="55">
        <v>67.744897959183675</v>
      </c>
      <c r="G51" s="29"/>
      <c r="H51" s="55">
        <v>44.028571428571432</v>
      </c>
      <c r="I51" s="29"/>
      <c r="J51" s="55">
        <v>11.838709677419354</v>
      </c>
      <c r="K51" s="29"/>
      <c r="L51" s="55">
        <v>41.835978835978835</v>
      </c>
      <c r="M51" s="29"/>
    </row>
    <row r="52" spans="1:14" ht="15.75" thickBot="1" x14ac:dyDescent="0.3">
      <c r="B52" s="18">
        <v>28</v>
      </c>
      <c r="C52" s="29"/>
      <c r="D52" s="55">
        <v>46.666666666666664</v>
      </c>
      <c r="E52" s="29"/>
      <c r="F52" s="55">
        <v>88.755102040816325</v>
      </c>
      <c r="G52" s="29"/>
      <c r="H52" s="55">
        <v>74.492857142857147</v>
      </c>
      <c r="I52" s="29"/>
      <c r="J52" s="55">
        <v>12.965909090909092</v>
      </c>
      <c r="K52" s="29"/>
      <c r="L52" s="55">
        <v>58.817307692307693</v>
      </c>
      <c r="M52" s="29"/>
    </row>
    <row r="53" spans="1:14" ht="15.75" thickBot="1" x14ac:dyDescent="0.3">
      <c r="B53" s="18">
        <v>29</v>
      </c>
      <c r="C53" s="47"/>
      <c r="D53" s="55">
        <v>55.359550561797754</v>
      </c>
      <c r="E53" s="47"/>
      <c r="F53" s="55">
        <v>85.717171717171723</v>
      </c>
      <c r="G53" s="47"/>
      <c r="H53" s="55">
        <v>74.274647887323937</v>
      </c>
      <c r="I53" s="47"/>
      <c r="J53" s="55">
        <v>22.654761904761905</v>
      </c>
      <c r="K53" s="47"/>
      <c r="L53" s="55">
        <v>62.471014492753625</v>
      </c>
      <c r="M53" s="47"/>
    </row>
    <row r="54" spans="1:14" ht="15.75" thickBot="1" x14ac:dyDescent="0.3">
      <c r="B54" s="18">
        <v>30</v>
      </c>
      <c r="C54" s="47"/>
      <c r="D54" s="55">
        <v>52.640449438202246</v>
      </c>
      <c r="E54" s="47"/>
      <c r="F54" s="55">
        <v>128.01010101010101</v>
      </c>
      <c r="G54" s="47"/>
      <c r="H54" s="55">
        <v>86.75</v>
      </c>
      <c r="I54" s="47"/>
      <c r="J54" s="55">
        <v>19.646341463414632</v>
      </c>
      <c r="K54" s="47"/>
      <c r="L54" s="55">
        <v>75.887804878048783</v>
      </c>
      <c r="M54" s="47"/>
    </row>
    <row r="55" spans="1:14" ht="15.75" thickBot="1" x14ac:dyDescent="0.3">
      <c r="B55" s="18">
        <v>31</v>
      </c>
      <c r="C55" s="47"/>
      <c r="D55" s="55">
        <v>49.121951219512198</v>
      </c>
      <c r="E55" s="47"/>
      <c r="F55" s="55">
        <v>102.62626262626263</v>
      </c>
      <c r="G55" s="47"/>
      <c r="H55" s="55">
        <v>58.826086956521742</v>
      </c>
      <c r="I55" s="47"/>
      <c r="J55" s="55">
        <v>16.310810810810811</v>
      </c>
      <c r="K55" s="47"/>
      <c r="L55" s="55">
        <v>59.829516539440206</v>
      </c>
      <c r="M55" s="47"/>
    </row>
    <row r="56" spans="1:14" ht="15.75" thickBot="1" x14ac:dyDescent="0.3">
      <c r="B56" s="18">
        <v>32</v>
      </c>
      <c r="C56" s="47"/>
      <c r="D56" s="55">
        <v>41.302325581395351</v>
      </c>
      <c r="E56" s="47"/>
      <c r="F56" s="55">
        <v>68.141414141414145</v>
      </c>
      <c r="G56" s="47"/>
      <c r="H56" s="55">
        <v>55.255319148936174</v>
      </c>
      <c r="I56" s="47"/>
      <c r="J56" s="55">
        <v>14.867469879518072</v>
      </c>
      <c r="K56" s="47"/>
      <c r="L56" s="55">
        <v>47.244498777506109</v>
      </c>
      <c r="M56" s="47"/>
    </row>
    <row r="57" spans="1:14" ht="15.75" thickBot="1" x14ac:dyDescent="0.3">
      <c r="B57" s="18">
        <v>33</v>
      </c>
      <c r="C57" s="47"/>
      <c r="D57" s="55">
        <v>24.864197530864196</v>
      </c>
      <c r="E57" s="47"/>
      <c r="F57" s="55">
        <v>49.241758241758241</v>
      </c>
      <c r="G57" s="47"/>
      <c r="H57" s="55">
        <v>33.930769230769229</v>
      </c>
      <c r="I57" s="47"/>
      <c r="J57" s="55">
        <v>8.8518518518518512</v>
      </c>
      <c r="K57" s="47"/>
      <c r="L57" s="55">
        <v>30.347258485639685</v>
      </c>
      <c r="M57" s="47"/>
    </row>
    <row r="58" spans="1:14" ht="15.75" thickBot="1" x14ac:dyDescent="0.3">
      <c r="B58" s="18">
        <v>34</v>
      </c>
      <c r="C58" s="47"/>
      <c r="D58" s="55">
        <v>19.594936708860761</v>
      </c>
      <c r="E58" s="47"/>
      <c r="F58" s="55">
        <v>43.344444444444441</v>
      </c>
      <c r="G58" s="47"/>
      <c r="H58" s="55">
        <v>27.08</v>
      </c>
      <c r="I58" s="47"/>
      <c r="J58" s="55">
        <v>6.5540540540540544</v>
      </c>
      <c r="K58" s="47"/>
      <c r="L58" s="55">
        <v>25.323369565217391</v>
      </c>
      <c r="M58" s="47"/>
    </row>
    <row r="59" spans="1:14" ht="15.75" thickBot="1" x14ac:dyDescent="0.3">
      <c r="B59" s="18">
        <v>35</v>
      </c>
      <c r="C59" s="47"/>
      <c r="D59" s="55">
        <v>8.0897435897435894</v>
      </c>
      <c r="E59" s="47"/>
      <c r="F59" s="55">
        <v>20.795454545454547</v>
      </c>
      <c r="G59" s="47"/>
      <c r="H59" s="55">
        <v>13.563492063492063</v>
      </c>
      <c r="I59" s="47"/>
      <c r="J59" s="55">
        <v>3.9333333333333331</v>
      </c>
      <c r="K59" s="47"/>
      <c r="L59" s="55">
        <v>12.166212534059946</v>
      </c>
      <c r="M59" s="47"/>
    </row>
    <row r="60" spans="1:14" ht="15.75" thickBot="1" x14ac:dyDescent="0.3">
      <c r="B60" s="18">
        <v>36</v>
      </c>
      <c r="C60" s="48"/>
      <c r="D60" s="56">
        <v>5.1707317073170733</v>
      </c>
      <c r="E60" s="48"/>
      <c r="F60" s="56">
        <v>11.685185185185185</v>
      </c>
      <c r="G60" s="48"/>
      <c r="H60" s="56">
        <v>5.4933333333333332</v>
      </c>
      <c r="I60" s="48"/>
      <c r="J60" s="56">
        <v>2.125</v>
      </c>
      <c r="K60" s="48"/>
      <c r="L60" s="56">
        <v>6.5495049504950495</v>
      </c>
      <c r="M60" s="48"/>
    </row>
    <row r="61" spans="1:14" ht="15.75" thickBot="1" x14ac:dyDescent="0.3">
      <c r="B61" s="18">
        <v>37</v>
      </c>
      <c r="C61" s="21"/>
      <c r="D61" s="56">
        <v>4.3666666666666663</v>
      </c>
      <c r="E61" s="21"/>
      <c r="F61" s="56">
        <v>8.0606060606060606</v>
      </c>
      <c r="G61" s="21"/>
      <c r="H61" s="56">
        <v>5.2553191489361701</v>
      </c>
      <c r="I61" s="21"/>
      <c r="J61" s="56">
        <v>2.8636363636363638</v>
      </c>
      <c r="K61" s="21"/>
      <c r="L61" s="56">
        <v>5.3560606060606064</v>
      </c>
      <c r="M61" s="21"/>
    </row>
    <row r="62" spans="1:14" ht="15.75" thickBot="1" x14ac:dyDescent="0.3"/>
    <row r="63" spans="1:14" x14ac:dyDescent="0.25">
      <c r="A63" t="s">
        <v>52</v>
      </c>
      <c r="B63" s="16"/>
      <c r="C63" s="63" t="s">
        <v>34</v>
      </c>
      <c r="D63" s="64"/>
      <c r="E63" s="65"/>
      <c r="F63" s="63" t="s">
        <v>35</v>
      </c>
      <c r="G63" s="64"/>
      <c r="H63" s="65"/>
      <c r="I63" s="63" t="s">
        <v>33</v>
      </c>
      <c r="J63" s="64"/>
      <c r="K63" s="65"/>
      <c r="L63" s="63" t="s">
        <v>37</v>
      </c>
      <c r="M63" s="64"/>
      <c r="N63" s="65"/>
    </row>
    <row r="64" spans="1:14" x14ac:dyDescent="0.25">
      <c r="B64" s="17"/>
      <c r="C64" s="66"/>
      <c r="D64" s="67"/>
      <c r="E64" s="68"/>
      <c r="F64" s="66"/>
      <c r="G64" s="67"/>
      <c r="H64" s="68"/>
      <c r="I64" s="66" t="s">
        <v>36</v>
      </c>
      <c r="J64" s="72"/>
      <c r="K64" s="68"/>
      <c r="L64" s="66"/>
      <c r="M64" s="67"/>
      <c r="N64" s="68"/>
    </row>
    <row r="65" spans="1:14" ht="15.75" thickBot="1" x14ac:dyDescent="0.3">
      <c r="B65" s="17"/>
      <c r="C65" s="69"/>
      <c r="D65" s="70"/>
      <c r="E65" s="71"/>
      <c r="F65" s="69"/>
      <c r="G65" s="70"/>
      <c r="H65" s="71"/>
      <c r="I65" s="73"/>
      <c r="J65" s="74"/>
      <c r="K65" s="75"/>
      <c r="L65" s="69"/>
      <c r="M65" s="70"/>
      <c r="N65" s="71"/>
    </row>
    <row r="66" spans="1:14" ht="24.75" thickBot="1" x14ac:dyDescent="0.3">
      <c r="B66" s="18" t="s">
        <v>10</v>
      </c>
      <c r="C66" s="23" t="s">
        <v>15</v>
      </c>
      <c r="D66" s="23" t="s">
        <v>16</v>
      </c>
      <c r="E66" s="21" t="s">
        <v>38</v>
      </c>
      <c r="F66" s="23" t="s">
        <v>15</v>
      </c>
      <c r="G66" s="23" t="s">
        <v>16</v>
      </c>
      <c r="H66" s="21" t="s">
        <v>38</v>
      </c>
      <c r="I66" s="23" t="s">
        <v>15</v>
      </c>
      <c r="J66" s="23" t="s">
        <v>16</v>
      </c>
      <c r="K66" s="21" t="s">
        <v>38</v>
      </c>
      <c r="L66" s="23" t="s">
        <v>15</v>
      </c>
      <c r="M66" s="23" t="s">
        <v>16</v>
      </c>
      <c r="N66" s="21" t="s">
        <v>38</v>
      </c>
    </row>
    <row r="67" spans="1:14" ht="24.75" thickBot="1" x14ac:dyDescent="0.3">
      <c r="B67" s="18" t="s">
        <v>56</v>
      </c>
      <c r="C67" s="59">
        <f>'Total Number Ind Examined '!I8</f>
        <v>19</v>
      </c>
      <c r="D67" s="59">
        <f>'Total Number Ind Examined '!J8</f>
        <v>20</v>
      </c>
      <c r="E67" s="59">
        <f>C67+D67</f>
        <v>39</v>
      </c>
      <c r="F67" s="60">
        <f>'Total Number of Pools Examined'!H8</f>
        <v>7</v>
      </c>
      <c r="G67" s="60">
        <f>'Total Number of Pools Examined'!I8</f>
        <v>9</v>
      </c>
      <c r="H67" s="60">
        <f>F67+G67</f>
        <v>16</v>
      </c>
      <c r="I67" s="60">
        <f>'Total Number of WNV + Pools'!G7</f>
        <v>0</v>
      </c>
      <c r="J67" s="60">
        <f>'Total Number of WNV + Pools'!H7</f>
        <v>0</v>
      </c>
      <c r="K67" s="60">
        <f>'Total Number of WNV + Pools'!I7</f>
        <v>0</v>
      </c>
      <c r="L67" s="29">
        <f>ZONEINFRATE!C2</f>
        <v>0</v>
      </c>
      <c r="M67" s="29">
        <f>ZONEINFRATE!C3</f>
        <v>0</v>
      </c>
      <c r="N67" s="29">
        <v>0</v>
      </c>
    </row>
    <row r="68" spans="1:14" ht="24.75" thickBot="1" x14ac:dyDescent="0.3">
      <c r="B68" s="18" t="s">
        <v>57</v>
      </c>
      <c r="C68" s="59">
        <f>'Total Number Ind Examined '!I7</f>
        <v>80</v>
      </c>
      <c r="D68" s="59">
        <f>'Total Number Ind Examined '!J7</f>
        <v>98</v>
      </c>
      <c r="E68" s="59">
        <f t="shared" ref="E68:E71" si="11">C68+D68</f>
        <v>178</v>
      </c>
      <c r="F68" s="60">
        <f>'Total Number of Pools Examined'!H7</f>
        <v>11</v>
      </c>
      <c r="G68" s="60">
        <f>'Total Number of Pools Examined'!I7</f>
        <v>8</v>
      </c>
      <c r="H68" s="60">
        <f t="shared" ref="H68:H71" si="12">F68+G68</f>
        <v>19</v>
      </c>
      <c r="I68" s="60">
        <f>'Total Number of WNV + Pools'!G8</f>
        <v>0</v>
      </c>
      <c r="J68" s="60">
        <f>'Total Number of WNV + Pools'!H8</f>
        <v>0</v>
      </c>
      <c r="K68" s="60">
        <f>'Total Number of WNV + Pools'!I8</f>
        <v>0</v>
      </c>
      <c r="L68" s="29">
        <f>ZONEINFRATE!C4</f>
        <v>0</v>
      </c>
      <c r="M68" s="29">
        <f>ZONEINFRATE!C5</f>
        <v>0</v>
      </c>
      <c r="N68" s="29">
        <v>0</v>
      </c>
    </row>
    <row r="69" spans="1:14" ht="24.75" thickBot="1" x14ac:dyDescent="0.3">
      <c r="B69" s="18" t="s">
        <v>59</v>
      </c>
      <c r="C69" s="59">
        <f>'Total Number Ind Examined '!I9</f>
        <v>61</v>
      </c>
      <c r="D69" s="59">
        <f>'Total Number Ind Examined '!J9</f>
        <v>128</v>
      </c>
      <c r="E69" s="59">
        <f t="shared" si="11"/>
        <v>189</v>
      </c>
      <c r="F69" s="60">
        <f>'Total Number of Pools Examined'!H9</f>
        <v>8</v>
      </c>
      <c r="G69" s="60">
        <f>'Total Number of Pools Examined'!I9</f>
        <v>11</v>
      </c>
      <c r="H69" s="60">
        <f t="shared" si="12"/>
        <v>19</v>
      </c>
      <c r="I69" s="60">
        <f>'Total Number of WNV + Pools'!G9</f>
        <v>0</v>
      </c>
      <c r="J69" s="60">
        <f>'Total Number of WNV + Pools'!H9</f>
        <v>0</v>
      </c>
      <c r="K69" s="60">
        <f>'Total Number of WNV + Pools'!I9</f>
        <v>0</v>
      </c>
      <c r="L69" s="29">
        <f>ZONEINFRATE!C6</f>
        <v>0</v>
      </c>
      <c r="M69" s="29">
        <f>ZONEINFRATE!C7</f>
        <v>0</v>
      </c>
      <c r="N69" s="29">
        <v>0</v>
      </c>
    </row>
    <row r="70" spans="1:14" ht="24.75" thickBot="1" x14ac:dyDescent="0.3">
      <c r="B70" s="18" t="s">
        <v>58</v>
      </c>
      <c r="C70" s="59">
        <f>'Total Number Ind Examined '!I10</f>
        <v>30</v>
      </c>
      <c r="D70" s="59">
        <f>'Total Number Ind Examined '!J10</f>
        <v>18</v>
      </c>
      <c r="E70" s="59">
        <f t="shared" si="11"/>
        <v>48</v>
      </c>
      <c r="F70" s="60">
        <f>'Total Number of Pools Examined'!H10</f>
        <v>4</v>
      </c>
      <c r="G70" s="60">
        <f>'Total Number of Pools Examined'!I10</f>
        <v>3</v>
      </c>
      <c r="H70" s="60">
        <f t="shared" si="12"/>
        <v>7</v>
      </c>
      <c r="I70" s="60">
        <f>'Total Number of WNV + Pools'!G10</f>
        <v>0</v>
      </c>
      <c r="J70" s="60">
        <f>'Total Number of WNV + Pools'!H10</f>
        <v>0</v>
      </c>
      <c r="K70" s="60">
        <f>'Total Number of WNV + Pools'!I10</f>
        <v>0</v>
      </c>
      <c r="L70" s="29">
        <f>ZONEINFRATE!C8</f>
        <v>0</v>
      </c>
      <c r="M70" s="29">
        <f>ZONEINFRATE!C9</f>
        <v>0</v>
      </c>
      <c r="N70" s="29">
        <v>0</v>
      </c>
    </row>
    <row r="71" spans="1:14" ht="24.75" thickBot="1" x14ac:dyDescent="0.3">
      <c r="B71" s="18" t="s">
        <v>22</v>
      </c>
      <c r="C71" s="59">
        <f>SUM(C67:C70)</f>
        <v>190</v>
      </c>
      <c r="D71" s="59">
        <f>SUM(D67:D70)</f>
        <v>264</v>
      </c>
      <c r="E71" s="59">
        <f t="shared" si="11"/>
        <v>454</v>
      </c>
      <c r="F71" s="60">
        <f t="shared" ref="F71:K71" si="13">SUM(F67:F70)</f>
        <v>30</v>
      </c>
      <c r="G71" s="60">
        <f t="shared" si="13"/>
        <v>31</v>
      </c>
      <c r="H71" s="60">
        <f t="shared" si="12"/>
        <v>61</v>
      </c>
      <c r="I71" s="60">
        <f t="shared" si="13"/>
        <v>0</v>
      </c>
      <c r="J71" s="60">
        <f t="shared" si="13"/>
        <v>0</v>
      </c>
      <c r="K71" s="60">
        <f t="shared" si="13"/>
        <v>0</v>
      </c>
      <c r="L71" s="29">
        <f>CITYINFRATE!C2</f>
        <v>0</v>
      </c>
      <c r="M71" s="29">
        <f>CITYINFRATE!C3</f>
        <v>0</v>
      </c>
      <c r="N71" s="29">
        <v>0</v>
      </c>
    </row>
    <row r="72" spans="1:14" ht="15.75" thickBot="1" x14ac:dyDescent="0.3">
      <c r="B72" s="18"/>
      <c r="C72" s="60"/>
      <c r="D72" s="60"/>
      <c r="E72" s="60"/>
      <c r="F72" s="60"/>
      <c r="G72" s="60"/>
      <c r="H72" s="60"/>
      <c r="I72" s="60"/>
      <c r="J72" s="60"/>
      <c r="K72" s="60"/>
      <c r="L72" s="29"/>
      <c r="M72" s="29"/>
      <c r="N72" s="21"/>
    </row>
    <row r="73" spans="1:14" ht="15.75" thickBot="1" x14ac:dyDescent="0.3">
      <c r="B73" s="18" t="s">
        <v>9</v>
      </c>
      <c r="C73" s="60">
        <f>'Total Number Ind Examined '!I6</f>
        <v>2</v>
      </c>
      <c r="D73" s="60">
        <f>'Total Number Ind Examined '!J6</f>
        <v>316</v>
      </c>
      <c r="E73" s="60">
        <f>C73+D73</f>
        <v>318</v>
      </c>
      <c r="F73" s="60">
        <f>'Total Number of Pools Examined'!H6</f>
        <v>1</v>
      </c>
      <c r="G73" s="60">
        <f>'Total Number of Pools Examined'!I6</f>
        <v>10</v>
      </c>
      <c r="H73" s="60">
        <f>F73+G73</f>
        <v>11</v>
      </c>
      <c r="I73" s="60">
        <f>'Total Number of WNV + Pools'!G11</f>
        <v>0</v>
      </c>
      <c r="J73" s="60">
        <f>'Total Number of WNV + Pools'!H11</f>
        <v>0</v>
      </c>
      <c r="K73" s="60">
        <f>I73+J73</f>
        <v>0</v>
      </c>
      <c r="L73" s="29">
        <f>CITYINFRATE!C4</f>
        <v>0</v>
      </c>
      <c r="M73" s="29">
        <f>CITYINFRATE!C5</f>
        <v>0</v>
      </c>
      <c r="N73" s="29">
        <v>0</v>
      </c>
    </row>
    <row r="74" spans="1:14" ht="15.75" thickBot="1" x14ac:dyDescent="0.3"/>
    <row r="75" spans="1:14" x14ac:dyDescent="0.25">
      <c r="A75" t="s">
        <v>53</v>
      </c>
      <c r="B75" s="16"/>
      <c r="C75" s="63" t="s">
        <v>56</v>
      </c>
      <c r="D75" s="65"/>
      <c r="E75" s="63" t="s">
        <v>57</v>
      </c>
      <c r="F75" s="65"/>
      <c r="G75" s="63" t="s">
        <v>59</v>
      </c>
      <c r="H75" s="65"/>
      <c r="I75" s="63" t="s">
        <v>58</v>
      </c>
      <c r="J75" s="65"/>
      <c r="K75" s="63" t="s">
        <v>22</v>
      </c>
      <c r="L75" s="65"/>
      <c r="M75" s="19"/>
    </row>
    <row r="76" spans="1:14" ht="15.75" thickBot="1" x14ac:dyDescent="0.3">
      <c r="B76" s="17"/>
      <c r="C76" s="69"/>
      <c r="D76" s="71"/>
      <c r="E76" s="69"/>
      <c r="F76" s="71"/>
      <c r="G76" s="69"/>
      <c r="H76" s="71"/>
      <c r="I76" s="69"/>
      <c r="J76" s="71"/>
      <c r="K76" s="69"/>
      <c r="L76" s="71"/>
      <c r="M76" s="20"/>
    </row>
    <row r="77" spans="1:14" ht="26.25" thickBot="1" x14ac:dyDescent="0.3">
      <c r="B77" s="18" t="s">
        <v>8</v>
      </c>
      <c r="C77" s="21" t="s">
        <v>23</v>
      </c>
      <c r="D77" s="21" t="s">
        <v>24</v>
      </c>
      <c r="E77" s="21" t="s">
        <v>23</v>
      </c>
      <c r="F77" s="21" t="s">
        <v>24</v>
      </c>
      <c r="G77" s="21" t="s">
        <v>23</v>
      </c>
      <c r="H77" s="21" t="s">
        <v>24</v>
      </c>
      <c r="I77" s="21" t="s">
        <v>23</v>
      </c>
      <c r="J77" s="21" t="s">
        <v>24</v>
      </c>
      <c r="K77" s="21" t="s">
        <v>23</v>
      </c>
      <c r="L77" s="21" t="s">
        <v>24</v>
      </c>
      <c r="M77" s="21" t="s">
        <v>9</v>
      </c>
    </row>
    <row r="78" spans="1:14" ht="15.75" thickBot="1" x14ac:dyDescent="0.3">
      <c r="B78" s="18">
        <v>24</v>
      </c>
      <c r="C78" s="53">
        <v>0</v>
      </c>
      <c r="D78" s="57">
        <v>0</v>
      </c>
      <c r="E78" s="53">
        <v>0</v>
      </c>
      <c r="F78" s="57">
        <v>0</v>
      </c>
      <c r="G78" s="53">
        <v>0</v>
      </c>
      <c r="H78" s="57">
        <v>1.3719280144795569</v>
      </c>
      <c r="I78" s="53">
        <v>0</v>
      </c>
      <c r="J78" s="57">
        <v>0</v>
      </c>
      <c r="K78" s="53">
        <v>0</v>
      </c>
      <c r="L78" s="57">
        <v>0.52437624183763432</v>
      </c>
      <c r="M78" s="53">
        <v>0</v>
      </c>
    </row>
    <row r="79" spans="1:14" ht="15.75" thickBot="1" x14ac:dyDescent="0.3">
      <c r="B79" s="18">
        <v>25</v>
      </c>
      <c r="C79" s="53">
        <v>0</v>
      </c>
      <c r="D79" s="57">
        <v>0</v>
      </c>
      <c r="E79" s="53">
        <v>0</v>
      </c>
      <c r="F79" s="57">
        <v>0.62229589194158752</v>
      </c>
      <c r="G79" s="53">
        <v>0</v>
      </c>
      <c r="H79" s="57">
        <v>0</v>
      </c>
      <c r="I79" s="53">
        <v>0</v>
      </c>
      <c r="J79" s="57">
        <v>0</v>
      </c>
      <c r="K79" s="53">
        <v>0</v>
      </c>
      <c r="L79" s="57">
        <v>8.1974574125068422E-2</v>
      </c>
      <c r="M79" s="53">
        <v>0</v>
      </c>
    </row>
    <row r="80" spans="1:14" ht="15.75" thickBot="1" x14ac:dyDescent="0.3">
      <c r="B80" s="18">
        <v>26</v>
      </c>
      <c r="C80" s="29"/>
      <c r="D80" s="57">
        <v>0</v>
      </c>
      <c r="E80" s="29"/>
      <c r="F80" s="57">
        <v>0.10800000000000001</v>
      </c>
      <c r="G80" s="29"/>
      <c r="H80" s="57">
        <v>0.47173578978376163</v>
      </c>
      <c r="I80" s="29"/>
      <c r="J80" s="57">
        <v>0.4821267020419211</v>
      </c>
      <c r="K80" s="29"/>
      <c r="L80" s="57">
        <v>0.29303564979440011</v>
      </c>
      <c r="M80" s="29"/>
    </row>
    <row r="81" spans="2:13" ht="15.75" thickBot="1" x14ac:dyDescent="0.3">
      <c r="B81" s="18">
        <v>27</v>
      </c>
      <c r="C81" s="29"/>
      <c r="D81" s="57">
        <v>0</v>
      </c>
      <c r="E81" s="29"/>
      <c r="F81" s="57">
        <v>0.242731298767248</v>
      </c>
      <c r="G81" s="29"/>
      <c r="H81" s="57">
        <v>0.22275287749498812</v>
      </c>
      <c r="I81" s="29"/>
      <c r="J81" s="57">
        <v>0</v>
      </c>
      <c r="K81" s="29"/>
      <c r="L81" s="57">
        <v>0.20642105669107452</v>
      </c>
      <c r="M81" s="29"/>
    </row>
    <row r="82" spans="2:13" ht="15.75" thickBot="1" x14ac:dyDescent="0.3">
      <c r="B82" s="18">
        <v>28</v>
      </c>
      <c r="C82" s="29"/>
      <c r="D82" s="57">
        <v>0</v>
      </c>
      <c r="E82" s="29"/>
      <c r="F82" s="57">
        <v>0.42957398266981961</v>
      </c>
      <c r="G82" s="29"/>
      <c r="H82" s="57">
        <v>0.95691347747366229</v>
      </c>
      <c r="I82" s="29"/>
      <c r="J82" s="57">
        <v>0.43789867201821925</v>
      </c>
      <c r="K82" s="29"/>
      <c r="L82" s="57">
        <v>0.57474506615093801</v>
      </c>
      <c r="M82" s="29"/>
    </row>
    <row r="83" spans="2:13" ht="15.75" thickBot="1" x14ac:dyDescent="0.3">
      <c r="B83" s="18">
        <v>29</v>
      </c>
      <c r="C83" s="47"/>
      <c r="D83" s="57">
        <v>1.6105804838081497</v>
      </c>
      <c r="E83" s="47"/>
      <c r="F83" s="57">
        <v>1.262830343278448</v>
      </c>
      <c r="G83" s="47"/>
      <c r="H83" s="57">
        <v>2.8963178113679904</v>
      </c>
      <c r="I83" s="47"/>
      <c r="J83" s="57">
        <v>1.0510843286062497</v>
      </c>
      <c r="K83" s="47"/>
      <c r="L83" s="57">
        <v>1.8838478811158623</v>
      </c>
      <c r="M83" s="47"/>
    </row>
    <row r="84" spans="2:13" ht="15.75" thickBot="1" x14ac:dyDescent="0.3">
      <c r="B84" s="18">
        <v>30</v>
      </c>
      <c r="C84" s="47"/>
      <c r="D84" s="57">
        <v>2.7854390744040525</v>
      </c>
      <c r="E84" s="47"/>
      <c r="F84" s="57">
        <v>1.9366937947529137</v>
      </c>
      <c r="G84" s="47"/>
      <c r="H84" s="57">
        <v>3.8543684383131107</v>
      </c>
      <c r="I84" s="47"/>
      <c r="J84" s="57">
        <v>3.2386939593409148</v>
      </c>
      <c r="K84" s="47"/>
      <c r="L84" s="57">
        <v>2.8820487602511626</v>
      </c>
      <c r="M84" s="47"/>
    </row>
    <row r="85" spans="2:13" ht="15.75" thickBot="1" x14ac:dyDescent="0.3">
      <c r="B85" s="18">
        <v>31</v>
      </c>
      <c r="C85" s="47"/>
      <c r="D85" s="57">
        <v>3.9603406702893964</v>
      </c>
      <c r="E85" s="47"/>
      <c r="F85" s="57">
        <v>1.6053776120323888</v>
      </c>
      <c r="G85" s="47"/>
      <c r="H85" s="57">
        <v>4.154607454601873</v>
      </c>
      <c r="I85" s="47"/>
      <c r="J85" s="57">
        <v>2.9675473140006599</v>
      </c>
      <c r="K85" s="47"/>
      <c r="L85" s="57">
        <v>2.9621719516231884</v>
      </c>
      <c r="M85" s="47"/>
    </row>
    <row r="86" spans="2:13" ht="15.75" thickBot="1" x14ac:dyDescent="0.3">
      <c r="B86" s="18">
        <v>32</v>
      </c>
      <c r="C86" s="47"/>
      <c r="D86" s="57">
        <v>4.1280062926574672</v>
      </c>
      <c r="E86" s="47"/>
      <c r="F86" s="57">
        <v>6.0572949967821703</v>
      </c>
      <c r="G86" s="47"/>
      <c r="H86" s="57">
        <v>7.6336146347042781</v>
      </c>
      <c r="I86" s="47"/>
      <c r="J86" s="57">
        <v>9.5154931734195909</v>
      </c>
      <c r="K86" s="47"/>
      <c r="L86" s="57">
        <v>5.9712338197476829</v>
      </c>
      <c r="M86" s="47"/>
    </row>
    <row r="87" spans="2:13" ht="15.75" thickBot="1" x14ac:dyDescent="0.3">
      <c r="B87" s="18">
        <v>33</v>
      </c>
      <c r="C87" s="47"/>
      <c r="D87" s="57">
        <v>7.8857803782312628</v>
      </c>
      <c r="E87" s="47"/>
      <c r="F87" s="57">
        <v>6.7783680312540708</v>
      </c>
      <c r="G87" s="47"/>
      <c r="H87" s="57">
        <v>9.778127845819796</v>
      </c>
      <c r="I87" s="47"/>
      <c r="J87" s="57">
        <v>3.8412612515831315</v>
      </c>
      <c r="K87" s="47"/>
      <c r="L87" s="57">
        <v>8.0366071063080113</v>
      </c>
      <c r="M87" s="47"/>
    </row>
    <row r="88" spans="2:13" ht="15.75" thickBot="1" x14ac:dyDescent="0.3">
      <c r="B88" s="18">
        <v>34</v>
      </c>
      <c r="C88" s="47"/>
      <c r="D88" s="57">
        <v>6.9613136599243006</v>
      </c>
      <c r="E88" s="47"/>
      <c r="F88" s="57">
        <v>3.5755338185884478</v>
      </c>
      <c r="G88" s="47"/>
      <c r="H88" s="57">
        <v>11.008235349774395</v>
      </c>
      <c r="I88" s="47"/>
      <c r="J88" s="57">
        <v>11.477528721383241</v>
      </c>
      <c r="K88" s="47"/>
      <c r="L88" s="57">
        <v>7.5178958806054039</v>
      </c>
      <c r="M88" s="47"/>
    </row>
    <row r="89" spans="2:13" ht="15.75" thickBot="1" x14ac:dyDescent="0.3">
      <c r="B89" s="18">
        <v>35</v>
      </c>
      <c r="C89" s="47"/>
      <c r="D89" s="57">
        <v>10.087990557444293</v>
      </c>
      <c r="E89" s="47"/>
      <c r="F89" s="57">
        <v>5.5917272417445476</v>
      </c>
      <c r="G89" s="47"/>
      <c r="H89" s="57">
        <v>14.823468552836312</v>
      </c>
      <c r="I89" s="47"/>
      <c r="J89" s="57">
        <v>50.474499280621231</v>
      </c>
      <c r="K89" s="47"/>
      <c r="L89" s="57">
        <v>10.875692299118176</v>
      </c>
      <c r="M89" s="47"/>
    </row>
    <row r="90" spans="2:13" ht="15.75" thickBot="1" x14ac:dyDescent="0.3">
      <c r="B90" s="18">
        <v>36</v>
      </c>
      <c r="C90" s="48"/>
      <c r="D90" s="58">
        <v>21.92</v>
      </c>
      <c r="E90" s="48"/>
      <c r="F90" s="58">
        <v>4.8600000000000003</v>
      </c>
      <c r="G90" s="48"/>
      <c r="H90" s="58">
        <v>0</v>
      </c>
      <c r="I90" s="48"/>
      <c r="J90" s="58">
        <v>0</v>
      </c>
      <c r="K90" s="48"/>
      <c r="L90" s="58">
        <v>3.36</v>
      </c>
      <c r="M90" s="48"/>
    </row>
    <row r="91" spans="2:13" ht="15.75" thickBot="1" x14ac:dyDescent="0.3">
      <c r="B91" s="18">
        <v>37</v>
      </c>
      <c r="C91" s="21"/>
      <c r="D91" s="56">
        <v>0</v>
      </c>
      <c r="E91" s="21"/>
      <c r="F91" s="56">
        <v>5.04</v>
      </c>
      <c r="G91" s="21"/>
      <c r="H91" s="56">
        <v>3.7</v>
      </c>
      <c r="I91" s="21"/>
      <c r="J91" s="56">
        <v>0</v>
      </c>
      <c r="K91" s="21"/>
      <c r="L91" s="56">
        <v>3.51</v>
      </c>
      <c r="M91" s="21"/>
    </row>
  </sheetData>
  <mergeCells count="41">
    <mergeCell ref="C4:C5"/>
    <mergeCell ref="D4:D5"/>
    <mergeCell ref="G4:G5"/>
    <mergeCell ref="H4:H5"/>
    <mergeCell ref="C1:D3"/>
    <mergeCell ref="E1:F1"/>
    <mergeCell ref="E2:F2"/>
    <mergeCell ref="E3:F3"/>
    <mergeCell ref="G1:I1"/>
    <mergeCell ref="G2:I2"/>
    <mergeCell ref="G3:I3"/>
    <mergeCell ref="C14:D15"/>
    <mergeCell ref="E14:F15"/>
    <mergeCell ref="G14:H15"/>
    <mergeCell ref="I14:J15"/>
    <mergeCell ref="K14:L15"/>
    <mergeCell ref="C32:E32"/>
    <mergeCell ref="C33:E33"/>
    <mergeCell ref="C34:E34"/>
    <mergeCell ref="G32:I34"/>
    <mergeCell ref="C35:C36"/>
    <mergeCell ref="D35:D36"/>
    <mergeCell ref="E35:E36"/>
    <mergeCell ref="G35:G36"/>
    <mergeCell ref="H35:H36"/>
    <mergeCell ref="C45:D46"/>
    <mergeCell ref="E45:F46"/>
    <mergeCell ref="G45:H46"/>
    <mergeCell ref="I45:J46"/>
    <mergeCell ref="K45:L46"/>
    <mergeCell ref="L63:N65"/>
    <mergeCell ref="C75:D76"/>
    <mergeCell ref="E75:F76"/>
    <mergeCell ref="G75:H76"/>
    <mergeCell ref="I75:J76"/>
    <mergeCell ref="K75:L76"/>
    <mergeCell ref="C63:E65"/>
    <mergeCell ref="F63:H65"/>
    <mergeCell ref="I63:K63"/>
    <mergeCell ref="I64:K64"/>
    <mergeCell ref="I65:K65"/>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U205"/>
  <sheetViews>
    <sheetView tabSelected="1" topLeftCell="A35" workbookViewId="0">
      <selection activeCell="U49" sqref="U49"/>
    </sheetView>
  </sheetViews>
  <sheetFormatPr defaultRowHeight="11.25" x14ac:dyDescent="0.25"/>
  <cols>
    <col min="1" max="1" width="4.5703125" style="38" bestFit="1" customWidth="1"/>
    <col min="2" max="2" width="11.5703125" style="36" bestFit="1" customWidth="1"/>
    <col min="3" max="3" width="9.42578125" style="36" bestFit="1" customWidth="1"/>
    <col min="4" max="4" width="6.5703125" style="36" bestFit="1" customWidth="1"/>
    <col min="5" max="5" width="7.7109375" style="37" bestFit="1" customWidth="1"/>
    <col min="6" max="6" width="6.5703125" style="36" bestFit="1" customWidth="1"/>
    <col min="7" max="7" width="10.85546875" style="36" customWidth="1"/>
    <col min="8" max="8" width="12.85546875" style="36" customWidth="1"/>
    <col min="9" max="9" width="7.140625" style="36" customWidth="1"/>
    <col min="10" max="10" width="10.85546875" style="36" customWidth="1"/>
    <col min="11" max="11" width="8.42578125" style="36" customWidth="1"/>
    <col min="12" max="12" width="6.28515625" style="36" bestFit="1" customWidth="1"/>
    <col min="13" max="13" width="5.42578125" style="36" customWidth="1"/>
    <col min="14" max="14" width="6.7109375" style="36" customWidth="1"/>
    <col min="15" max="15" width="7.42578125" style="36" customWidth="1"/>
    <col min="16" max="16" width="7.140625" style="36" customWidth="1"/>
    <col min="17" max="17" width="11.140625" style="36" customWidth="1"/>
    <col min="18" max="18" width="10.7109375" style="36" customWidth="1"/>
    <col min="19" max="19" width="13.7109375" style="36" customWidth="1"/>
    <col min="20" max="256" width="9.140625" style="36"/>
    <col min="257" max="257" width="4.5703125" style="36" bestFit="1" customWidth="1"/>
    <col min="258" max="258" width="11.5703125" style="36" bestFit="1" customWidth="1"/>
    <col min="259" max="259" width="9.42578125" style="36" bestFit="1" customWidth="1"/>
    <col min="260" max="260" width="6.5703125" style="36" bestFit="1" customWidth="1"/>
    <col min="261" max="261" width="7.7109375" style="36" bestFit="1" customWidth="1"/>
    <col min="262" max="262" width="6.5703125" style="36" bestFit="1" customWidth="1"/>
    <col min="263" max="263" width="6.42578125" style="36" bestFit="1" customWidth="1"/>
    <col min="264" max="264" width="10" style="36" bestFit="1" customWidth="1"/>
    <col min="265" max="265" width="7.140625" style="36" customWidth="1"/>
    <col min="266" max="266" width="6.7109375" style="36" bestFit="1" customWidth="1"/>
    <col min="267" max="267" width="5.42578125" style="36" bestFit="1" customWidth="1"/>
    <col min="268" max="268" width="6.28515625" style="36" bestFit="1" customWidth="1"/>
    <col min="269" max="269" width="5.42578125" style="36" customWidth="1"/>
    <col min="270" max="270" width="6.7109375" style="36" customWidth="1"/>
    <col min="271" max="271" width="7.42578125" style="36" customWidth="1"/>
    <col min="272" max="272" width="7.140625" style="36" customWidth="1"/>
    <col min="273" max="273" width="9.28515625" style="36" customWidth="1"/>
    <col min="274" max="274" width="10.7109375" style="36" customWidth="1"/>
    <col min="275" max="275" width="9.140625" style="36" customWidth="1"/>
    <col min="276" max="512" width="9.140625" style="36"/>
    <col min="513" max="513" width="4.5703125" style="36" bestFit="1" customWidth="1"/>
    <col min="514" max="514" width="11.5703125" style="36" bestFit="1" customWidth="1"/>
    <col min="515" max="515" width="9.42578125" style="36" bestFit="1" customWidth="1"/>
    <col min="516" max="516" width="6.5703125" style="36" bestFit="1" customWidth="1"/>
    <col min="517" max="517" width="7.7109375" style="36" bestFit="1" customWidth="1"/>
    <col min="518" max="518" width="6.5703125" style="36" bestFit="1" customWidth="1"/>
    <col min="519" max="519" width="6.42578125" style="36" bestFit="1" customWidth="1"/>
    <col min="520" max="520" width="10" style="36" bestFit="1" customWidth="1"/>
    <col min="521" max="521" width="7.140625" style="36" customWidth="1"/>
    <col min="522" max="522" width="6.7109375" style="36" bestFit="1" customWidth="1"/>
    <col min="523" max="523" width="5.42578125" style="36" bestFit="1" customWidth="1"/>
    <col min="524" max="524" width="6.28515625" style="36" bestFit="1" customWidth="1"/>
    <col min="525" max="525" width="5.42578125" style="36" customWidth="1"/>
    <col min="526" max="526" width="6.7109375" style="36" customWidth="1"/>
    <col min="527" max="527" width="7.42578125" style="36" customWidth="1"/>
    <col min="528" max="528" width="7.140625" style="36" customWidth="1"/>
    <col min="529" max="529" width="9.28515625" style="36" customWidth="1"/>
    <col min="530" max="530" width="10.7109375" style="36" customWidth="1"/>
    <col min="531" max="531" width="9.140625" style="36" customWidth="1"/>
    <col min="532" max="768" width="9.140625" style="36"/>
    <col min="769" max="769" width="4.5703125" style="36" bestFit="1" customWidth="1"/>
    <col min="770" max="770" width="11.5703125" style="36" bestFit="1" customWidth="1"/>
    <col min="771" max="771" width="9.42578125" style="36" bestFit="1" customWidth="1"/>
    <col min="772" max="772" width="6.5703125" style="36" bestFit="1" customWidth="1"/>
    <col min="773" max="773" width="7.7109375" style="36" bestFit="1" customWidth="1"/>
    <col min="774" max="774" width="6.5703125" style="36" bestFit="1" customWidth="1"/>
    <col min="775" max="775" width="6.42578125" style="36" bestFit="1" customWidth="1"/>
    <col min="776" max="776" width="10" style="36" bestFit="1" customWidth="1"/>
    <col min="777" max="777" width="7.140625" style="36" customWidth="1"/>
    <col min="778" max="778" width="6.7109375" style="36" bestFit="1" customWidth="1"/>
    <col min="779" max="779" width="5.42578125" style="36" bestFit="1" customWidth="1"/>
    <col min="780" max="780" width="6.28515625" style="36" bestFit="1" customWidth="1"/>
    <col min="781" max="781" width="5.42578125" style="36" customWidth="1"/>
    <col min="782" max="782" width="6.7109375" style="36" customWidth="1"/>
    <col min="783" max="783" width="7.42578125" style="36" customWidth="1"/>
    <col min="784" max="784" width="7.140625" style="36" customWidth="1"/>
    <col min="785" max="785" width="9.28515625" style="36" customWidth="1"/>
    <col min="786" max="786" width="10.7109375" style="36" customWidth="1"/>
    <col min="787" max="787" width="9.140625" style="36" customWidth="1"/>
    <col min="788" max="1024" width="9.140625" style="36"/>
    <col min="1025" max="1025" width="4.5703125" style="36" bestFit="1" customWidth="1"/>
    <col min="1026" max="1026" width="11.5703125" style="36" bestFit="1" customWidth="1"/>
    <col min="1027" max="1027" width="9.42578125" style="36" bestFit="1" customWidth="1"/>
    <col min="1028" max="1028" width="6.5703125" style="36" bestFit="1" customWidth="1"/>
    <col min="1029" max="1029" width="7.7109375" style="36" bestFit="1" customWidth="1"/>
    <col min="1030" max="1030" width="6.5703125" style="36" bestFit="1" customWidth="1"/>
    <col min="1031" max="1031" width="6.42578125" style="36" bestFit="1" customWidth="1"/>
    <col min="1032" max="1032" width="10" style="36" bestFit="1" customWidth="1"/>
    <col min="1033" max="1033" width="7.140625" style="36" customWidth="1"/>
    <col min="1034" max="1034" width="6.7109375" style="36" bestFit="1" customWidth="1"/>
    <col min="1035" max="1035" width="5.42578125" style="36" bestFit="1" customWidth="1"/>
    <col min="1036" max="1036" width="6.28515625" style="36" bestFit="1" customWidth="1"/>
    <col min="1037" max="1037" width="5.42578125" style="36" customWidth="1"/>
    <col min="1038" max="1038" width="6.7109375" style="36" customWidth="1"/>
    <col min="1039" max="1039" width="7.42578125" style="36" customWidth="1"/>
    <col min="1040" max="1040" width="7.140625" style="36" customWidth="1"/>
    <col min="1041" max="1041" width="9.28515625" style="36" customWidth="1"/>
    <col min="1042" max="1042" width="10.7109375" style="36" customWidth="1"/>
    <col min="1043" max="1043" width="9.140625" style="36" customWidth="1"/>
    <col min="1044" max="1280" width="9.140625" style="36"/>
    <col min="1281" max="1281" width="4.5703125" style="36" bestFit="1" customWidth="1"/>
    <col min="1282" max="1282" width="11.5703125" style="36" bestFit="1" customWidth="1"/>
    <col min="1283" max="1283" width="9.42578125" style="36" bestFit="1" customWidth="1"/>
    <col min="1284" max="1284" width="6.5703125" style="36" bestFit="1" customWidth="1"/>
    <col min="1285" max="1285" width="7.7109375" style="36" bestFit="1" customWidth="1"/>
    <col min="1286" max="1286" width="6.5703125" style="36" bestFit="1" customWidth="1"/>
    <col min="1287" max="1287" width="6.42578125" style="36" bestFit="1" customWidth="1"/>
    <col min="1288" max="1288" width="10" style="36" bestFit="1" customWidth="1"/>
    <col min="1289" max="1289" width="7.140625" style="36" customWidth="1"/>
    <col min="1290" max="1290" width="6.7109375" style="36" bestFit="1" customWidth="1"/>
    <col min="1291" max="1291" width="5.42578125" style="36" bestFit="1" customWidth="1"/>
    <col min="1292" max="1292" width="6.28515625" style="36" bestFit="1" customWidth="1"/>
    <col min="1293" max="1293" width="5.42578125" style="36" customWidth="1"/>
    <col min="1294" max="1294" width="6.7109375" style="36" customWidth="1"/>
    <col min="1295" max="1295" width="7.42578125" style="36" customWidth="1"/>
    <col min="1296" max="1296" width="7.140625" style="36" customWidth="1"/>
    <col min="1297" max="1297" width="9.28515625" style="36" customWidth="1"/>
    <col min="1298" max="1298" width="10.7109375" style="36" customWidth="1"/>
    <col min="1299" max="1299" width="9.140625" style="36" customWidth="1"/>
    <col min="1300" max="1536" width="9.140625" style="36"/>
    <col min="1537" max="1537" width="4.5703125" style="36" bestFit="1" customWidth="1"/>
    <col min="1538" max="1538" width="11.5703125" style="36" bestFit="1" customWidth="1"/>
    <col min="1539" max="1539" width="9.42578125" style="36" bestFit="1" customWidth="1"/>
    <col min="1540" max="1540" width="6.5703125" style="36" bestFit="1" customWidth="1"/>
    <col min="1541" max="1541" width="7.7109375" style="36" bestFit="1" customWidth="1"/>
    <col min="1542" max="1542" width="6.5703125" style="36" bestFit="1" customWidth="1"/>
    <col min="1543" max="1543" width="6.42578125" style="36" bestFit="1" customWidth="1"/>
    <col min="1544" max="1544" width="10" style="36" bestFit="1" customWidth="1"/>
    <col min="1545" max="1545" width="7.140625" style="36" customWidth="1"/>
    <col min="1546" max="1546" width="6.7109375" style="36" bestFit="1" customWidth="1"/>
    <col min="1547" max="1547" width="5.42578125" style="36" bestFit="1" customWidth="1"/>
    <col min="1548" max="1548" width="6.28515625" style="36" bestFit="1" customWidth="1"/>
    <col min="1549" max="1549" width="5.42578125" style="36" customWidth="1"/>
    <col min="1550" max="1550" width="6.7109375" style="36" customWidth="1"/>
    <col min="1551" max="1551" width="7.42578125" style="36" customWidth="1"/>
    <col min="1552" max="1552" width="7.140625" style="36" customWidth="1"/>
    <col min="1553" max="1553" width="9.28515625" style="36" customWidth="1"/>
    <col min="1554" max="1554" width="10.7109375" style="36" customWidth="1"/>
    <col min="1555" max="1555" width="9.140625" style="36" customWidth="1"/>
    <col min="1556" max="1792" width="9.140625" style="36"/>
    <col min="1793" max="1793" width="4.5703125" style="36" bestFit="1" customWidth="1"/>
    <col min="1794" max="1794" width="11.5703125" style="36" bestFit="1" customWidth="1"/>
    <col min="1795" max="1795" width="9.42578125" style="36" bestFit="1" customWidth="1"/>
    <col min="1796" max="1796" width="6.5703125" style="36" bestFit="1" customWidth="1"/>
    <col min="1797" max="1797" width="7.7109375" style="36" bestFit="1" customWidth="1"/>
    <col min="1798" max="1798" width="6.5703125" style="36" bestFit="1" customWidth="1"/>
    <col min="1799" max="1799" width="6.42578125" style="36" bestFit="1" customWidth="1"/>
    <col min="1800" max="1800" width="10" style="36" bestFit="1" customWidth="1"/>
    <col min="1801" max="1801" width="7.140625" style="36" customWidth="1"/>
    <col min="1802" max="1802" width="6.7109375" style="36" bestFit="1" customWidth="1"/>
    <col min="1803" max="1803" width="5.42578125" style="36" bestFit="1" customWidth="1"/>
    <col min="1804" max="1804" width="6.28515625" style="36" bestFit="1" customWidth="1"/>
    <col min="1805" max="1805" width="5.42578125" style="36" customWidth="1"/>
    <col min="1806" max="1806" width="6.7109375" style="36" customWidth="1"/>
    <col min="1807" max="1807" width="7.42578125" style="36" customWidth="1"/>
    <col min="1808" max="1808" width="7.140625" style="36" customWidth="1"/>
    <col min="1809" max="1809" width="9.28515625" style="36" customWidth="1"/>
    <col min="1810" max="1810" width="10.7109375" style="36" customWidth="1"/>
    <col min="1811" max="1811" width="9.140625" style="36" customWidth="1"/>
    <col min="1812" max="2048" width="9.140625" style="36"/>
    <col min="2049" max="2049" width="4.5703125" style="36" bestFit="1" customWidth="1"/>
    <col min="2050" max="2050" width="11.5703125" style="36" bestFit="1" customWidth="1"/>
    <col min="2051" max="2051" width="9.42578125" style="36" bestFit="1" customWidth="1"/>
    <col min="2052" max="2052" width="6.5703125" style="36" bestFit="1" customWidth="1"/>
    <col min="2053" max="2053" width="7.7109375" style="36" bestFit="1" customWidth="1"/>
    <col min="2054" max="2054" width="6.5703125" style="36" bestFit="1" customWidth="1"/>
    <col min="2055" max="2055" width="6.42578125" style="36" bestFit="1" customWidth="1"/>
    <col min="2056" max="2056" width="10" style="36" bestFit="1" customWidth="1"/>
    <col min="2057" max="2057" width="7.140625" style="36" customWidth="1"/>
    <col min="2058" max="2058" width="6.7109375" style="36" bestFit="1" customWidth="1"/>
    <col min="2059" max="2059" width="5.42578125" style="36" bestFit="1" customWidth="1"/>
    <col min="2060" max="2060" width="6.28515625" style="36" bestFit="1" customWidth="1"/>
    <col min="2061" max="2061" width="5.42578125" style="36" customWidth="1"/>
    <col min="2062" max="2062" width="6.7109375" style="36" customWidth="1"/>
    <col min="2063" max="2063" width="7.42578125" style="36" customWidth="1"/>
    <col min="2064" max="2064" width="7.140625" style="36" customWidth="1"/>
    <col min="2065" max="2065" width="9.28515625" style="36" customWidth="1"/>
    <col min="2066" max="2066" width="10.7109375" style="36" customWidth="1"/>
    <col min="2067" max="2067" width="9.140625" style="36" customWidth="1"/>
    <col min="2068" max="2304" width="9.140625" style="36"/>
    <col min="2305" max="2305" width="4.5703125" style="36" bestFit="1" customWidth="1"/>
    <col min="2306" max="2306" width="11.5703125" style="36" bestFit="1" customWidth="1"/>
    <col min="2307" max="2307" width="9.42578125" style="36" bestFit="1" customWidth="1"/>
    <col min="2308" max="2308" width="6.5703125" style="36" bestFit="1" customWidth="1"/>
    <col min="2309" max="2309" width="7.7109375" style="36" bestFit="1" customWidth="1"/>
    <col min="2310" max="2310" width="6.5703125" style="36" bestFit="1" customWidth="1"/>
    <col min="2311" max="2311" width="6.42578125" style="36" bestFit="1" customWidth="1"/>
    <col min="2312" max="2312" width="10" style="36" bestFit="1" customWidth="1"/>
    <col min="2313" max="2313" width="7.140625" style="36" customWidth="1"/>
    <col min="2314" max="2314" width="6.7109375" style="36" bestFit="1" customWidth="1"/>
    <col min="2315" max="2315" width="5.42578125" style="36" bestFit="1" customWidth="1"/>
    <col min="2316" max="2316" width="6.28515625" style="36" bestFit="1" customWidth="1"/>
    <col min="2317" max="2317" width="5.42578125" style="36" customWidth="1"/>
    <col min="2318" max="2318" width="6.7109375" style="36" customWidth="1"/>
    <col min="2319" max="2319" width="7.42578125" style="36" customWidth="1"/>
    <col min="2320" max="2320" width="7.140625" style="36" customWidth="1"/>
    <col min="2321" max="2321" width="9.28515625" style="36" customWidth="1"/>
    <col min="2322" max="2322" width="10.7109375" style="36" customWidth="1"/>
    <col min="2323" max="2323" width="9.140625" style="36" customWidth="1"/>
    <col min="2324" max="2560" width="9.140625" style="36"/>
    <col min="2561" max="2561" width="4.5703125" style="36" bestFit="1" customWidth="1"/>
    <col min="2562" max="2562" width="11.5703125" style="36" bestFit="1" customWidth="1"/>
    <col min="2563" max="2563" width="9.42578125" style="36" bestFit="1" customWidth="1"/>
    <col min="2564" max="2564" width="6.5703125" style="36" bestFit="1" customWidth="1"/>
    <col min="2565" max="2565" width="7.7109375" style="36" bestFit="1" customWidth="1"/>
    <col min="2566" max="2566" width="6.5703125" style="36" bestFit="1" customWidth="1"/>
    <col min="2567" max="2567" width="6.42578125" style="36" bestFit="1" customWidth="1"/>
    <col min="2568" max="2568" width="10" style="36" bestFit="1" customWidth="1"/>
    <col min="2569" max="2569" width="7.140625" style="36" customWidth="1"/>
    <col min="2570" max="2570" width="6.7109375" style="36" bestFit="1" customWidth="1"/>
    <col min="2571" max="2571" width="5.42578125" style="36" bestFit="1" customWidth="1"/>
    <col min="2572" max="2572" width="6.28515625" style="36" bestFit="1" customWidth="1"/>
    <col min="2573" max="2573" width="5.42578125" style="36" customWidth="1"/>
    <col min="2574" max="2574" width="6.7109375" style="36" customWidth="1"/>
    <col min="2575" max="2575" width="7.42578125" style="36" customWidth="1"/>
    <col min="2576" max="2576" width="7.140625" style="36" customWidth="1"/>
    <col min="2577" max="2577" width="9.28515625" style="36" customWidth="1"/>
    <col min="2578" max="2578" width="10.7109375" style="36" customWidth="1"/>
    <col min="2579" max="2579" width="9.140625" style="36" customWidth="1"/>
    <col min="2580" max="2816" width="9.140625" style="36"/>
    <col min="2817" max="2817" width="4.5703125" style="36" bestFit="1" customWidth="1"/>
    <col min="2818" max="2818" width="11.5703125" style="36" bestFit="1" customWidth="1"/>
    <col min="2819" max="2819" width="9.42578125" style="36" bestFit="1" customWidth="1"/>
    <col min="2820" max="2820" width="6.5703125" style="36" bestFit="1" customWidth="1"/>
    <col min="2821" max="2821" width="7.7109375" style="36" bestFit="1" customWidth="1"/>
    <col min="2822" max="2822" width="6.5703125" style="36" bestFit="1" customWidth="1"/>
    <col min="2823" max="2823" width="6.42578125" style="36" bestFit="1" customWidth="1"/>
    <col min="2824" max="2824" width="10" style="36" bestFit="1" customWidth="1"/>
    <col min="2825" max="2825" width="7.140625" style="36" customWidth="1"/>
    <col min="2826" max="2826" width="6.7109375" style="36" bestFit="1" customWidth="1"/>
    <col min="2827" max="2827" width="5.42578125" style="36" bestFit="1" customWidth="1"/>
    <col min="2828" max="2828" width="6.28515625" style="36" bestFit="1" customWidth="1"/>
    <col min="2829" max="2829" width="5.42578125" style="36" customWidth="1"/>
    <col min="2830" max="2830" width="6.7109375" style="36" customWidth="1"/>
    <col min="2831" max="2831" width="7.42578125" style="36" customWidth="1"/>
    <col min="2832" max="2832" width="7.140625" style="36" customWidth="1"/>
    <col min="2833" max="2833" width="9.28515625" style="36" customWidth="1"/>
    <col min="2834" max="2834" width="10.7109375" style="36" customWidth="1"/>
    <col min="2835" max="2835" width="9.140625" style="36" customWidth="1"/>
    <col min="2836" max="3072" width="9.140625" style="36"/>
    <col min="3073" max="3073" width="4.5703125" style="36" bestFit="1" customWidth="1"/>
    <col min="3074" max="3074" width="11.5703125" style="36" bestFit="1" customWidth="1"/>
    <col min="3075" max="3075" width="9.42578125" style="36" bestFit="1" customWidth="1"/>
    <col min="3076" max="3076" width="6.5703125" style="36" bestFit="1" customWidth="1"/>
    <col min="3077" max="3077" width="7.7109375" style="36" bestFit="1" customWidth="1"/>
    <col min="3078" max="3078" width="6.5703125" style="36" bestFit="1" customWidth="1"/>
    <col min="3079" max="3079" width="6.42578125" style="36" bestFit="1" customWidth="1"/>
    <col min="3080" max="3080" width="10" style="36" bestFit="1" customWidth="1"/>
    <col min="3081" max="3081" width="7.140625" style="36" customWidth="1"/>
    <col min="3082" max="3082" width="6.7109375" style="36" bestFit="1" customWidth="1"/>
    <col min="3083" max="3083" width="5.42578125" style="36" bestFit="1" customWidth="1"/>
    <col min="3084" max="3084" width="6.28515625" style="36" bestFit="1" customWidth="1"/>
    <col min="3085" max="3085" width="5.42578125" style="36" customWidth="1"/>
    <col min="3086" max="3086" width="6.7109375" style="36" customWidth="1"/>
    <col min="3087" max="3087" width="7.42578125" style="36" customWidth="1"/>
    <col min="3088" max="3088" width="7.140625" style="36" customWidth="1"/>
    <col min="3089" max="3089" width="9.28515625" style="36" customWidth="1"/>
    <col min="3090" max="3090" width="10.7109375" style="36" customWidth="1"/>
    <col min="3091" max="3091" width="9.140625" style="36" customWidth="1"/>
    <col min="3092" max="3328" width="9.140625" style="36"/>
    <col min="3329" max="3329" width="4.5703125" style="36" bestFit="1" customWidth="1"/>
    <col min="3330" max="3330" width="11.5703125" style="36" bestFit="1" customWidth="1"/>
    <col min="3331" max="3331" width="9.42578125" style="36" bestFit="1" customWidth="1"/>
    <col min="3332" max="3332" width="6.5703125" style="36" bestFit="1" customWidth="1"/>
    <col min="3333" max="3333" width="7.7109375" style="36" bestFit="1" customWidth="1"/>
    <col min="3334" max="3334" width="6.5703125" style="36" bestFit="1" customWidth="1"/>
    <col min="3335" max="3335" width="6.42578125" style="36" bestFit="1" customWidth="1"/>
    <col min="3336" max="3336" width="10" style="36" bestFit="1" customWidth="1"/>
    <col min="3337" max="3337" width="7.140625" style="36" customWidth="1"/>
    <col min="3338" max="3338" width="6.7109375" style="36" bestFit="1" customWidth="1"/>
    <col min="3339" max="3339" width="5.42578125" style="36" bestFit="1" customWidth="1"/>
    <col min="3340" max="3340" width="6.28515625" style="36" bestFit="1" customWidth="1"/>
    <col min="3341" max="3341" width="5.42578125" style="36" customWidth="1"/>
    <col min="3342" max="3342" width="6.7109375" style="36" customWidth="1"/>
    <col min="3343" max="3343" width="7.42578125" style="36" customWidth="1"/>
    <col min="3344" max="3344" width="7.140625" style="36" customWidth="1"/>
    <col min="3345" max="3345" width="9.28515625" style="36" customWidth="1"/>
    <col min="3346" max="3346" width="10.7109375" style="36" customWidth="1"/>
    <col min="3347" max="3347" width="9.140625" style="36" customWidth="1"/>
    <col min="3348" max="3584" width="9.140625" style="36"/>
    <col min="3585" max="3585" width="4.5703125" style="36" bestFit="1" customWidth="1"/>
    <col min="3586" max="3586" width="11.5703125" style="36" bestFit="1" customWidth="1"/>
    <col min="3587" max="3587" width="9.42578125" style="36" bestFit="1" customWidth="1"/>
    <col min="3588" max="3588" width="6.5703125" style="36" bestFit="1" customWidth="1"/>
    <col min="3589" max="3589" width="7.7109375" style="36" bestFit="1" customWidth="1"/>
    <col min="3590" max="3590" width="6.5703125" style="36" bestFit="1" customWidth="1"/>
    <col min="3591" max="3591" width="6.42578125" style="36" bestFit="1" customWidth="1"/>
    <col min="3592" max="3592" width="10" style="36" bestFit="1" customWidth="1"/>
    <col min="3593" max="3593" width="7.140625" style="36" customWidth="1"/>
    <col min="3594" max="3594" width="6.7109375" style="36" bestFit="1" customWidth="1"/>
    <col min="3595" max="3595" width="5.42578125" style="36" bestFit="1" customWidth="1"/>
    <col min="3596" max="3596" width="6.28515625" style="36" bestFit="1" customWidth="1"/>
    <col min="3597" max="3597" width="5.42578125" style="36" customWidth="1"/>
    <col min="3598" max="3598" width="6.7109375" style="36" customWidth="1"/>
    <col min="3599" max="3599" width="7.42578125" style="36" customWidth="1"/>
    <col min="3600" max="3600" width="7.140625" style="36" customWidth="1"/>
    <col min="3601" max="3601" width="9.28515625" style="36" customWidth="1"/>
    <col min="3602" max="3602" width="10.7109375" style="36" customWidth="1"/>
    <col min="3603" max="3603" width="9.140625" style="36" customWidth="1"/>
    <col min="3604" max="3840" width="9.140625" style="36"/>
    <col min="3841" max="3841" width="4.5703125" style="36" bestFit="1" customWidth="1"/>
    <col min="3842" max="3842" width="11.5703125" style="36" bestFit="1" customWidth="1"/>
    <col min="3843" max="3843" width="9.42578125" style="36" bestFit="1" customWidth="1"/>
    <col min="3844" max="3844" width="6.5703125" style="36" bestFit="1" customWidth="1"/>
    <col min="3845" max="3845" width="7.7109375" style="36" bestFit="1" customWidth="1"/>
    <col min="3846" max="3846" width="6.5703125" style="36" bestFit="1" customWidth="1"/>
    <col min="3847" max="3847" width="6.42578125" style="36" bestFit="1" customWidth="1"/>
    <col min="3848" max="3848" width="10" style="36" bestFit="1" customWidth="1"/>
    <col min="3849" max="3849" width="7.140625" style="36" customWidth="1"/>
    <col min="3850" max="3850" width="6.7109375" style="36" bestFit="1" customWidth="1"/>
    <col min="3851" max="3851" width="5.42578125" style="36" bestFit="1" customWidth="1"/>
    <col min="3852" max="3852" width="6.28515625" style="36" bestFit="1" customWidth="1"/>
    <col min="3853" max="3853" width="5.42578125" style="36" customWidth="1"/>
    <col min="3854" max="3854" width="6.7109375" style="36" customWidth="1"/>
    <col min="3855" max="3855" width="7.42578125" style="36" customWidth="1"/>
    <col min="3856" max="3856" width="7.140625" style="36" customWidth="1"/>
    <col min="3857" max="3857" width="9.28515625" style="36" customWidth="1"/>
    <col min="3858" max="3858" width="10.7109375" style="36" customWidth="1"/>
    <col min="3859" max="3859" width="9.140625" style="36" customWidth="1"/>
    <col min="3860" max="4096" width="9.140625" style="36"/>
    <col min="4097" max="4097" width="4.5703125" style="36" bestFit="1" customWidth="1"/>
    <col min="4098" max="4098" width="11.5703125" style="36" bestFit="1" customWidth="1"/>
    <col min="4099" max="4099" width="9.42578125" style="36" bestFit="1" customWidth="1"/>
    <col min="4100" max="4100" width="6.5703125" style="36" bestFit="1" customWidth="1"/>
    <col min="4101" max="4101" width="7.7109375" style="36" bestFit="1" customWidth="1"/>
    <col min="4102" max="4102" width="6.5703125" style="36" bestFit="1" customWidth="1"/>
    <col min="4103" max="4103" width="6.42578125" style="36" bestFit="1" customWidth="1"/>
    <col min="4104" max="4104" width="10" style="36" bestFit="1" customWidth="1"/>
    <col min="4105" max="4105" width="7.140625" style="36" customWidth="1"/>
    <col min="4106" max="4106" width="6.7109375" style="36" bestFit="1" customWidth="1"/>
    <col min="4107" max="4107" width="5.42578125" style="36" bestFit="1" customWidth="1"/>
    <col min="4108" max="4108" width="6.28515625" style="36" bestFit="1" customWidth="1"/>
    <col min="4109" max="4109" width="5.42578125" style="36" customWidth="1"/>
    <col min="4110" max="4110" width="6.7109375" style="36" customWidth="1"/>
    <col min="4111" max="4111" width="7.42578125" style="36" customWidth="1"/>
    <col min="4112" max="4112" width="7.140625" style="36" customWidth="1"/>
    <col min="4113" max="4113" width="9.28515625" style="36" customWidth="1"/>
    <col min="4114" max="4114" width="10.7109375" style="36" customWidth="1"/>
    <col min="4115" max="4115" width="9.140625" style="36" customWidth="1"/>
    <col min="4116" max="4352" width="9.140625" style="36"/>
    <col min="4353" max="4353" width="4.5703125" style="36" bestFit="1" customWidth="1"/>
    <col min="4354" max="4354" width="11.5703125" style="36" bestFit="1" customWidth="1"/>
    <col min="4355" max="4355" width="9.42578125" style="36" bestFit="1" customWidth="1"/>
    <col min="4356" max="4356" width="6.5703125" style="36" bestFit="1" customWidth="1"/>
    <col min="4357" max="4357" width="7.7109375" style="36" bestFit="1" customWidth="1"/>
    <col min="4358" max="4358" width="6.5703125" style="36" bestFit="1" customWidth="1"/>
    <col min="4359" max="4359" width="6.42578125" style="36" bestFit="1" customWidth="1"/>
    <col min="4360" max="4360" width="10" style="36" bestFit="1" customWidth="1"/>
    <col min="4361" max="4361" width="7.140625" style="36" customWidth="1"/>
    <col min="4362" max="4362" width="6.7109375" style="36" bestFit="1" customWidth="1"/>
    <col min="4363" max="4363" width="5.42578125" style="36" bestFit="1" customWidth="1"/>
    <col min="4364" max="4364" width="6.28515625" style="36" bestFit="1" customWidth="1"/>
    <col min="4365" max="4365" width="5.42578125" style="36" customWidth="1"/>
    <col min="4366" max="4366" width="6.7109375" style="36" customWidth="1"/>
    <col min="4367" max="4367" width="7.42578125" style="36" customWidth="1"/>
    <col min="4368" max="4368" width="7.140625" style="36" customWidth="1"/>
    <col min="4369" max="4369" width="9.28515625" style="36" customWidth="1"/>
    <col min="4370" max="4370" width="10.7109375" style="36" customWidth="1"/>
    <col min="4371" max="4371" width="9.140625" style="36" customWidth="1"/>
    <col min="4372" max="4608" width="9.140625" style="36"/>
    <col min="4609" max="4609" width="4.5703125" style="36" bestFit="1" customWidth="1"/>
    <col min="4610" max="4610" width="11.5703125" style="36" bestFit="1" customWidth="1"/>
    <col min="4611" max="4611" width="9.42578125" style="36" bestFit="1" customWidth="1"/>
    <col min="4612" max="4612" width="6.5703125" style="36" bestFit="1" customWidth="1"/>
    <col min="4613" max="4613" width="7.7109375" style="36" bestFit="1" customWidth="1"/>
    <col min="4614" max="4614" width="6.5703125" style="36" bestFit="1" customWidth="1"/>
    <col min="4615" max="4615" width="6.42578125" style="36" bestFit="1" customWidth="1"/>
    <col min="4616" max="4616" width="10" style="36" bestFit="1" customWidth="1"/>
    <col min="4617" max="4617" width="7.140625" style="36" customWidth="1"/>
    <col min="4618" max="4618" width="6.7109375" style="36" bestFit="1" customWidth="1"/>
    <col min="4619" max="4619" width="5.42578125" style="36" bestFit="1" customWidth="1"/>
    <col min="4620" max="4620" width="6.28515625" style="36" bestFit="1" customWidth="1"/>
    <col min="4621" max="4621" width="5.42578125" style="36" customWidth="1"/>
    <col min="4622" max="4622" width="6.7109375" style="36" customWidth="1"/>
    <col min="4623" max="4623" width="7.42578125" style="36" customWidth="1"/>
    <col min="4624" max="4624" width="7.140625" style="36" customWidth="1"/>
    <col min="4625" max="4625" width="9.28515625" style="36" customWidth="1"/>
    <col min="4626" max="4626" width="10.7109375" style="36" customWidth="1"/>
    <col min="4627" max="4627" width="9.140625" style="36" customWidth="1"/>
    <col min="4628" max="4864" width="9.140625" style="36"/>
    <col min="4865" max="4865" width="4.5703125" style="36" bestFit="1" customWidth="1"/>
    <col min="4866" max="4866" width="11.5703125" style="36" bestFit="1" customWidth="1"/>
    <col min="4867" max="4867" width="9.42578125" style="36" bestFit="1" customWidth="1"/>
    <col min="4868" max="4868" width="6.5703125" style="36" bestFit="1" customWidth="1"/>
    <col min="4869" max="4869" width="7.7109375" style="36" bestFit="1" customWidth="1"/>
    <col min="4870" max="4870" width="6.5703125" style="36" bestFit="1" customWidth="1"/>
    <col min="4871" max="4871" width="6.42578125" style="36" bestFit="1" customWidth="1"/>
    <col min="4872" max="4872" width="10" style="36" bestFit="1" customWidth="1"/>
    <col min="4873" max="4873" width="7.140625" style="36" customWidth="1"/>
    <col min="4874" max="4874" width="6.7109375" style="36" bestFit="1" customWidth="1"/>
    <col min="4875" max="4875" width="5.42578125" style="36" bestFit="1" customWidth="1"/>
    <col min="4876" max="4876" width="6.28515625" style="36" bestFit="1" customWidth="1"/>
    <col min="4877" max="4877" width="5.42578125" style="36" customWidth="1"/>
    <col min="4878" max="4878" width="6.7109375" style="36" customWidth="1"/>
    <col min="4879" max="4879" width="7.42578125" style="36" customWidth="1"/>
    <col min="4880" max="4880" width="7.140625" style="36" customWidth="1"/>
    <col min="4881" max="4881" width="9.28515625" style="36" customWidth="1"/>
    <col min="4882" max="4882" width="10.7109375" style="36" customWidth="1"/>
    <col min="4883" max="4883" width="9.140625" style="36" customWidth="1"/>
    <col min="4884" max="5120" width="9.140625" style="36"/>
    <col min="5121" max="5121" width="4.5703125" style="36" bestFit="1" customWidth="1"/>
    <col min="5122" max="5122" width="11.5703125" style="36" bestFit="1" customWidth="1"/>
    <col min="5123" max="5123" width="9.42578125" style="36" bestFit="1" customWidth="1"/>
    <col min="5124" max="5124" width="6.5703125" style="36" bestFit="1" customWidth="1"/>
    <col min="5125" max="5125" width="7.7109375" style="36" bestFit="1" customWidth="1"/>
    <col min="5126" max="5126" width="6.5703125" style="36" bestFit="1" customWidth="1"/>
    <col min="5127" max="5127" width="6.42578125" style="36" bestFit="1" customWidth="1"/>
    <col min="5128" max="5128" width="10" style="36" bestFit="1" customWidth="1"/>
    <col min="5129" max="5129" width="7.140625" style="36" customWidth="1"/>
    <col min="5130" max="5130" width="6.7109375" style="36" bestFit="1" customWidth="1"/>
    <col min="5131" max="5131" width="5.42578125" style="36" bestFit="1" customWidth="1"/>
    <col min="5132" max="5132" width="6.28515625" style="36" bestFit="1" customWidth="1"/>
    <col min="5133" max="5133" width="5.42578125" style="36" customWidth="1"/>
    <col min="5134" max="5134" width="6.7109375" style="36" customWidth="1"/>
    <col min="5135" max="5135" width="7.42578125" style="36" customWidth="1"/>
    <col min="5136" max="5136" width="7.140625" style="36" customWidth="1"/>
    <col min="5137" max="5137" width="9.28515625" style="36" customWidth="1"/>
    <col min="5138" max="5138" width="10.7109375" style="36" customWidth="1"/>
    <col min="5139" max="5139" width="9.140625" style="36" customWidth="1"/>
    <col min="5140" max="5376" width="9.140625" style="36"/>
    <col min="5377" max="5377" width="4.5703125" style="36" bestFit="1" customWidth="1"/>
    <col min="5378" max="5378" width="11.5703125" style="36" bestFit="1" customWidth="1"/>
    <col min="5379" max="5379" width="9.42578125" style="36" bestFit="1" customWidth="1"/>
    <col min="5380" max="5380" width="6.5703125" style="36" bestFit="1" customWidth="1"/>
    <col min="5381" max="5381" width="7.7109375" style="36" bestFit="1" customWidth="1"/>
    <col min="5382" max="5382" width="6.5703125" style="36" bestFit="1" customWidth="1"/>
    <col min="5383" max="5383" width="6.42578125" style="36" bestFit="1" customWidth="1"/>
    <col min="5384" max="5384" width="10" style="36" bestFit="1" customWidth="1"/>
    <col min="5385" max="5385" width="7.140625" style="36" customWidth="1"/>
    <col min="5386" max="5386" width="6.7109375" style="36" bestFit="1" customWidth="1"/>
    <col min="5387" max="5387" width="5.42578125" style="36" bestFit="1" customWidth="1"/>
    <col min="5388" max="5388" width="6.28515625" style="36" bestFit="1" customWidth="1"/>
    <col min="5389" max="5389" width="5.42578125" style="36" customWidth="1"/>
    <col min="5390" max="5390" width="6.7109375" style="36" customWidth="1"/>
    <col min="5391" max="5391" width="7.42578125" style="36" customWidth="1"/>
    <col min="5392" max="5392" width="7.140625" style="36" customWidth="1"/>
    <col min="5393" max="5393" width="9.28515625" style="36" customWidth="1"/>
    <col min="5394" max="5394" width="10.7109375" style="36" customWidth="1"/>
    <col min="5395" max="5395" width="9.140625" style="36" customWidth="1"/>
    <col min="5396" max="5632" width="9.140625" style="36"/>
    <col min="5633" max="5633" width="4.5703125" style="36" bestFit="1" customWidth="1"/>
    <col min="5634" max="5634" width="11.5703125" style="36" bestFit="1" customWidth="1"/>
    <col min="5635" max="5635" width="9.42578125" style="36" bestFit="1" customWidth="1"/>
    <col min="5636" max="5636" width="6.5703125" style="36" bestFit="1" customWidth="1"/>
    <col min="5637" max="5637" width="7.7109375" style="36" bestFit="1" customWidth="1"/>
    <col min="5638" max="5638" width="6.5703125" style="36" bestFit="1" customWidth="1"/>
    <col min="5639" max="5639" width="6.42578125" style="36" bestFit="1" customWidth="1"/>
    <col min="5640" max="5640" width="10" style="36" bestFit="1" customWidth="1"/>
    <col min="5641" max="5641" width="7.140625" style="36" customWidth="1"/>
    <col min="5642" max="5642" width="6.7109375" style="36" bestFit="1" customWidth="1"/>
    <col min="5643" max="5643" width="5.42578125" style="36" bestFit="1" customWidth="1"/>
    <col min="5644" max="5644" width="6.28515625" style="36" bestFit="1" customWidth="1"/>
    <col min="5645" max="5645" width="5.42578125" style="36" customWidth="1"/>
    <col min="5646" max="5646" width="6.7109375" style="36" customWidth="1"/>
    <col min="5647" max="5647" width="7.42578125" style="36" customWidth="1"/>
    <col min="5648" max="5648" width="7.140625" style="36" customWidth="1"/>
    <col min="5649" max="5649" width="9.28515625" style="36" customWidth="1"/>
    <col min="5650" max="5650" width="10.7109375" style="36" customWidth="1"/>
    <col min="5651" max="5651" width="9.140625" style="36" customWidth="1"/>
    <col min="5652" max="5888" width="9.140625" style="36"/>
    <col min="5889" max="5889" width="4.5703125" style="36" bestFit="1" customWidth="1"/>
    <col min="5890" max="5890" width="11.5703125" style="36" bestFit="1" customWidth="1"/>
    <col min="5891" max="5891" width="9.42578125" style="36" bestFit="1" customWidth="1"/>
    <col min="5892" max="5892" width="6.5703125" style="36" bestFit="1" customWidth="1"/>
    <col min="5893" max="5893" width="7.7109375" style="36" bestFit="1" customWidth="1"/>
    <col min="5894" max="5894" width="6.5703125" style="36" bestFit="1" customWidth="1"/>
    <col min="5895" max="5895" width="6.42578125" style="36" bestFit="1" customWidth="1"/>
    <col min="5896" max="5896" width="10" style="36" bestFit="1" customWidth="1"/>
    <col min="5897" max="5897" width="7.140625" style="36" customWidth="1"/>
    <col min="5898" max="5898" width="6.7109375" style="36" bestFit="1" customWidth="1"/>
    <col min="5899" max="5899" width="5.42578125" style="36" bestFit="1" customWidth="1"/>
    <col min="5900" max="5900" width="6.28515625" style="36" bestFit="1" customWidth="1"/>
    <col min="5901" max="5901" width="5.42578125" style="36" customWidth="1"/>
    <col min="5902" max="5902" width="6.7109375" style="36" customWidth="1"/>
    <col min="5903" max="5903" width="7.42578125" style="36" customWidth="1"/>
    <col min="5904" max="5904" width="7.140625" style="36" customWidth="1"/>
    <col min="5905" max="5905" width="9.28515625" style="36" customWidth="1"/>
    <col min="5906" max="5906" width="10.7109375" style="36" customWidth="1"/>
    <col min="5907" max="5907" width="9.140625" style="36" customWidth="1"/>
    <col min="5908" max="6144" width="9.140625" style="36"/>
    <col min="6145" max="6145" width="4.5703125" style="36" bestFit="1" customWidth="1"/>
    <col min="6146" max="6146" width="11.5703125" style="36" bestFit="1" customWidth="1"/>
    <col min="6147" max="6147" width="9.42578125" style="36" bestFit="1" customWidth="1"/>
    <col min="6148" max="6148" width="6.5703125" style="36" bestFit="1" customWidth="1"/>
    <col min="6149" max="6149" width="7.7109375" style="36" bestFit="1" customWidth="1"/>
    <col min="6150" max="6150" width="6.5703125" style="36" bestFit="1" customWidth="1"/>
    <col min="6151" max="6151" width="6.42578125" style="36" bestFit="1" customWidth="1"/>
    <col min="6152" max="6152" width="10" style="36" bestFit="1" customWidth="1"/>
    <col min="6153" max="6153" width="7.140625" style="36" customWidth="1"/>
    <col min="6154" max="6154" width="6.7109375" style="36" bestFit="1" customWidth="1"/>
    <col min="6155" max="6155" width="5.42578125" style="36" bestFit="1" customWidth="1"/>
    <col min="6156" max="6156" width="6.28515625" style="36" bestFit="1" customWidth="1"/>
    <col min="6157" max="6157" width="5.42578125" style="36" customWidth="1"/>
    <col min="6158" max="6158" width="6.7109375" style="36" customWidth="1"/>
    <col min="6159" max="6159" width="7.42578125" style="36" customWidth="1"/>
    <col min="6160" max="6160" width="7.140625" style="36" customWidth="1"/>
    <col min="6161" max="6161" width="9.28515625" style="36" customWidth="1"/>
    <col min="6162" max="6162" width="10.7109375" style="36" customWidth="1"/>
    <col min="6163" max="6163" width="9.140625" style="36" customWidth="1"/>
    <col min="6164" max="6400" width="9.140625" style="36"/>
    <col min="6401" max="6401" width="4.5703125" style="36" bestFit="1" customWidth="1"/>
    <col min="6402" max="6402" width="11.5703125" style="36" bestFit="1" customWidth="1"/>
    <col min="6403" max="6403" width="9.42578125" style="36" bestFit="1" customWidth="1"/>
    <col min="6404" max="6404" width="6.5703125" style="36" bestFit="1" customWidth="1"/>
    <col min="6405" max="6405" width="7.7109375" style="36" bestFit="1" customWidth="1"/>
    <col min="6406" max="6406" width="6.5703125" style="36" bestFit="1" customWidth="1"/>
    <col min="6407" max="6407" width="6.42578125" style="36" bestFit="1" customWidth="1"/>
    <col min="6408" max="6408" width="10" style="36" bestFit="1" customWidth="1"/>
    <col min="6409" max="6409" width="7.140625" style="36" customWidth="1"/>
    <col min="6410" max="6410" width="6.7109375" style="36" bestFit="1" customWidth="1"/>
    <col min="6411" max="6411" width="5.42578125" style="36" bestFit="1" customWidth="1"/>
    <col min="6412" max="6412" width="6.28515625" style="36" bestFit="1" customWidth="1"/>
    <col min="6413" max="6413" width="5.42578125" style="36" customWidth="1"/>
    <col min="6414" max="6414" width="6.7109375" style="36" customWidth="1"/>
    <col min="6415" max="6415" width="7.42578125" style="36" customWidth="1"/>
    <col min="6416" max="6416" width="7.140625" style="36" customWidth="1"/>
    <col min="6417" max="6417" width="9.28515625" style="36" customWidth="1"/>
    <col min="6418" max="6418" width="10.7109375" style="36" customWidth="1"/>
    <col min="6419" max="6419" width="9.140625" style="36" customWidth="1"/>
    <col min="6420" max="6656" width="9.140625" style="36"/>
    <col min="6657" max="6657" width="4.5703125" style="36" bestFit="1" customWidth="1"/>
    <col min="6658" max="6658" width="11.5703125" style="36" bestFit="1" customWidth="1"/>
    <col min="6659" max="6659" width="9.42578125" style="36" bestFit="1" customWidth="1"/>
    <col min="6660" max="6660" width="6.5703125" style="36" bestFit="1" customWidth="1"/>
    <col min="6661" max="6661" width="7.7109375" style="36" bestFit="1" customWidth="1"/>
    <col min="6662" max="6662" width="6.5703125" style="36" bestFit="1" customWidth="1"/>
    <col min="6663" max="6663" width="6.42578125" style="36" bestFit="1" customWidth="1"/>
    <col min="6664" max="6664" width="10" style="36" bestFit="1" customWidth="1"/>
    <col min="6665" max="6665" width="7.140625" style="36" customWidth="1"/>
    <col min="6666" max="6666" width="6.7109375" style="36" bestFit="1" customWidth="1"/>
    <col min="6667" max="6667" width="5.42578125" style="36" bestFit="1" customWidth="1"/>
    <col min="6668" max="6668" width="6.28515625" style="36" bestFit="1" customWidth="1"/>
    <col min="6669" max="6669" width="5.42578125" style="36" customWidth="1"/>
    <col min="6670" max="6670" width="6.7109375" style="36" customWidth="1"/>
    <col min="6671" max="6671" width="7.42578125" style="36" customWidth="1"/>
    <col min="6672" max="6672" width="7.140625" style="36" customWidth="1"/>
    <col min="6673" max="6673" width="9.28515625" style="36" customWidth="1"/>
    <col min="6674" max="6674" width="10.7109375" style="36" customWidth="1"/>
    <col min="6675" max="6675" width="9.140625" style="36" customWidth="1"/>
    <col min="6676" max="6912" width="9.140625" style="36"/>
    <col min="6913" max="6913" width="4.5703125" style="36" bestFit="1" customWidth="1"/>
    <col min="6914" max="6914" width="11.5703125" style="36" bestFit="1" customWidth="1"/>
    <col min="6915" max="6915" width="9.42578125" style="36" bestFit="1" customWidth="1"/>
    <col min="6916" max="6916" width="6.5703125" style="36" bestFit="1" customWidth="1"/>
    <col min="6917" max="6917" width="7.7109375" style="36" bestFit="1" customWidth="1"/>
    <col min="6918" max="6918" width="6.5703125" style="36" bestFit="1" customWidth="1"/>
    <col min="6919" max="6919" width="6.42578125" style="36" bestFit="1" customWidth="1"/>
    <col min="6920" max="6920" width="10" style="36" bestFit="1" customWidth="1"/>
    <col min="6921" max="6921" width="7.140625" style="36" customWidth="1"/>
    <col min="6922" max="6922" width="6.7109375" style="36" bestFit="1" customWidth="1"/>
    <col min="6923" max="6923" width="5.42578125" style="36" bestFit="1" customWidth="1"/>
    <col min="6924" max="6924" width="6.28515625" style="36" bestFit="1" customWidth="1"/>
    <col min="6925" max="6925" width="5.42578125" style="36" customWidth="1"/>
    <col min="6926" max="6926" width="6.7109375" style="36" customWidth="1"/>
    <col min="6927" max="6927" width="7.42578125" style="36" customWidth="1"/>
    <col min="6928" max="6928" width="7.140625" style="36" customWidth="1"/>
    <col min="6929" max="6929" width="9.28515625" style="36" customWidth="1"/>
    <col min="6930" max="6930" width="10.7109375" style="36" customWidth="1"/>
    <col min="6931" max="6931" width="9.140625" style="36" customWidth="1"/>
    <col min="6932" max="7168" width="9.140625" style="36"/>
    <col min="7169" max="7169" width="4.5703125" style="36" bestFit="1" customWidth="1"/>
    <col min="7170" max="7170" width="11.5703125" style="36" bestFit="1" customWidth="1"/>
    <col min="7171" max="7171" width="9.42578125" style="36" bestFit="1" customWidth="1"/>
    <col min="7172" max="7172" width="6.5703125" style="36" bestFit="1" customWidth="1"/>
    <col min="7173" max="7173" width="7.7109375" style="36" bestFit="1" customWidth="1"/>
    <col min="7174" max="7174" width="6.5703125" style="36" bestFit="1" customWidth="1"/>
    <col min="7175" max="7175" width="6.42578125" style="36" bestFit="1" customWidth="1"/>
    <col min="7176" max="7176" width="10" style="36" bestFit="1" customWidth="1"/>
    <col min="7177" max="7177" width="7.140625" style="36" customWidth="1"/>
    <col min="7178" max="7178" width="6.7109375" style="36" bestFit="1" customWidth="1"/>
    <col min="7179" max="7179" width="5.42578125" style="36" bestFit="1" customWidth="1"/>
    <col min="7180" max="7180" width="6.28515625" style="36" bestFit="1" customWidth="1"/>
    <col min="7181" max="7181" width="5.42578125" style="36" customWidth="1"/>
    <col min="7182" max="7182" width="6.7109375" style="36" customWidth="1"/>
    <col min="7183" max="7183" width="7.42578125" style="36" customWidth="1"/>
    <col min="7184" max="7184" width="7.140625" style="36" customWidth="1"/>
    <col min="7185" max="7185" width="9.28515625" style="36" customWidth="1"/>
    <col min="7186" max="7186" width="10.7109375" style="36" customWidth="1"/>
    <col min="7187" max="7187" width="9.140625" style="36" customWidth="1"/>
    <col min="7188" max="7424" width="9.140625" style="36"/>
    <col min="7425" max="7425" width="4.5703125" style="36" bestFit="1" customWidth="1"/>
    <col min="7426" max="7426" width="11.5703125" style="36" bestFit="1" customWidth="1"/>
    <col min="7427" max="7427" width="9.42578125" style="36" bestFit="1" customWidth="1"/>
    <col min="7428" max="7428" width="6.5703125" style="36" bestFit="1" customWidth="1"/>
    <col min="7429" max="7429" width="7.7109375" style="36" bestFit="1" customWidth="1"/>
    <col min="7430" max="7430" width="6.5703125" style="36" bestFit="1" customWidth="1"/>
    <col min="7431" max="7431" width="6.42578125" style="36" bestFit="1" customWidth="1"/>
    <col min="7432" max="7432" width="10" style="36" bestFit="1" customWidth="1"/>
    <col min="7433" max="7433" width="7.140625" style="36" customWidth="1"/>
    <col min="7434" max="7434" width="6.7109375" style="36" bestFit="1" customWidth="1"/>
    <col min="7435" max="7435" width="5.42578125" style="36" bestFit="1" customWidth="1"/>
    <col min="7436" max="7436" width="6.28515625" style="36" bestFit="1" customWidth="1"/>
    <col min="7437" max="7437" width="5.42578125" style="36" customWidth="1"/>
    <col min="7438" max="7438" width="6.7109375" style="36" customWidth="1"/>
    <col min="7439" max="7439" width="7.42578125" style="36" customWidth="1"/>
    <col min="7440" max="7440" width="7.140625" style="36" customWidth="1"/>
    <col min="7441" max="7441" width="9.28515625" style="36" customWidth="1"/>
    <col min="7442" max="7442" width="10.7109375" style="36" customWidth="1"/>
    <col min="7443" max="7443" width="9.140625" style="36" customWidth="1"/>
    <col min="7444" max="7680" width="9.140625" style="36"/>
    <col min="7681" max="7681" width="4.5703125" style="36" bestFit="1" customWidth="1"/>
    <col min="7682" max="7682" width="11.5703125" style="36" bestFit="1" customWidth="1"/>
    <col min="7683" max="7683" width="9.42578125" style="36" bestFit="1" customWidth="1"/>
    <col min="7684" max="7684" width="6.5703125" style="36" bestFit="1" customWidth="1"/>
    <col min="7685" max="7685" width="7.7109375" style="36" bestFit="1" customWidth="1"/>
    <col min="7686" max="7686" width="6.5703125" style="36" bestFit="1" customWidth="1"/>
    <col min="7687" max="7687" width="6.42578125" style="36" bestFit="1" customWidth="1"/>
    <col min="7688" max="7688" width="10" style="36" bestFit="1" customWidth="1"/>
    <col min="7689" max="7689" width="7.140625" style="36" customWidth="1"/>
    <col min="7690" max="7690" width="6.7109375" style="36" bestFit="1" customWidth="1"/>
    <col min="7691" max="7691" width="5.42578125" style="36" bestFit="1" customWidth="1"/>
    <col min="7692" max="7692" width="6.28515625" style="36" bestFit="1" customWidth="1"/>
    <col min="7693" max="7693" width="5.42578125" style="36" customWidth="1"/>
    <col min="7694" max="7694" width="6.7109375" style="36" customWidth="1"/>
    <col min="7695" max="7695" width="7.42578125" style="36" customWidth="1"/>
    <col min="7696" max="7696" width="7.140625" style="36" customWidth="1"/>
    <col min="7697" max="7697" width="9.28515625" style="36" customWidth="1"/>
    <col min="7698" max="7698" width="10.7109375" style="36" customWidth="1"/>
    <col min="7699" max="7699" width="9.140625" style="36" customWidth="1"/>
    <col min="7700" max="7936" width="9.140625" style="36"/>
    <col min="7937" max="7937" width="4.5703125" style="36" bestFit="1" customWidth="1"/>
    <col min="7938" max="7938" width="11.5703125" style="36" bestFit="1" customWidth="1"/>
    <col min="7939" max="7939" width="9.42578125" style="36" bestFit="1" customWidth="1"/>
    <col min="7940" max="7940" width="6.5703125" style="36" bestFit="1" customWidth="1"/>
    <col min="7941" max="7941" width="7.7109375" style="36" bestFit="1" customWidth="1"/>
    <col min="7942" max="7942" width="6.5703125" style="36" bestFit="1" customWidth="1"/>
    <col min="7943" max="7943" width="6.42578125" style="36" bestFit="1" customWidth="1"/>
    <col min="7944" max="7944" width="10" style="36" bestFit="1" customWidth="1"/>
    <col min="7945" max="7945" width="7.140625" style="36" customWidth="1"/>
    <col min="7946" max="7946" width="6.7109375" style="36" bestFit="1" customWidth="1"/>
    <col min="7947" max="7947" width="5.42578125" style="36" bestFit="1" customWidth="1"/>
    <col min="7948" max="7948" width="6.28515625" style="36" bestFit="1" customWidth="1"/>
    <col min="7949" max="7949" width="5.42578125" style="36" customWidth="1"/>
    <col min="7950" max="7950" width="6.7109375" style="36" customWidth="1"/>
    <col min="7951" max="7951" width="7.42578125" style="36" customWidth="1"/>
    <col min="7952" max="7952" width="7.140625" style="36" customWidth="1"/>
    <col min="7953" max="7953" width="9.28515625" style="36" customWidth="1"/>
    <col min="7954" max="7954" width="10.7109375" style="36" customWidth="1"/>
    <col min="7955" max="7955" width="9.140625" style="36" customWidth="1"/>
    <col min="7956" max="8192" width="9.140625" style="36"/>
    <col min="8193" max="8193" width="4.5703125" style="36" bestFit="1" customWidth="1"/>
    <col min="8194" max="8194" width="11.5703125" style="36" bestFit="1" customWidth="1"/>
    <col min="8195" max="8195" width="9.42578125" style="36" bestFit="1" customWidth="1"/>
    <col min="8196" max="8196" width="6.5703125" style="36" bestFit="1" customWidth="1"/>
    <col min="8197" max="8197" width="7.7109375" style="36" bestFit="1" customWidth="1"/>
    <col min="8198" max="8198" width="6.5703125" style="36" bestFit="1" customWidth="1"/>
    <col min="8199" max="8199" width="6.42578125" style="36" bestFit="1" customWidth="1"/>
    <col min="8200" max="8200" width="10" style="36" bestFit="1" customWidth="1"/>
    <col min="8201" max="8201" width="7.140625" style="36" customWidth="1"/>
    <col min="8202" max="8202" width="6.7109375" style="36" bestFit="1" customWidth="1"/>
    <col min="8203" max="8203" width="5.42578125" style="36" bestFit="1" customWidth="1"/>
    <col min="8204" max="8204" width="6.28515625" style="36" bestFit="1" customWidth="1"/>
    <col min="8205" max="8205" width="5.42578125" style="36" customWidth="1"/>
    <col min="8206" max="8206" width="6.7109375" style="36" customWidth="1"/>
    <col min="8207" max="8207" width="7.42578125" style="36" customWidth="1"/>
    <col min="8208" max="8208" width="7.140625" style="36" customWidth="1"/>
    <col min="8209" max="8209" width="9.28515625" style="36" customWidth="1"/>
    <col min="8210" max="8210" width="10.7109375" style="36" customWidth="1"/>
    <col min="8211" max="8211" width="9.140625" style="36" customWidth="1"/>
    <col min="8212" max="8448" width="9.140625" style="36"/>
    <col min="8449" max="8449" width="4.5703125" style="36" bestFit="1" customWidth="1"/>
    <col min="8450" max="8450" width="11.5703125" style="36" bestFit="1" customWidth="1"/>
    <col min="8451" max="8451" width="9.42578125" style="36" bestFit="1" customWidth="1"/>
    <col min="8452" max="8452" width="6.5703125" style="36" bestFit="1" customWidth="1"/>
    <col min="8453" max="8453" width="7.7109375" style="36" bestFit="1" customWidth="1"/>
    <col min="8454" max="8454" width="6.5703125" style="36" bestFit="1" customWidth="1"/>
    <col min="8455" max="8455" width="6.42578125" style="36" bestFit="1" customWidth="1"/>
    <col min="8456" max="8456" width="10" style="36" bestFit="1" customWidth="1"/>
    <col min="8457" max="8457" width="7.140625" style="36" customWidth="1"/>
    <col min="8458" max="8458" width="6.7109375" style="36" bestFit="1" customWidth="1"/>
    <col min="8459" max="8459" width="5.42578125" style="36" bestFit="1" customWidth="1"/>
    <col min="8460" max="8460" width="6.28515625" style="36" bestFit="1" customWidth="1"/>
    <col min="8461" max="8461" width="5.42578125" style="36" customWidth="1"/>
    <col min="8462" max="8462" width="6.7109375" style="36" customWidth="1"/>
    <col min="8463" max="8463" width="7.42578125" style="36" customWidth="1"/>
    <col min="8464" max="8464" width="7.140625" style="36" customWidth="1"/>
    <col min="8465" max="8465" width="9.28515625" style="36" customWidth="1"/>
    <col min="8466" max="8466" width="10.7109375" style="36" customWidth="1"/>
    <col min="8467" max="8467" width="9.140625" style="36" customWidth="1"/>
    <col min="8468" max="8704" width="9.140625" style="36"/>
    <col min="8705" max="8705" width="4.5703125" style="36" bestFit="1" customWidth="1"/>
    <col min="8706" max="8706" width="11.5703125" style="36" bestFit="1" customWidth="1"/>
    <col min="8707" max="8707" width="9.42578125" style="36" bestFit="1" customWidth="1"/>
    <col min="8708" max="8708" width="6.5703125" style="36" bestFit="1" customWidth="1"/>
    <col min="8709" max="8709" width="7.7109375" style="36" bestFit="1" customWidth="1"/>
    <col min="8710" max="8710" width="6.5703125" style="36" bestFit="1" customWidth="1"/>
    <col min="8711" max="8711" width="6.42578125" style="36" bestFit="1" customWidth="1"/>
    <col min="8712" max="8712" width="10" style="36" bestFit="1" customWidth="1"/>
    <col min="8713" max="8713" width="7.140625" style="36" customWidth="1"/>
    <col min="8714" max="8714" width="6.7109375" style="36" bestFit="1" customWidth="1"/>
    <col min="8715" max="8715" width="5.42578125" style="36" bestFit="1" customWidth="1"/>
    <col min="8716" max="8716" width="6.28515625" style="36" bestFit="1" customWidth="1"/>
    <col min="8717" max="8717" width="5.42578125" style="36" customWidth="1"/>
    <col min="8718" max="8718" width="6.7109375" style="36" customWidth="1"/>
    <col min="8719" max="8719" width="7.42578125" style="36" customWidth="1"/>
    <col min="8720" max="8720" width="7.140625" style="36" customWidth="1"/>
    <col min="8721" max="8721" width="9.28515625" style="36" customWidth="1"/>
    <col min="8722" max="8722" width="10.7109375" style="36" customWidth="1"/>
    <col min="8723" max="8723" width="9.140625" style="36" customWidth="1"/>
    <col min="8724" max="8960" width="9.140625" style="36"/>
    <col min="8961" max="8961" width="4.5703125" style="36" bestFit="1" customWidth="1"/>
    <col min="8962" max="8962" width="11.5703125" style="36" bestFit="1" customWidth="1"/>
    <col min="8963" max="8963" width="9.42578125" style="36" bestFit="1" customWidth="1"/>
    <col min="8964" max="8964" width="6.5703125" style="36" bestFit="1" customWidth="1"/>
    <col min="8965" max="8965" width="7.7109375" style="36" bestFit="1" customWidth="1"/>
    <col min="8966" max="8966" width="6.5703125" style="36" bestFit="1" customWidth="1"/>
    <col min="8967" max="8967" width="6.42578125" style="36" bestFit="1" customWidth="1"/>
    <col min="8968" max="8968" width="10" style="36" bestFit="1" customWidth="1"/>
    <col min="8969" max="8969" width="7.140625" style="36" customWidth="1"/>
    <col min="8970" max="8970" width="6.7109375" style="36" bestFit="1" customWidth="1"/>
    <col min="8971" max="8971" width="5.42578125" style="36" bestFit="1" customWidth="1"/>
    <col min="8972" max="8972" width="6.28515625" style="36" bestFit="1" customWidth="1"/>
    <col min="8973" max="8973" width="5.42578125" style="36" customWidth="1"/>
    <col min="8974" max="8974" width="6.7109375" style="36" customWidth="1"/>
    <col min="8975" max="8975" width="7.42578125" style="36" customWidth="1"/>
    <col min="8976" max="8976" width="7.140625" style="36" customWidth="1"/>
    <col min="8977" max="8977" width="9.28515625" style="36" customWidth="1"/>
    <col min="8978" max="8978" width="10.7109375" style="36" customWidth="1"/>
    <col min="8979" max="8979" width="9.140625" style="36" customWidth="1"/>
    <col min="8980" max="9216" width="9.140625" style="36"/>
    <col min="9217" max="9217" width="4.5703125" style="36" bestFit="1" customWidth="1"/>
    <col min="9218" max="9218" width="11.5703125" style="36" bestFit="1" customWidth="1"/>
    <col min="9219" max="9219" width="9.42578125" style="36" bestFit="1" customWidth="1"/>
    <col min="9220" max="9220" width="6.5703125" style="36" bestFit="1" customWidth="1"/>
    <col min="9221" max="9221" width="7.7109375" style="36" bestFit="1" customWidth="1"/>
    <col min="9222" max="9222" width="6.5703125" style="36" bestFit="1" customWidth="1"/>
    <col min="9223" max="9223" width="6.42578125" style="36" bestFit="1" customWidth="1"/>
    <col min="9224" max="9224" width="10" style="36" bestFit="1" customWidth="1"/>
    <col min="9225" max="9225" width="7.140625" style="36" customWidth="1"/>
    <col min="9226" max="9226" width="6.7109375" style="36" bestFit="1" customWidth="1"/>
    <col min="9227" max="9227" width="5.42578125" style="36" bestFit="1" customWidth="1"/>
    <col min="9228" max="9228" width="6.28515625" style="36" bestFit="1" customWidth="1"/>
    <col min="9229" max="9229" width="5.42578125" style="36" customWidth="1"/>
    <col min="9230" max="9230" width="6.7109375" style="36" customWidth="1"/>
    <col min="9231" max="9231" width="7.42578125" style="36" customWidth="1"/>
    <col min="9232" max="9232" width="7.140625" style="36" customWidth="1"/>
    <col min="9233" max="9233" width="9.28515625" style="36" customWidth="1"/>
    <col min="9234" max="9234" width="10.7109375" style="36" customWidth="1"/>
    <col min="9235" max="9235" width="9.140625" style="36" customWidth="1"/>
    <col min="9236" max="9472" width="9.140625" style="36"/>
    <col min="9473" max="9473" width="4.5703125" style="36" bestFit="1" customWidth="1"/>
    <col min="9474" max="9474" width="11.5703125" style="36" bestFit="1" customWidth="1"/>
    <col min="9475" max="9475" width="9.42578125" style="36" bestFit="1" customWidth="1"/>
    <col min="9476" max="9476" width="6.5703125" style="36" bestFit="1" customWidth="1"/>
    <col min="9477" max="9477" width="7.7109375" style="36" bestFit="1" customWidth="1"/>
    <col min="9478" max="9478" width="6.5703125" style="36" bestFit="1" customWidth="1"/>
    <col min="9479" max="9479" width="6.42578125" style="36" bestFit="1" customWidth="1"/>
    <col min="9480" max="9480" width="10" style="36" bestFit="1" customWidth="1"/>
    <col min="9481" max="9481" width="7.140625" style="36" customWidth="1"/>
    <col min="9482" max="9482" width="6.7109375" style="36" bestFit="1" customWidth="1"/>
    <col min="9483" max="9483" width="5.42578125" style="36" bestFit="1" customWidth="1"/>
    <col min="9484" max="9484" width="6.28515625" style="36" bestFit="1" customWidth="1"/>
    <col min="9485" max="9485" width="5.42578125" style="36" customWidth="1"/>
    <col min="9486" max="9486" width="6.7109375" style="36" customWidth="1"/>
    <col min="9487" max="9487" width="7.42578125" style="36" customWidth="1"/>
    <col min="9488" max="9488" width="7.140625" style="36" customWidth="1"/>
    <col min="9489" max="9489" width="9.28515625" style="36" customWidth="1"/>
    <col min="9490" max="9490" width="10.7109375" style="36" customWidth="1"/>
    <col min="9491" max="9491" width="9.140625" style="36" customWidth="1"/>
    <col min="9492" max="9728" width="9.140625" style="36"/>
    <col min="9729" max="9729" width="4.5703125" style="36" bestFit="1" customWidth="1"/>
    <col min="9730" max="9730" width="11.5703125" style="36" bestFit="1" customWidth="1"/>
    <col min="9731" max="9731" width="9.42578125" style="36" bestFit="1" customWidth="1"/>
    <col min="9732" max="9732" width="6.5703125" style="36" bestFit="1" customWidth="1"/>
    <col min="9733" max="9733" width="7.7109375" style="36" bestFit="1" customWidth="1"/>
    <col min="9734" max="9734" width="6.5703125" style="36" bestFit="1" customWidth="1"/>
    <col min="9735" max="9735" width="6.42578125" style="36" bestFit="1" customWidth="1"/>
    <col min="9736" max="9736" width="10" style="36" bestFit="1" customWidth="1"/>
    <col min="9737" max="9737" width="7.140625" style="36" customWidth="1"/>
    <col min="9738" max="9738" width="6.7109375" style="36" bestFit="1" customWidth="1"/>
    <col min="9739" max="9739" width="5.42578125" style="36" bestFit="1" customWidth="1"/>
    <col min="9740" max="9740" width="6.28515625" style="36" bestFit="1" customWidth="1"/>
    <col min="9741" max="9741" width="5.42578125" style="36" customWidth="1"/>
    <col min="9742" max="9742" width="6.7109375" style="36" customWidth="1"/>
    <col min="9743" max="9743" width="7.42578125" style="36" customWidth="1"/>
    <col min="9744" max="9744" width="7.140625" style="36" customWidth="1"/>
    <col min="9745" max="9745" width="9.28515625" style="36" customWidth="1"/>
    <col min="9746" max="9746" width="10.7109375" style="36" customWidth="1"/>
    <col min="9747" max="9747" width="9.140625" style="36" customWidth="1"/>
    <col min="9748" max="9984" width="9.140625" style="36"/>
    <col min="9985" max="9985" width="4.5703125" style="36" bestFit="1" customWidth="1"/>
    <col min="9986" max="9986" width="11.5703125" style="36" bestFit="1" customWidth="1"/>
    <col min="9987" max="9987" width="9.42578125" style="36" bestFit="1" customWidth="1"/>
    <col min="9988" max="9988" width="6.5703125" style="36" bestFit="1" customWidth="1"/>
    <col min="9989" max="9989" width="7.7109375" style="36" bestFit="1" customWidth="1"/>
    <col min="9990" max="9990" width="6.5703125" style="36" bestFit="1" customWidth="1"/>
    <col min="9991" max="9991" width="6.42578125" style="36" bestFit="1" customWidth="1"/>
    <col min="9992" max="9992" width="10" style="36" bestFit="1" customWidth="1"/>
    <col min="9993" max="9993" width="7.140625" style="36" customWidth="1"/>
    <col min="9994" max="9994" width="6.7109375" style="36" bestFit="1" customWidth="1"/>
    <col min="9995" max="9995" width="5.42578125" style="36" bestFit="1" customWidth="1"/>
    <col min="9996" max="9996" width="6.28515625" style="36" bestFit="1" customWidth="1"/>
    <col min="9997" max="9997" width="5.42578125" style="36" customWidth="1"/>
    <col min="9998" max="9998" width="6.7109375" style="36" customWidth="1"/>
    <col min="9999" max="9999" width="7.42578125" style="36" customWidth="1"/>
    <col min="10000" max="10000" width="7.140625" style="36" customWidth="1"/>
    <col min="10001" max="10001" width="9.28515625" style="36" customWidth="1"/>
    <col min="10002" max="10002" width="10.7109375" style="36" customWidth="1"/>
    <col min="10003" max="10003" width="9.140625" style="36" customWidth="1"/>
    <col min="10004" max="10240" width="9.140625" style="36"/>
    <col min="10241" max="10241" width="4.5703125" style="36" bestFit="1" customWidth="1"/>
    <col min="10242" max="10242" width="11.5703125" style="36" bestFit="1" customWidth="1"/>
    <col min="10243" max="10243" width="9.42578125" style="36" bestFit="1" customWidth="1"/>
    <col min="10244" max="10244" width="6.5703125" style="36" bestFit="1" customWidth="1"/>
    <col min="10245" max="10245" width="7.7109375" style="36" bestFit="1" customWidth="1"/>
    <col min="10246" max="10246" width="6.5703125" style="36" bestFit="1" customWidth="1"/>
    <col min="10247" max="10247" width="6.42578125" style="36" bestFit="1" customWidth="1"/>
    <col min="10248" max="10248" width="10" style="36" bestFit="1" customWidth="1"/>
    <col min="10249" max="10249" width="7.140625" style="36" customWidth="1"/>
    <col min="10250" max="10250" width="6.7109375" style="36" bestFit="1" customWidth="1"/>
    <col min="10251" max="10251" width="5.42578125" style="36" bestFit="1" customWidth="1"/>
    <col min="10252" max="10252" width="6.28515625" style="36" bestFit="1" customWidth="1"/>
    <col min="10253" max="10253" width="5.42578125" style="36" customWidth="1"/>
    <col min="10254" max="10254" width="6.7109375" style="36" customWidth="1"/>
    <col min="10255" max="10255" width="7.42578125" style="36" customWidth="1"/>
    <col min="10256" max="10256" width="7.140625" style="36" customWidth="1"/>
    <col min="10257" max="10257" width="9.28515625" style="36" customWidth="1"/>
    <col min="10258" max="10258" width="10.7109375" style="36" customWidth="1"/>
    <col min="10259" max="10259" width="9.140625" style="36" customWidth="1"/>
    <col min="10260" max="10496" width="9.140625" style="36"/>
    <col min="10497" max="10497" width="4.5703125" style="36" bestFit="1" customWidth="1"/>
    <col min="10498" max="10498" width="11.5703125" style="36" bestFit="1" customWidth="1"/>
    <col min="10499" max="10499" width="9.42578125" style="36" bestFit="1" customWidth="1"/>
    <col min="10500" max="10500" width="6.5703125" style="36" bestFit="1" customWidth="1"/>
    <col min="10501" max="10501" width="7.7109375" style="36" bestFit="1" customWidth="1"/>
    <col min="10502" max="10502" width="6.5703125" style="36" bestFit="1" customWidth="1"/>
    <col min="10503" max="10503" width="6.42578125" style="36" bestFit="1" customWidth="1"/>
    <col min="10504" max="10504" width="10" style="36" bestFit="1" customWidth="1"/>
    <col min="10505" max="10505" width="7.140625" style="36" customWidth="1"/>
    <col min="10506" max="10506" width="6.7109375" style="36" bestFit="1" customWidth="1"/>
    <col min="10507" max="10507" width="5.42578125" style="36" bestFit="1" customWidth="1"/>
    <col min="10508" max="10508" width="6.28515625" style="36" bestFit="1" customWidth="1"/>
    <col min="10509" max="10509" width="5.42578125" style="36" customWidth="1"/>
    <col min="10510" max="10510" width="6.7109375" style="36" customWidth="1"/>
    <col min="10511" max="10511" width="7.42578125" style="36" customWidth="1"/>
    <col min="10512" max="10512" width="7.140625" style="36" customWidth="1"/>
    <col min="10513" max="10513" width="9.28515625" style="36" customWidth="1"/>
    <col min="10514" max="10514" width="10.7109375" style="36" customWidth="1"/>
    <col min="10515" max="10515" width="9.140625" style="36" customWidth="1"/>
    <col min="10516" max="10752" width="9.140625" style="36"/>
    <col min="10753" max="10753" width="4.5703125" style="36" bestFit="1" customWidth="1"/>
    <col min="10754" max="10754" width="11.5703125" style="36" bestFit="1" customWidth="1"/>
    <col min="10755" max="10755" width="9.42578125" style="36" bestFit="1" customWidth="1"/>
    <col min="10756" max="10756" width="6.5703125" style="36" bestFit="1" customWidth="1"/>
    <col min="10757" max="10757" width="7.7109375" style="36" bestFit="1" customWidth="1"/>
    <col min="10758" max="10758" width="6.5703125" style="36" bestFit="1" customWidth="1"/>
    <col min="10759" max="10759" width="6.42578125" style="36" bestFit="1" customWidth="1"/>
    <col min="10760" max="10760" width="10" style="36" bestFit="1" customWidth="1"/>
    <col min="10761" max="10761" width="7.140625" style="36" customWidth="1"/>
    <col min="10762" max="10762" width="6.7109375" style="36" bestFit="1" customWidth="1"/>
    <col min="10763" max="10763" width="5.42578125" style="36" bestFit="1" customWidth="1"/>
    <col min="10764" max="10764" width="6.28515625" style="36" bestFit="1" customWidth="1"/>
    <col min="10765" max="10765" width="5.42578125" style="36" customWidth="1"/>
    <col min="10766" max="10766" width="6.7109375" style="36" customWidth="1"/>
    <col min="10767" max="10767" width="7.42578125" style="36" customWidth="1"/>
    <col min="10768" max="10768" width="7.140625" style="36" customWidth="1"/>
    <col min="10769" max="10769" width="9.28515625" style="36" customWidth="1"/>
    <col min="10770" max="10770" width="10.7109375" style="36" customWidth="1"/>
    <col min="10771" max="10771" width="9.140625" style="36" customWidth="1"/>
    <col min="10772" max="11008" width="9.140625" style="36"/>
    <col min="11009" max="11009" width="4.5703125" style="36" bestFit="1" customWidth="1"/>
    <col min="11010" max="11010" width="11.5703125" style="36" bestFit="1" customWidth="1"/>
    <col min="11011" max="11011" width="9.42578125" style="36" bestFit="1" customWidth="1"/>
    <col min="11012" max="11012" width="6.5703125" style="36" bestFit="1" customWidth="1"/>
    <col min="11013" max="11013" width="7.7109375" style="36" bestFit="1" customWidth="1"/>
    <col min="11014" max="11014" width="6.5703125" style="36" bestFit="1" customWidth="1"/>
    <col min="11015" max="11015" width="6.42578125" style="36" bestFit="1" customWidth="1"/>
    <col min="11016" max="11016" width="10" style="36" bestFit="1" customWidth="1"/>
    <col min="11017" max="11017" width="7.140625" style="36" customWidth="1"/>
    <col min="11018" max="11018" width="6.7109375" style="36" bestFit="1" customWidth="1"/>
    <col min="11019" max="11019" width="5.42578125" style="36" bestFit="1" customWidth="1"/>
    <col min="11020" max="11020" width="6.28515625" style="36" bestFit="1" customWidth="1"/>
    <col min="11021" max="11021" width="5.42578125" style="36" customWidth="1"/>
    <col min="11022" max="11022" width="6.7109375" style="36" customWidth="1"/>
    <col min="11023" max="11023" width="7.42578125" style="36" customWidth="1"/>
    <col min="11024" max="11024" width="7.140625" style="36" customWidth="1"/>
    <col min="11025" max="11025" width="9.28515625" style="36" customWidth="1"/>
    <col min="11026" max="11026" width="10.7109375" style="36" customWidth="1"/>
    <col min="11027" max="11027" width="9.140625" style="36" customWidth="1"/>
    <col min="11028" max="11264" width="9.140625" style="36"/>
    <col min="11265" max="11265" width="4.5703125" style="36" bestFit="1" customWidth="1"/>
    <col min="11266" max="11266" width="11.5703125" style="36" bestFit="1" customWidth="1"/>
    <col min="11267" max="11267" width="9.42578125" style="36" bestFit="1" customWidth="1"/>
    <col min="11268" max="11268" width="6.5703125" style="36" bestFit="1" customWidth="1"/>
    <col min="11269" max="11269" width="7.7109375" style="36" bestFit="1" customWidth="1"/>
    <col min="11270" max="11270" width="6.5703125" style="36" bestFit="1" customWidth="1"/>
    <col min="11271" max="11271" width="6.42578125" style="36" bestFit="1" customWidth="1"/>
    <col min="11272" max="11272" width="10" style="36" bestFit="1" customWidth="1"/>
    <col min="11273" max="11273" width="7.140625" style="36" customWidth="1"/>
    <col min="11274" max="11274" width="6.7109375" style="36" bestFit="1" customWidth="1"/>
    <col min="11275" max="11275" width="5.42578125" style="36" bestFit="1" customWidth="1"/>
    <col min="11276" max="11276" width="6.28515625" style="36" bestFit="1" customWidth="1"/>
    <col min="11277" max="11277" width="5.42578125" style="36" customWidth="1"/>
    <col min="11278" max="11278" width="6.7109375" style="36" customWidth="1"/>
    <col min="11279" max="11279" width="7.42578125" style="36" customWidth="1"/>
    <col min="11280" max="11280" width="7.140625" style="36" customWidth="1"/>
    <col min="11281" max="11281" width="9.28515625" style="36" customWidth="1"/>
    <col min="11282" max="11282" width="10.7109375" style="36" customWidth="1"/>
    <col min="11283" max="11283" width="9.140625" style="36" customWidth="1"/>
    <col min="11284" max="11520" width="9.140625" style="36"/>
    <col min="11521" max="11521" width="4.5703125" style="36" bestFit="1" customWidth="1"/>
    <col min="11522" max="11522" width="11.5703125" style="36" bestFit="1" customWidth="1"/>
    <col min="11523" max="11523" width="9.42578125" style="36" bestFit="1" customWidth="1"/>
    <col min="11524" max="11524" width="6.5703125" style="36" bestFit="1" customWidth="1"/>
    <col min="11525" max="11525" width="7.7109375" style="36" bestFit="1" customWidth="1"/>
    <col min="11526" max="11526" width="6.5703125" style="36" bestFit="1" customWidth="1"/>
    <col min="11527" max="11527" width="6.42578125" style="36" bestFit="1" customWidth="1"/>
    <col min="11528" max="11528" width="10" style="36" bestFit="1" customWidth="1"/>
    <col min="11529" max="11529" width="7.140625" style="36" customWidth="1"/>
    <col min="11530" max="11530" width="6.7109375" style="36" bestFit="1" customWidth="1"/>
    <col min="11531" max="11531" width="5.42578125" style="36" bestFit="1" customWidth="1"/>
    <col min="11532" max="11532" width="6.28515625" style="36" bestFit="1" customWidth="1"/>
    <col min="11533" max="11533" width="5.42578125" style="36" customWidth="1"/>
    <col min="11534" max="11534" width="6.7109375" style="36" customWidth="1"/>
    <col min="11535" max="11535" width="7.42578125" style="36" customWidth="1"/>
    <col min="11536" max="11536" width="7.140625" style="36" customWidth="1"/>
    <col min="11537" max="11537" width="9.28515625" style="36" customWidth="1"/>
    <col min="11538" max="11538" width="10.7109375" style="36" customWidth="1"/>
    <col min="11539" max="11539" width="9.140625" style="36" customWidth="1"/>
    <col min="11540" max="11776" width="9.140625" style="36"/>
    <col min="11777" max="11777" width="4.5703125" style="36" bestFit="1" customWidth="1"/>
    <col min="11778" max="11778" width="11.5703125" style="36" bestFit="1" customWidth="1"/>
    <col min="11779" max="11779" width="9.42578125" style="36" bestFit="1" customWidth="1"/>
    <col min="11780" max="11780" width="6.5703125" style="36" bestFit="1" customWidth="1"/>
    <col min="11781" max="11781" width="7.7109375" style="36" bestFit="1" customWidth="1"/>
    <col min="11782" max="11782" width="6.5703125" style="36" bestFit="1" customWidth="1"/>
    <col min="11783" max="11783" width="6.42578125" style="36" bestFit="1" customWidth="1"/>
    <col min="11784" max="11784" width="10" style="36" bestFit="1" customWidth="1"/>
    <col min="11785" max="11785" width="7.140625" style="36" customWidth="1"/>
    <col min="11786" max="11786" width="6.7109375" style="36" bestFit="1" customWidth="1"/>
    <col min="11787" max="11787" width="5.42578125" style="36" bestFit="1" customWidth="1"/>
    <col min="11788" max="11788" width="6.28515625" style="36" bestFit="1" customWidth="1"/>
    <col min="11789" max="11789" width="5.42578125" style="36" customWidth="1"/>
    <col min="11790" max="11790" width="6.7109375" style="36" customWidth="1"/>
    <col min="11791" max="11791" width="7.42578125" style="36" customWidth="1"/>
    <col min="11792" max="11792" width="7.140625" style="36" customWidth="1"/>
    <col min="11793" max="11793" width="9.28515625" style="36" customWidth="1"/>
    <col min="11794" max="11794" width="10.7109375" style="36" customWidth="1"/>
    <col min="11795" max="11795" width="9.140625" style="36" customWidth="1"/>
    <col min="11796" max="12032" width="9.140625" style="36"/>
    <col min="12033" max="12033" width="4.5703125" style="36" bestFit="1" customWidth="1"/>
    <col min="12034" max="12034" width="11.5703125" style="36" bestFit="1" customWidth="1"/>
    <col min="12035" max="12035" width="9.42578125" style="36" bestFit="1" customWidth="1"/>
    <col min="12036" max="12036" width="6.5703125" style="36" bestFit="1" customWidth="1"/>
    <col min="12037" max="12037" width="7.7109375" style="36" bestFit="1" customWidth="1"/>
    <col min="12038" max="12038" width="6.5703125" style="36" bestFit="1" customWidth="1"/>
    <col min="12039" max="12039" width="6.42578125" style="36" bestFit="1" customWidth="1"/>
    <col min="12040" max="12040" width="10" style="36" bestFit="1" customWidth="1"/>
    <col min="12041" max="12041" width="7.140625" style="36" customWidth="1"/>
    <col min="12042" max="12042" width="6.7109375" style="36" bestFit="1" customWidth="1"/>
    <col min="12043" max="12043" width="5.42578125" style="36" bestFit="1" customWidth="1"/>
    <col min="12044" max="12044" width="6.28515625" style="36" bestFit="1" customWidth="1"/>
    <col min="12045" max="12045" width="5.42578125" style="36" customWidth="1"/>
    <col min="12046" max="12046" width="6.7109375" style="36" customWidth="1"/>
    <col min="12047" max="12047" width="7.42578125" style="36" customWidth="1"/>
    <col min="12048" max="12048" width="7.140625" style="36" customWidth="1"/>
    <col min="12049" max="12049" width="9.28515625" style="36" customWidth="1"/>
    <col min="12050" max="12050" width="10.7109375" style="36" customWidth="1"/>
    <col min="12051" max="12051" width="9.140625" style="36" customWidth="1"/>
    <col min="12052" max="12288" width="9.140625" style="36"/>
    <col min="12289" max="12289" width="4.5703125" style="36" bestFit="1" customWidth="1"/>
    <col min="12290" max="12290" width="11.5703125" style="36" bestFit="1" customWidth="1"/>
    <col min="12291" max="12291" width="9.42578125" style="36" bestFit="1" customWidth="1"/>
    <col min="12292" max="12292" width="6.5703125" style="36" bestFit="1" customWidth="1"/>
    <col min="12293" max="12293" width="7.7109375" style="36" bestFit="1" customWidth="1"/>
    <col min="12294" max="12294" width="6.5703125" style="36" bestFit="1" customWidth="1"/>
    <col min="12295" max="12295" width="6.42578125" style="36" bestFit="1" customWidth="1"/>
    <col min="12296" max="12296" width="10" style="36" bestFit="1" customWidth="1"/>
    <col min="12297" max="12297" width="7.140625" style="36" customWidth="1"/>
    <col min="12298" max="12298" width="6.7109375" style="36" bestFit="1" customWidth="1"/>
    <col min="12299" max="12299" width="5.42578125" style="36" bestFit="1" customWidth="1"/>
    <col min="12300" max="12300" width="6.28515625" style="36" bestFit="1" customWidth="1"/>
    <col min="12301" max="12301" width="5.42578125" style="36" customWidth="1"/>
    <col min="12302" max="12302" width="6.7109375" style="36" customWidth="1"/>
    <col min="12303" max="12303" width="7.42578125" style="36" customWidth="1"/>
    <col min="12304" max="12304" width="7.140625" style="36" customWidth="1"/>
    <col min="12305" max="12305" width="9.28515625" style="36" customWidth="1"/>
    <col min="12306" max="12306" width="10.7109375" style="36" customWidth="1"/>
    <col min="12307" max="12307" width="9.140625" style="36" customWidth="1"/>
    <col min="12308" max="12544" width="9.140625" style="36"/>
    <col min="12545" max="12545" width="4.5703125" style="36" bestFit="1" customWidth="1"/>
    <col min="12546" max="12546" width="11.5703125" style="36" bestFit="1" customWidth="1"/>
    <col min="12547" max="12547" width="9.42578125" style="36" bestFit="1" customWidth="1"/>
    <col min="12548" max="12548" width="6.5703125" style="36" bestFit="1" customWidth="1"/>
    <col min="12549" max="12549" width="7.7109375" style="36" bestFit="1" customWidth="1"/>
    <col min="12550" max="12550" width="6.5703125" style="36" bestFit="1" customWidth="1"/>
    <col min="12551" max="12551" width="6.42578125" style="36" bestFit="1" customWidth="1"/>
    <col min="12552" max="12552" width="10" style="36" bestFit="1" customWidth="1"/>
    <col min="12553" max="12553" width="7.140625" style="36" customWidth="1"/>
    <col min="12554" max="12554" width="6.7109375" style="36" bestFit="1" customWidth="1"/>
    <col min="12555" max="12555" width="5.42578125" style="36" bestFit="1" customWidth="1"/>
    <col min="12556" max="12556" width="6.28515625" style="36" bestFit="1" customWidth="1"/>
    <col min="12557" max="12557" width="5.42578125" style="36" customWidth="1"/>
    <col min="12558" max="12558" width="6.7109375" style="36" customWidth="1"/>
    <col min="12559" max="12559" width="7.42578125" style="36" customWidth="1"/>
    <col min="12560" max="12560" width="7.140625" style="36" customWidth="1"/>
    <col min="12561" max="12561" width="9.28515625" style="36" customWidth="1"/>
    <col min="12562" max="12562" width="10.7109375" style="36" customWidth="1"/>
    <col min="12563" max="12563" width="9.140625" style="36" customWidth="1"/>
    <col min="12564" max="12800" width="9.140625" style="36"/>
    <col min="12801" max="12801" width="4.5703125" style="36" bestFit="1" customWidth="1"/>
    <col min="12802" max="12802" width="11.5703125" style="36" bestFit="1" customWidth="1"/>
    <col min="12803" max="12803" width="9.42578125" style="36" bestFit="1" customWidth="1"/>
    <col min="12804" max="12804" width="6.5703125" style="36" bestFit="1" customWidth="1"/>
    <col min="12805" max="12805" width="7.7109375" style="36" bestFit="1" customWidth="1"/>
    <col min="12806" max="12806" width="6.5703125" style="36" bestFit="1" customWidth="1"/>
    <col min="12807" max="12807" width="6.42578125" style="36" bestFit="1" customWidth="1"/>
    <col min="12808" max="12808" width="10" style="36" bestFit="1" customWidth="1"/>
    <col min="12809" max="12809" width="7.140625" style="36" customWidth="1"/>
    <col min="12810" max="12810" width="6.7109375" style="36" bestFit="1" customWidth="1"/>
    <col min="12811" max="12811" width="5.42578125" style="36" bestFit="1" customWidth="1"/>
    <col min="12812" max="12812" width="6.28515625" style="36" bestFit="1" customWidth="1"/>
    <col min="12813" max="12813" width="5.42578125" style="36" customWidth="1"/>
    <col min="12814" max="12814" width="6.7109375" style="36" customWidth="1"/>
    <col min="12815" max="12815" width="7.42578125" style="36" customWidth="1"/>
    <col min="12816" max="12816" width="7.140625" style="36" customWidth="1"/>
    <col min="12817" max="12817" width="9.28515625" style="36" customWidth="1"/>
    <col min="12818" max="12818" width="10.7109375" style="36" customWidth="1"/>
    <col min="12819" max="12819" width="9.140625" style="36" customWidth="1"/>
    <col min="12820" max="13056" width="9.140625" style="36"/>
    <col min="13057" max="13057" width="4.5703125" style="36" bestFit="1" customWidth="1"/>
    <col min="13058" max="13058" width="11.5703125" style="36" bestFit="1" customWidth="1"/>
    <col min="13059" max="13059" width="9.42578125" style="36" bestFit="1" customWidth="1"/>
    <col min="13060" max="13060" width="6.5703125" style="36" bestFit="1" customWidth="1"/>
    <col min="13061" max="13061" width="7.7109375" style="36" bestFit="1" customWidth="1"/>
    <col min="13062" max="13062" width="6.5703125" style="36" bestFit="1" customWidth="1"/>
    <col min="13063" max="13063" width="6.42578125" style="36" bestFit="1" customWidth="1"/>
    <col min="13064" max="13064" width="10" style="36" bestFit="1" customWidth="1"/>
    <col min="13065" max="13065" width="7.140625" style="36" customWidth="1"/>
    <col min="13066" max="13066" width="6.7109375" style="36" bestFit="1" customWidth="1"/>
    <col min="13067" max="13067" width="5.42578125" style="36" bestFit="1" customWidth="1"/>
    <col min="13068" max="13068" width="6.28515625" style="36" bestFit="1" customWidth="1"/>
    <col min="13069" max="13069" width="5.42578125" style="36" customWidth="1"/>
    <col min="13070" max="13070" width="6.7109375" style="36" customWidth="1"/>
    <col min="13071" max="13071" width="7.42578125" style="36" customWidth="1"/>
    <col min="13072" max="13072" width="7.140625" style="36" customWidth="1"/>
    <col min="13073" max="13073" width="9.28515625" style="36" customWidth="1"/>
    <col min="13074" max="13074" width="10.7109375" style="36" customWidth="1"/>
    <col min="13075" max="13075" width="9.140625" style="36" customWidth="1"/>
    <col min="13076" max="13312" width="9.140625" style="36"/>
    <col min="13313" max="13313" width="4.5703125" style="36" bestFit="1" customWidth="1"/>
    <col min="13314" max="13314" width="11.5703125" style="36" bestFit="1" customWidth="1"/>
    <col min="13315" max="13315" width="9.42578125" style="36" bestFit="1" customWidth="1"/>
    <col min="13316" max="13316" width="6.5703125" style="36" bestFit="1" customWidth="1"/>
    <col min="13317" max="13317" width="7.7109375" style="36" bestFit="1" customWidth="1"/>
    <col min="13318" max="13318" width="6.5703125" style="36" bestFit="1" customWidth="1"/>
    <col min="13319" max="13319" width="6.42578125" style="36" bestFit="1" customWidth="1"/>
    <col min="13320" max="13320" width="10" style="36" bestFit="1" customWidth="1"/>
    <col min="13321" max="13321" width="7.140625" style="36" customWidth="1"/>
    <col min="13322" max="13322" width="6.7109375" style="36" bestFit="1" customWidth="1"/>
    <col min="13323" max="13323" width="5.42578125" style="36" bestFit="1" customWidth="1"/>
    <col min="13324" max="13324" width="6.28515625" style="36" bestFit="1" customWidth="1"/>
    <col min="13325" max="13325" width="5.42578125" style="36" customWidth="1"/>
    <col min="13326" max="13326" width="6.7109375" style="36" customWidth="1"/>
    <col min="13327" max="13327" width="7.42578125" style="36" customWidth="1"/>
    <col min="13328" max="13328" width="7.140625" style="36" customWidth="1"/>
    <col min="13329" max="13329" width="9.28515625" style="36" customWidth="1"/>
    <col min="13330" max="13330" width="10.7109375" style="36" customWidth="1"/>
    <col min="13331" max="13331" width="9.140625" style="36" customWidth="1"/>
    <col min="13332" max="13568" width="9.140625" style="36"/>
    <col min="13569" max="13569" width="4.5703125" style="36" bestFit="1" customWidth="1"/>
    <col min="13570" max="13570" width="11.5703125" style="36" bestFit="1" customWidth="1"/>
    <col min="13571" max="13571" width="9.42578125" style="36" bestFit="1" customWidth="1"/>
    <col min="13572" max="13572" width="6.5703125" style="36" bestFit="1" customWidth="1"/>
    <col min="13573" max="13573" width="7.7109375" style="36" bestFit="1" customWidth="1"/>
    <col min="13574" max="13574" width="6.5703125" style="36" bestFit="1" customWidth="1"/>
    <col min="13575" max="13575" width="6.42578125" style="36" bestFit="1" customWidth="1"/>
    <col min="13576" max="13576" width="10" style="36" bestFit="1" customWidth="1"/>
    <col min="13577" max="13577" width="7.140625" style="36" customWidth="1"/>
    <col min="13578" max="13578" width="6.7109375" style="36" bestFit="1" customWidth="1"/>
    <col min="13579" max="13579" width="5.42578125" style="36" bestFit="1" customWidth="1"/>
    <col min="13580" max="13580" width="6.28515625" style="36" bestFit="1" customWidth="1"/>
    <col min="13581" max="13581" width="5.42578125" style="36" customWidth="1"/>
    <col min="13582" max="13582" width="6.7109375" style="36" customWidth="1"/>
    <col min="13583" max="13583" width="7.42578125" style="36" customWidth="1"/>
    <col min="13584" max="13584" width="7.140625" style="36" customWidth="1"/>
    <col min="13585" max="13585" width="9.28515625" style="36" customWidth="1"/>
    <col min="13586" max="13586" width="10.7109375" style="36" customWidth="1"/>
    <col min="13587" max="13587" width="9.140625" style="36" customWidth="1"/>
    <col min="13588" max="13824" width="9.140625" style="36"/>
    <col min="13825" max="13825" width="4.5703125" style="36" bestFit="1" customWidth="1"/>
    <col min="13826" max="13826" width="11.5703125" style="36" bestFit="1" customWidth="1"/>
    <col min="13827" max="13827" width="9.42578125" style="36" bestFit="1" customWidth="1"/>
    <col min="13828" max="13828" width="6.5703125" style="36" bestFit="1" customWidth="1"/>
    <col min="13829" max="13829" width="7.7109375" style="36" bestFit="1" customWidth="1"/>
    <col min="13830" max="13830" width="6.5703125" style="36" bestFit="1" customWidth="1"/>
    <col min="13831" max="13831" width="6.42578125" style="36" bestFit="1" customWidth="1"/>
    <col min="13832" max="13832" width="10" style="36" bestFit="1" customWidth="1"/>
    <col min="13833" max="13833" width="7.140625" style="36" customWidth="1"/>
    <col min="13834" max="13834" width="6.7109375" style="36" bestFit="1" customWidth="1"/>
    <col min="13835" max="13835" width="5.42578125" style="36" bestFit="1" customWidth="1"/>
    <col min="13836" max="13836" width="6.28515625" style="36" bestFit="1" customWidth="1"/>
    <col min="13837" max="13837" width="5.42578125" style="36" customWidth="1"/>
    <col min="13838" max="13838" width="6.7109375" style="36" customWidth="1"/>
    <col min="13839" max="13839" width="7.42578125" style="36" customWidth="1"/>
    <col min="13840" max="13840" width="7.140625" style="36" customWidth="1"/>
    <col min="13841" max="13841" width="9.28515625" style="36" customWidth="1"/>
    <col min="13842" max="13842" width="10.7109375" style="36" customWidth="1"/>
    <col min="13843" max="13843" width="9.140625" style="36" customWidth="1"/>
    <col min="13844" max="14080" width="9.140625" style="36"/>
    <col min="14081" max="14081" width="4.5703125" style="36" bestFit="1" customWidth="1"/>
    <col min="14082" max="14082" width="11.5703125" style="36" bestFit="1" customWidth="1"/>
    <col min="14083" max="14083" width="9.42578125" style="36" bestFit="1" customWidth="1"/>
    <col min="14084" max="14084" width="6.5703125" style="36" bestFit="1" customWidth="1"/>
    <col min="14085" max="14085" width="7.7109375" style="36" bestFit="1" customWidth="1"/>
    <col min="14086" max="14086" width="6.5703125" style="36" bestFit="1" customWidth="1"/>
    <col min="14087" max="14087" width="6.42578125" style="36" bestFit="1" customWidth="1"/>
    <col min="14088" max="14088" width="10" style="36" bestFit="1" customWidth="1"/>
    <col min="14089" max="14089" width="7.140625" style="36" customWidth="1"/>
    <col min="14090" max="14090" width="6.7109375" style="36" bestFit="1" customWidth="1"/>
    <col min="14091" max="14091" width="5.42578125" style="36" bestFit="1" customWidth="1"/>
    <col min="14092" max="14092" width="6.28515625" style="36" bestFit="1" customWidth="1"/>
    <col min="14093" max="14093" width="5.42578125" style="36" customWidth="1"/>
    <col min="14094" max="14094" width="6.7109375" style="36" customWidth="1"/>
    <col min="14095" max="14095" width="7.42578125" style="36" customWidth="1"/>
    <col min="14096" max="14096" width="7.140625" style="36" customWidth="1"/>
    <col min="14097" max="14097" width="9.28515625" style="36" customWidth="1"/>
    <col min="14098" max="14098" width="10.7109375" style="36" customWidth="1"/>
    <col min="14099" max="14099" width="9.140625" style="36" customWidth="1"/>
    <col min="14100" max="14336" width="9.140625" style="36"/>
    <col min="14337" max="14337" width="4.5703125" style="36" bestFit="1" customWidth="1"/>
    <col min="14338" max="14338" width="11.5703125" style="36" bestFit="1" customWidth="1"/>
    <col min="14339" max="14339" width="9.42578125" style="36" bestFit="1" customWidth="1"/>
    <col min="14340" max="14340" width="6.5703125" style="36" bestFit="1" customWidth="1"/>
    <col min="14341" max="14341" width="7.7109375" style="36" bestFit="1" customWidth="1"/>
    <col min="14342" max="14342" width="6.5703125" style="36" bestFit="1" customWidth="1"/>
    <col min="14343" max="14343" width="6.42578125" style="36" bestFit="1" customWidth="1"/>
    <col min="14344" max="14344" width="10" style="36" bestFit="1" customWidth="1"/>
    <col min="14345" max="14345" width="7.140625" style="36" customWidth="1"/>
    <col min="14346" max="14346" width="6.7109375" style="36" bestFit="1" customWidth="1"/>
    <col min="14347" max="14347" width="5.42578125" style="36" bestFit="1" customWidth="1"/>
    <col min="14348" max="14348" width="6.28515625" style="36" bestFit="1" customWidth="1"/>
    <col min="14349" max="14349" width="5.42578125" style="36" customWidth="1"/>
    <col min="14350" max="14350" width="6.7109375" style="36" customWidth="1"/>
    <col min="14351" max="14351" width="7.42578125" style="36" customWidth="1"/>
    <col min="14352" max="14352" width="7.140625" style="36" customWidth="1"/>
    <col min="14353" max="14353" width="9.28515625" style="36" customWidth="1"/>
    <col min="14354" max="14354" width="10.7109375" style="36" customWidth="1"/>
    <col min="14355" max="14355" width="9.140625" style="36" customWidth="1"/>
    <col min="14356" max="14592" width="9.140625" style="36"/>
    <col min="14593" max="14593" width="4.5703125" style="36" bestFit="1" customWidth="1"/>
    <col min="14594" max="14594" width="11.5703125" style="36" bestFit="1" customWidth="1"/>
    <col min="14595" max="14595" width="9.42578125" style="36" bestFit="1" customWidth="1"/>
    <col min="14596" max="14596" width="6.5703125" style="36" bestFit="1" customWidth="1"/>
    <col min="14597" max="14597" width="7.7109375" style="36" bestFit="1" customWidth="1"/>
    <col min="14598" max="14598" width="6.5703125" style="36" bestFit="1" customWidth="1"/>
    <col min="14599" max="14599" width="6.42578125" style="36" bestFit="1" customWidth="1"/>
    <col min="14600" max="14600" width="10" style="36" bestFit="1" customWidth="1"/>
    <col min="14601" max="14601" width="7.140625" style="36" customWidth="1"/>
    <col min="14602" max="14602" width="6.7109375" style="36" bestFit="1" customWidth="1"/>
    <col min="14603" max="14603" width="5.42578125" style="36" bestFit="1" customWidth="1"/>
    <col min="14604" max="14604" width="6.28515625" style="36" bestFit="1" customWidth="1"/>
    <col min="14605" max="14605" width="5.42578125" style="36" customWidth="1"/>
    <col min="14606" max="14606" width="6.7109375" style="36" customWidth="1"/>
    <col min="14607" max="14607" width="7.42578125" style="36" customWidth="1"/>
    <col min="14608" max="14608" width="7.140625" style="36" customWidth="1"/>
    <col min="14609" max="14609" width="9.28515625" style="36" customWidth="1"/>
    <col min="14610" max="14610" width="10.7109375" style="36" customWidth="1"/>
    <col min="14611" max="14611" width="9.140625" style="36" customWidth="1"/>
    <col min="14612" max="14848" width="9.140625" style="36"/>
    <col min="14849" max="14849" width="4.5703125" style="36" bestFit="1" customWidth="1"/>
    <col min="14850" max="14850" width="11.5703125" style="36" bestFit="1" customWidth="1"/>
    <col min="14851" max="14851" width="9.42578125" style="36" bestFit="1" customWidth="1"/>
    <col min="14852" max="14852" width="6.5703125" style="36" bestFit="1" customWidth="1"/>
    <col min="14853" max="14853" width="7.7109375" style="36" bestFit="1" customWidth="1"/>
    <col min="14854" max="14854" width="6.5703125" style="36" bestFit="1" customWidth="1"/>
    <col min="14855" max="14855" width="6.42578125" style="36" bestFit="1" customWidth="1"/>
    <col min="14856" max="14856" width="10" style="36" bestFit="1" customWidth="1"/>
    <col min="14857" max="14857" width="7.140625" style="36" customWidth="1"/>
    <col min="14858" max="14858" width="6.7109375" style="36" bestFit="1" customWidth="1"/>
    <col min="14859" max="14859" width="5.42578125" style="36" bestFit="1" customWidth="1"/>
    <col min="14860" max="14860" width="6.28515625" style="36" bestFit="1" customWidth="1"/>
    <col min="14861" max="14861" width="5.42578125" style="36" customWidth="1"/>
    <col min="14862" max="14862" width="6.7109375" style="36" customWidth="1"/>
    <col min="14863" max="14863" width="7.42578125" style="36" customWidth="1"/>
    <col min="14864" max="14864" width="7.140625" style="36" customWidth="1"/>
    <col min="14865" max="14865" width="9.28515625" style="36" customWidth="1"/>
    <col min="14866" max="14866" width="10.7109375" style="36" customWidth="1"/>
    <col min="14867" max="14867" width="9.140625" style="36" customWidth="1"/>
    <col min="14868" max="15104" width="9.140625" style="36"/>
    <col min="15105" max="15105" width="4.5703125" style="36" bestFit="1" customWidth="1"/>
    <col min="15106" max="15106" width="11.5703125" style="36" bestFit="1" customWidth="1"/>
    <col min="15107" max="15107" width="9.42578125" style="36" bestFit="1" customWidth="1"/>
    <col min="15108" max="15108" width="6.5703125" style="36" bestFit="1" customWidth="1"/>
    <col min="15109" max="15109" width="7.7109375" style="36" bestFit="1" customWidth="1"/>
    <col min="15110" max="15110" width="6.5703125" style="36" bestFit="1" customWidth="1"/>
    <col min="15111" max="15111" width="6.42578125" style="36" bestFit="1" customWidth="1"/>
    <col min="15112" max="15112" width="10" style="36" bestFit="1" customWidth="1"/>
    <col min="15113" max="15113" width="7.140625" style="36" customWidth="1"/>
    <col min="15114" max="15114" width="6.7109375" style="36" bestFit="1" customWidth="1"/>
    <col min="15115" max="15115" width="5.42578125" style="36" bestFit="1" customWidth="1"/>
    <col min="15116" max="15116" width="6.28515625" style="36" bestFit="1" customWidth="1"/>
    <col min="15117" max="15117" width="5.42578125" style="36" customWidth="1"/>
    <col min="15118" max="15118" width="6.7109375" style="36" customWidth="1"/>
    <col min="15119" max="15119" width="7.42578125" style="36" customWidth="1"/>
    <col min="15120" max="15120" width="7.140625" style="36" customWidth="1"/>
    <col min="15121" max="15121" width="9.28515625" style="36" customWidth="1"/>
    <col min="15122" max="15122" width="10.7109375" style="36" customWidth="1"/>
    <col min="15123" max="15123" width="9.140625" style="36" customWidth="1"/>
    <col min="15124" max="15360" width="9.140625" style="36"/>
    <col min="15361" max="15361" width="4.5703125" style="36" bestFit="1" customWidth="1"/>
    <col min="15362" max="15362" width="11.5703125" style="36" bestFit="1" customWidth="1"/>
    <col min="15363" max="15363" width="9.42578125" style="36" bestFit="1" customWidth="1"/>
    <col min="15364" max="15364" width="6.5703125" style="36" bestFit="1" customWidth="1"/>
    <col min="15365" max="15365" width="7.7109375" style="36" bestFit="1" customWidth="1"/>
    <col min="15366" max="15366" width="6.5703125" style="36" bestFit="1" customWidth="1"/>
    <col min="15367" max="15367" width="6.42578125" style="36" bestFit="1" customWidth="1"/>
    <col min="15368" max="15368" width="10" style="36" bestFit="1" customWidth="1"/>
    <col min="15369" max="15369" width="7.140625" style="36" customWidth="1"/>
    <col min="15370" max="15370" width="6.7109375" style="36" bestFit="1" customWidth="1"/>
    <col min="15371" max="15371" width="5.42578125" style="36" bestFit="1" customWidth="1"/>
    <col min="15372" max="15372" width="6.28515625" style="36" bestFit="1" customWidth="1"/>
    <col min="15373" max="15373" width="5.42578125" style="36" customWidth="1"/>
    <col min="15374" max="15374" width="6.7109375" style="36" customWidth="1"/>
    <col min="15375" max="15375" width="7.42578125" style="36" customWidth="1"/>
    <col min="15376" max="15376" width="7.140625" style="36" customWidth="1"/>
    <col min="15377" max="15377" width="9.28515625" style="36" customWidth="1"/>
    <col min="15378" max="15378" width="10.7109375" style="36" customWidth="1"/>
    <col min="15379" max="15379" width="9.140625" style="36" customWidth="1"/>
    <col min="15380" max="15616" width="9.140625" style="36"/>
    <col min="15617" max="15617" width="4.5703125" style="36" bestFit="1" customWidth="1"/>
    <col min="15618" max="15618" width="11.5703125" style="36" bestFit="1" customWidth="1"/>
    <col min="15619" max="15619" width="9.42578125" style="36" bestFit="1" customWidth="1"/>
    <col min="15620" max="15620" width="6.5703125" style="36" bestFit="1" customWidth="1"/>
    <col min="15621" max="15621" width="7.7109375" style="36" bestFit="1" customWidth="1"/>
    <col min="15622" max="15622" width="6.5703125" style="36" bestFit="1" customWidth="1"/>
    <col min="15623" max="15623" width="6.42578125" style="36" bestFit="1" customWidth="1"/>
    <col min="15624" max="15624" width="10" style="36" bestFit="1" customWidth="1"/>
    <col min="15625" max="15625" width="7.140625" style="36" customWidth="1"/>
    <col min="15626" max="15626" width="6.7109375" style="36" bestFit="1" customWidth="1"/>
    <col min="15627" max="15627" width="5.42578125" style="36" bestFit="1" customWidth="1"/>
    <col min="15628" max="15628" width="6.28515625" style="36" bestFit="1" customWidth="1"/>
    <col min="15629" max="15629" width="5.42578125" style="36" customWidth="1"/>
    <col min="15630" max="15630" width="6.7109375" style="36" customWidth="1"/>
    <col min="15631" max="15631" width="7.42578125" style="36" customWidth="1"/>
    <col min="15632" max="15632" width="7.140625" style="36" customWidth="1"/>
    <col min="15633" max="15633" width="9.28515625" style="36" customWidth="1"/>
    <col min="15634" max="15634" width="10.7109375" style="36" customWidth="1"/>
    <col min="15635" max="15635" width="9.140625" style="36" customWidth="1"/>
    <col min="15636" max="15872" width="9.140625" style="36"/>
    <col min="15873" max="15873" width="4.5703125" style="36" bestFit="1" customWidth="1"/>
    <col min="15874" max="15874" width="11.5703125" style="36" bestFit="1" customWidth="1"/>
    <col min="15875" max="15875" width="9.42578125" style="36" bestFit="1" customWidth="1"/>
    <col min="15876" max="15876" width="6.5703125" style="36" bestFit="1" customWidth="1"/>
    <col min="15877" max="15877" width="7.7109375" style="36" bestFit="1" customWidth="1"/>
    <col min="15878" max="15878" width="6.5703125" style="36" bestFit="1" customWidth="1"/>
    <col min="15879" max="15879" width="6.42578125" style="36" bestFit="1" customWidth="1"/>
    <col min="15880" max="15880" width="10" style="36" bestFit="1" customWidth="1"/>
    <col min="15881" max="15881" width="7.140625" style="36" customWidth="1"/>
    <col min="15882" max="15882" width="6.7109375" style="36" bestFit="1" customWidth="1"/>
    <col min="15883" max="15883" width="5.42578125" style="36" bestFit="1" customWidth="1"/>
    <col min="15884" max="15884" width="6.28515625" style="36" bestFit="1" customWidth="1"/>
    <col min="15885" max="15885" width="5.42578125" style="36" customWidth="1"/>
    <col min="15886" max="15886" width="6.7109375" style="36" customWidth="1"/>
    <col min="15887" max="15887" width="7.42578125" style="36" customWidth="1"/>
    <col min="15888" max="15888" width="7.140625" style="36" customWidth="1"/>
    <col min="15889" max="15889" width="9.28515625" style="36" customWidth="1"/>
    <col min="15890" max="15890" width="10.7109375" style="36" customWidth="1"/>
    <col min="15891" max="15891" width="9.140625" style="36" customWidth="1"/>
    <col min="15892" max="16128" width="9.140625" style="36"/>
    <col min="16129" max="16129" width="4.5703125" style="36" bestFit="1" customWidth="1"/>
    <col min="16130" max="16130" width="11.5703125" style="36" bestFit="1" customWidth="1"/>
    <col min="16131" max="16131" width="9.42578125" style="36" bestFit="1" customWidth="1"/>
    <col min="16132" max="16132" width="6.5703125" style="36" bestFit="1" customWidth="1"/>
    <col min="16133" max="16133" width="7.7109375" style="36" bestFit="1" customWidth="1"/>
    <col min="16134" max="16134" width="6.5703125" style="36" bestFit="1" customWidth="1"/>
    <col min="16135" max="16135" width="6.42578125" style="36" bestFit="1" customWidth="1"/>
    <col min="16136" max="16136" width="10" style="36" bestFit="1" customWidth="1"/>
    <col min="16137" max="16137" width="7.140625" style="36" customWidth="1"/>
    <col min="16138" max="16138" width="6.7109375" style="36" bestFit="1" customWidth="1"/>
    <col min="16139" max="16139" width="5.42578125" style="36" bestFit="1" customWidth="1"/>
    <col min="16140" max="16140" width="6.28515625" style="36" bestFit="1" customWidth="1"/>
    <col min="16141" max="16141" width="5.42578125" style="36" customWidth="1"/>
    <col min="16142" max="16142" width="6.7109375" style="36" customWidth="1"/>
    <col min="16143" max="16143" width="7.42578125" style="36" customWidth="1"/>
    <col min="16144" max="16144" width="7.140625" style="36" customWidth="1"/>
    <col min="16145" max="16145" width="9.28515625" style="36" customWidth="1"/>
    <col min="16146" max="16146" width="10.7109375" style="36" customWidth="1"/>
    <col min="16147" max="16147" width="9.140625" style="36" customWidth="1"/>
    <col min="16148" max="16384" width="9.140625" style="36"/>
  </cols>
  <sheetData>
    <row r="1" spans="1:21" s="34" customFormat="1" ht="43.9" customHeight="1" x14ac:dyDescent="0.25">
      <c r="A1" s="39" t="s">
        <v>39</v>
      </c>
      <c r="B1" s="40" t="s">
        <v>80</v>
      </c>
      <c r="C1" s="40" t="s">
        <v>81</v>
      </c>
      <c r="D1" s="40" t="s">
        <v>8</v>
      </c>
      <c r="E1" s="41" t="s">
        <v>0</v>
      </c>
      <c r="F1" s="42" t="s">
        <v>40</v>
      </c>
      <c r="G1" s="42" t="s">
        <v>41</v>
      </c>
      <c r="H1" s="40" t="s">
        <v>82</v>
      </c>
      <c r="I1" s="40" t="s">
        <v>46</v>
      </c>
      <c r="J1" s="40" t="s">
        <v>83</v>
      </c>
      <c r="K1" s="40" t="s">
        <v>42</v>
      </c>
      <c r="L1" s="40" t="s">
        <v>84</v>
      </c>
      <c r="M1" s="40" t="s">
        <v>43</v>
      </c>
      <c r="N1" s="40" t="s">
        <v>85</v>
      </c>
      <c r="O1" s="40" t="s">
        <v>86</v>
      </c>
      <c r="P1" s="40" t="s">
        <v>44</v>
      </c>
      <c r="Q1" s="40" t="s">
        <v>87</v>
      </c>
      <c r="R1" s="40" t="s">
        <v>88</v>
      </c>
      <c r="S1" s="40" t="s">
        <v>45</v>
      </c>
      <c r="T1" s="43" t="s">
        <v>93</v>
      </c>
      <c r="U1" s="43" t="s">
        <v>94</v>
      </c>
    </row>
    <row r="2" spans="1:21" x14ac:dyDescent="0.2">
      <c r="A2" s="38">
        <v>2016</v>
      </c>
      <c r="B2" s="36" t="s">
        <v>105</v>
      </c>
      <c r="C2" s="61">
        <v>18515</v>
      </c>
      <c r="D2" s="36">
        <v>25</v>
      </c>
      <c r="E2" s="37">
        <v>42541</v>
      </c>
      <c r="F2" s="36" t="s">
        <v>106</v>
      </c>
      <c r="G2" s="36" t="s">
        <v>47</v>
      </c>
      <c r="H2" s="36" t="s">
        <v>107</v>
      </c>
      <c r="I2" s="36" t="s">
        <v>61</v>
      </c>
      <c r="J2" s="36" t="s">
        <v>108</v>
      </c>
      <c r="K2" s="36" t="s">
        <v>109</v>
      </c>
      <c r="L2" s="36" t="s">
        <v>6</v>
      </c>
      <c r="M2" s="36" t="s">
        <v>110</v>
      </c>
      <c r="O2" s="36">
        <v>6</v>
      </c>
      <c r="P2" s="36">
        <v>6</v>
      </c>
      <c r="Q2" s="36">
        <v>0</v>
      </c>
      <c r="R2" s="36" t="s">
        <v>384</v>
      </c>
    </row>
    <row r="3" spans="1:21" x14ac:dyDescent="0.2">
      <c r="A3" s="38">
        <v>2016</v>
      </c>
      <c r="B3" s="36" t="s">
        <v>111</v>
      </c>
      <c r="C3" s="61">
        <v>18516</v>
      </c>
      <c r="D3" s="36">
        <v>25</v>
      </c>
      <c r="E3" s="37">
        <v>42541</v>
      </c>
      <c r="F3" s="36" t="s">
        <v>106</v>
      </c>
      <c r="G3" s="36" t="s">
        <v>47</v>
      </c>
      <c r="H3" s="36" t="s">
        <v>112</v>
      </c>
      <c r="I3" s="36" t="s">
        <v>61</v>
      </c>
      <c r="J3" s="36" t="s">
        <v>108</v>
      </c>
      <c r="K3" s="36" t="s">
        <v>109</v>
      </c>
      <c r="L3" s="36" t="s">
        <v>6</v>
      </c>
      <c r="M3" s="36" t="s">
        <v>110</v>
      </c>
      <c r="O3" s="36">
        <v>4</v>
      </c>
      <c r="P3" s="36">
        <v>4</v>
      </c>
      <c r="Q3" s="36">
        <v>0</v>
      </c>
      <c r="R3" s="36" t="s">
        <v>384</v>
      </c>
    </row>
    <row r="4" spans="1:21" x14ac:dyDescent="0.2">
      <c r="A4" s="38">
        <v>2016</v>
      </c>
      <c r="B4" s="36" t="s">
        <v>113</v>
      </c>
      <c r="C4" s="61">
        <v>18517</v>
      </c>
      <c r="D4" s="36">
        <v>25</v>
      </c>
      <c r="E4" s="37">
        <v>42541</v>
      </c>
      <c r="F4" s="36" t="s">
        <v>106</v>
      </c>
      <c r="G4" s="36" t="s">
        <v>47</v>
      </c>
      <c r="H4" s="36" t="s">
        <v>112</v>
      </c>
      <c r="I4" s="36" t="s">
        <v>61</v>
      </c>
      <c r="J4" s="36" t="s">
        <v>108</v>
      </c>
      <c r="K4" s="36" t="s">
        <v>109</v>
      </c>
      <c r="L4" s="36" t="s">
        <v>5</v>
      </c>
      <c r="M4" s="36" t="s">
        <v>110</v>
      </c>
      <c r="O4" s="36">
        <v>2</v>
      </c>
      <c r="P4" s="36">
        <v>2</v>
      </c>
      <c r="Q4" s="36">
        <v>0</v>
      </c>
      <c r="R4" s="36" t="s">
        <v>384</v>
      </c>
    </row>
    <row r="5" spans="1:21" x14ac:dyDescent="0.2">
      <c r="A5" s="38">
        <v>2016</v>
      </c>
      <c r="B5" s="36" t="s">
        <v>114</v>
      </c>
      <c r="C5" s="61">
        <v>18518</v>
      </c>
      <c r="D5" s="36">
        <v>25</v>
      </c>
      <c r="E5" s="37">
        <v>42541</v>
      </c>
      <c r="F5" s="36" t="s">
        <v>106</v>
      </c>
      <c r="G5" s="36" t="s">
        <v>47</v>
      </c>
      <c r="H5" s="36" t="s">
        <v>115</v>
      </c>
      <c r="I5" s="36" t="s">
        <v>61</v>
      </c>
      <c r="J5" s="36" t="s">
        <v>108</v>
      </c>
      <c r="K5" s="36" t="s">
        <v>109</v>
      </c>
      <c r="L5" s="36" t="s">
        <v>6</v>
      </c>
      <c r="M5" s="36" t="s">
        <v>110</v>
      </c>
      <c r="O5" s="36">
        <v>4</v>
      </c>
      <c r="P5" s="36">
        <v>4</v>
      </c>
      <c r="Q5" s="36">
        <v>0</v>
      </c>
      <c r="R5" s="36" t="s">
        <v>384</v>
      </c>
    </row>
    <row r="6" spans="1:21" x14ac:dyDescent="0.2">
      <c r="A6" s="38">
        <v>2016</v>
      </c>
      <c r="B6" s="36" t="s">
        <v>116</v>
      </c>
      <c r="C6" s="61">
        <v>18519</v>
      </c>
      <c r="D6" s="36">
        <v>25</v>
      </c>
      <c r="E6" s="37">
        <v>42541</v>
      </c>
      <c r="F6" s="36" t="s">
        <v>106</v>
      </c>
      <c r="G6" s="36" t="s">
        <v>47</v>
      </c>
      <c r="H6" s="36" t="s">
        <v>117</v>
      </c>
      <c r="I6" s="36" t="s">
        <v>61</v>
      </c>
      <c r="J6" s="36" t="s">
        <v>118</v>
      </c>
      <c r="K6" s="36" t="s">
        <v>109</v>
      </c>
      <c r="L6" s="36" t="s">
        <v>5</v>
      </c>
      <c r="M6" s="36" t="s">
        <v>110</v>
      </c>
      <c r="N6" s="36">
        <v>10</v>
      </c>
      <c r="P6" s="36">
        <v>10</v>
      </c>
      <c r="Q6" s="36">
        <v>0</v>
      </c>
      <c r="R6" s="36" t="s">
        <v>384</v>
      </c>
    </row>
    <row r="7" spans="1:21" x14ac:dyDescent="0.2">
      <c r="A7" s="38">
        <v>2016</v>
      </c>
      <c r="B7" s="36" t="s">
        <v>119</v>
      </c>
      <c r="C7" s="61">
        <v>18520</v>
      </c>
      <c r="D7" s="36">
        <v>25</v>
      </c>
      <c r="E7" s="37">
        <v>42541</v>
      </c>
      <c r="F7" s="36" t="s">
        <v>106</v>
      </c>
      <c r="G7" s="36" t="s">
        <v>9</v>
      </c>
      <c r="H7" s="36" t="s">
        <v>120</v>
      </c>
      <c r="I7" s="36" t="s">
        <v>9</v>
      </c>
      <c r="J7" s="36" t="s">
        <v>108</v>
      </c>
      <c r="K7" s="36" t="s">
        <v>109</v>
      </c>
      <c r="L7" s="36" t="s">
        <v>6</v>
      </c>
      <c r="M7" s="36" t="s">
        <v>110</v>
      </c>
      <c r="O7" s="36">
        <v>28</v>
      </c>
      <c r="P7" s="36">
        <v>28</v>
      </c>
      <c r="Q7" s="36">
        <v>0</v>
      </c>
      <c r="R7" s="36" t="s">
        <v>384</v>
      </c>
    </row>
    <row r="8" spans="1:21" x14ac:dyDescent="0.2">
      <c r="A8" s="38">
        <v>2016</v>
      </c>
      <c r="B8" s="36" t="s">
        <v>121</v>
      </c>
      <c r="C8" s="61">
        <v>18521</v>
      </c>
      <c r="D8" s="36">
        <v>25</v>
      </c>
      <c r="E8" s="37">
        <v>42541</v>
      </c>
      <c r="F8" s="36" t="s">
        <v>106</v>
      </c>
      <c r="G8" s="36" t="s">
        <v>47</v>
      </c>
      <c r="H8" s="36" t="s">
        <v>122</v>
      </c>
      <c r="I8" s="36" t="s">
        <v>61</v>
      </c>
      <c r="J8" s="36" t="s">
        <v>108</v>
      </c>
      <c r="K8" s="36" t="s">
        <v>109</v>
      </c>
      <c r="L8" s="36" t="s">
        <v>6</v>
      </c>
      <c r="M8" s="36" t="s">
        <v>110</v>
      </c>
      <c r="O8" s="36">
        <v>33</v>
      </c>
      <c r="P8" s="36">
        <v>33</v>
      </c>
      <c r="Q8" s="36">
        <v>0</v>
      </c>
      <c r="R8" s="36" t="s">
        <v>384</v>
      </c>
    </row>
    <row r="9" spans="1:21" x14ac:dyDescent="0.2">
      <c r="A9" s="38">
        <v>2016</v>
      </c>
      <c r="B9" s="36" t="s">
        <v>123</v>
      </c>
      <c r="C9" s="61">
        <v>18522</v>
      </c>
      <c r="D9" s="36">
        <v>25</v>
      </c>
      <c r="E9" s="37">
        <v>42541</v>
      </c>
      <c r="F9" s="36" t="s">
        <v>106</v>
      </c>
      <c r="G9" s="36" t="s">
        <v>47</v>
      </c>
      <c r="H9" s="36" t="s">
        <v>122</v>
      </c>
      <c r="I9" s="36" t="s">
        <v>61</v>
      </c>
      <c r="J9" s="36" t="s">
        <v>108</v>
      </c>
      <c r="K9" s="36" t="s">
        <v>109</v>
      </c>
      <c r="L9" s="36" t="s">
        <v>5</v>
      </c>
      <c r="M9" s="36" t="s">
        <v>110</v>
      </c>
      <c r="O9" s="36">
        <v>3</v>
      </c>
      <c r="P9" s="36">
        <v>3</v>
      </c>
      <c r="Q9" s="36">
        <v>0</v>
      </c>
      <c r="R9" s="36" t="s">
        <v>384</v>
      </c>
    </row>
    <row r="10" spans="1:21" x14ac:dyDescent="0.2">
      <c r="A10" s="38">
        <v>2016</v>
      </c>
      <c r="B10" s="36" t="s">
        <v>124</v>
      </c>
      <c r="C10" s="61">
        <v>18523</v>
      </c>
      <c r="D10" s="36">
        <v>25</v>
      </c>
      <c r="E10" s="37">
        <v>42541</v>
      </c>
      <c r="F10" s="36" t="s">
        <v>106</v>
      </c>
      <c r="G10" s="36" t="s">
        <v>9</v>
      </c>
      <c r="H10" s="36" t="s">
        <v>125</v>
      </c>
      <c r="I10" s="36" t="s">
        <v>9</v>
      </c>
      <c r="J10" s="36" t="s">
        <v>108</v>
      </c>
      <c r="K10" s="36" t="s">
        <v>109</v>
      </c>
      <c r="L10" s="36" t="s">
        <v>6</v>
      </c>
      <c r="M10" s="36" t="s">
        <v>110</v>
      </c>
      <c r="O10" s="36">
        <v>50</v>
      </c>
      <c r="P10" s="36">
        <v>50</v>
      </c>
      <c r="Q10" s="36">
        <v>0</v>
      </c>
      <c r="R10" s="36" t="s">
        <v>384</v>
      </c>
    </row>
    <row r="11" spans="1:21" x14ac:dyDescent="0.2">
      <c r="A11" s="38">
        <v>2016</v>
      </c>
      <c r="B11" s="36" t="s">
        <v>126</v>
      </c>
      <c r="C11" s="61">
        <v>18524</v>
      </c>
      <c r="D11" s="36">
        <v>25</v>
      </c>
      <c r="E11" s="37">
        <v>42541</v>
      </c>
      <c r="F11" s="36" t="s">
        <v>106</v>
      </c>
      <c r="G11" s="36" t="s">
        <v>9</v>
      </c>
      <c r="H11" s="36" t="s">
        <v>125</v>
      </c>
      <c r="I11" s="36" t="s">
        <v>9</v>
      </c>
      <c r="J11" s="36" t="s">
        <v>108</v>
      </c>
      <c r="K11" s="36" t="s">
        <v>109</v>
      </c>
      <c r="L11" s="36" t="s">
        <v>6</v>
      </c>
      <c r="M11" s="36" t="s">
        <v>110</v>
      </c>
      <c r="O11" s="36">
        <v>12</v>
      </c>
      <c r="P11" s="36">
        <v>12</v>
      </c>
      <c r="Q11" s="36">
        <v>0</v>
      </c>
      <c r="R11" s="36" t="s">
        <v>384</v>
      </c>
    </row>
    <row r="12" spans="1:21" x14ac:dyDescent="0.2">
      <c r="A12" s="38">
        <v>2016</v>
      </c>
      <c r="B12" s="36" t="s">
        <v>127</v>
      </c>
      <c r="C12" s="61">
        <v>18525</v>
      </c>
      <c r="D12" s="36">
        <v>25</v>
      </c>
      <c r="E12" s="37">
        <v>42541</v>
      </c>
      <c r="F12" s="36" t="s">
        <v>106</v>
      </c>
      <c r="G12" s="36" t="s">
        <v>9</v>
      </c>
      <c r="H12" s="36" t="s">
        <v>125</v>
      </c>
      <c r="I12" s="36" t="s">
        <v>9</v>
      </c>
      <c r="J12" s="36" t="s">
        <v>108</v>
      </c>
      <c r="K12" s="36" t="s">
        <v>109</v>
      </c>
      <c r="L12" s="36" t="s">
        <v>5</v>
      </c>
      <c r="M12" s="36" t="s">
        <v>110</v>
      </c>
      <c r="O12" s="36">
        <v>2</v>
      </c>
      <c r="P12" s="36">
        <v>2</v>
      </c>
      <c r="Q12" s="36">
        <v>0</v>
      </c>
      <c r="R12" s="36" t="s">
        <v>384</v>
      </c>
    </row>
    <row r="13" spans="1:21" x14ac:dyDescent="0.2">
      <c r="A13" s="38">
        <v>2016</v>
      </c>
      <c r="B13" s="36" t="s">
        <v>128</v>
      </c>
      <c r="C13" s="61">
        <v>18526</v>
      </c>
      <c r="D13" s="36">
        <v>25</v>
      </c>
      <c r="E13" s="37">
        <v>42541</v>
      </c>
      <c r="F13" s="36" t="s">
        <v>106</v>
      </c>
      <c r="G13" s="36" t="s">
        <v>47</v>
      </c>
      <c r="H13" s="36" t="s">
        <v>129</v>
      </c>
      <c r="I13" s="36" t="s">
        <v>385</v>
      </c>
      <c r="J13" s="36" t="s">
        <v>118</v>
      </c>
      <c r="K13" s="36" t="s">
        <v>109</v>
      </c>
      <c r="L13" s="36" t="s">
        <v>5</v>
      </c>
      <c r="M13" s="36" t="s">
        <v>110</v>
      </c>
      <c r="N13" s="36">
        <v>13</v>
      </c>
      <c r="P13" s="36">
        <v>13</v>
      </c>
      <c r="Q13" s="36">
        <v>0</v>
      </c>
      <c r="R13" s="36" t="s">
        <v>384</v>
      </c>
    </row>
    <row r="14" spans="1:21" x14ac:dyDescent="0.2">
      <c r="A14" s="38">
        <v>2016</v>
      </c>
      <c r="B14" s="36" t="s">
        <v>130</v>
      </c>
      <c r="C14" s="61">
        <v>18527</v>
      </c>
      <c r="D14" s="36">
        <v>25</v>
      </c>
      <c r="E14" s="37">
        <v>42541</v>
      </c>
      <c r="F14" s="36" t="s">
        <v>106</v>
      </c>
      <c r="G14" s="36" t="s">
        <v>47</v>
      </c>
      <c r="H14" s="36" t="s">
        <v>131</v>
      </c>
      <c r="I14" s="36" t="s">
        <v>61</v>
      </c>
      <c r="J14" s="36" t="s">
        <v>118</v>
      </c>
      <c r="K14" s="36" t="s">
        <v>109</v>
      </c>
      <c r="L14" s="36" t="s">
        <v>5</v>
      </c>
      <c r="M14" s="36" t="s">
        <v>110</v>
      </c>
      <c r="N14" s="36">
        <v>7</v>
      </c>
      <c r="P14" s="36">
        <v>7</v>
      </c>
      <c r="Q14" s="36">
        <v>0</v>
      </c>
      <c r="R14" s="36" t="s">
        <v>384</v>
      </c>
    </row>
    <row r="15" spans="1:21" x14ac:dyDescent="0.2">
      <c r="A15" s="38">
        <v>2016</v>
      </c>
      <c r="B15" s="36" t="s">
        <v>132</v>
      </c>
      <c r="C15" s="61">
        <v>18528</v>
      </c>
      <c r="D15" s="36">
        <v>25</v>
      </c>
      <c r="E15" s="37">
        <v>42541</v>
      </c>
      <c r="F15" s="36" t="s">
        <v>106</v>
      </c>
      <c r="G15" s="36" t="s">
        <v>47</v>
      </c>
      <c r="H15" s="36" t="s">
        <v>133</v>
      </c>
      <c r="I15" s="36" t="s">
        <v>61</v>
      </c>
      <c r="J15" s="36" t="s">
        <v>108</v>
      </c>
      <c r="K15" s="36" t="s">
        <v>109</v>
      </c>
      <c r="L15" s="36" t="s">
        <v>6</v>
      </c>
      <c r="M15" s="36" t="s">
        <v>110</v>
      </c>
      <c r="O15" s="36">
        <v>9</v>
      </c>
      <c r="P15" s="36">
        <v>9</v>
      </c>
      <c r="Q15" s="36">
        <v>0</v>
      </c>
      <c r="R15" s="36" t="s">
        <v>384</v>
      </c>
    </row>
    <row r="16" spans="1:21" x14ac:dyDescent="0.2">
      <c r="A16" s="38">
        <v>2016</v>
      </c>
      <c r="B16" s="36" t="s">
        <v>134</v>
      </c>
      <c r="C16" s="61">
        <v>18529</v>
      </c>
      <c r="D16" s="36">
        <v>25</v>
      </c>
      <c r="E16" s="37">
        <v>42541</v>
      </c>
      <c r="F16" s="36" t="s">
        <v>106</v>
      </c>
      <c r="G16" s="36" t="s">
        <v>47</v>
      </c>
      <c r="H16" s="36" t="s">
        <v>133</v>
      </c>
      <c r="I16" s="36" t="s">
        <v>61</v>
      </c>
      <c r="J16" s="36" t="s">
        <v>108</v>
      </c>
      <c r="K16" s="36" t="s">
        <v>109</v>
      </c>
      <c r="L16" s="36" t="s">
        <v>5</v>
      </c>
      <c r="M16" s="36" t="s">
        <v>110</v>
      </c>
      <c r="O16" s="36">
        <v>7</v>
      </c>
      <c r="P16" s="36">
        <v>7</v>
      </c>
      <c r="Q16" s="36">
        <v>0</v>
      </c>
      <c r="R16" s="36" t="s">
        <v>384</v>
      </c>
    </row>
    <row r="17" spans="1:18" x14ac:dyDescent="0.2">
      <c r="A17" s="38">
        <v>2016</v>
      </c>
      <c r="B17" s="36" t="s">
        <v>135</v>
      </c>
      <c r="C17" s="61">
        <v>18530</v>
      </c>
      <c r="D17" s="36">
        <v>25</v>
      </c>
      <c r="E17" s="37">
        <v>42541</v>
      </c>
      <c r="F17" s="36" t="s">
        <v>106</v>
      </c>
      <c r="G17" s="36" t="s">
        <v>47</v>
      </c>
      <c r="H17" s="36" t="s">
        <v>136</v>
      </c>
      <c r="I17" s="36" t="s">
        <v>61</v>
      </c>
      <c r="J17" s="36" t="s">
        <v>108</v>
      </c>
      <c r="K17" s="36" t="s">
        <v>109</v>
      </c>
      <c r="L17" s="36" t="s">
        <v>5</v>
      </c>
      <c r="M17" s="36" t="s">
        <v>110</v>
      </c>
      <c r="O17" s="36">
        <v>3</v>
      </c>
      <c r="P17" s="36">
        <v>3</v>
      </c>
      <c r="Q17" s="36">
        <v>0</v>
      </c>
      <c r="R17" s="36" t="s">
        <v>384</v>
      </c>
    </row>
    <row r="18" spans="1:18" x14ac:dyDescent="0.2">
      <c r="A18" s="38">
        <v>2016</v>
      </c>
      <c r="B18" s="36" t="s">
        <v>137</v>
      </c>
      <c r="C18" s="61">
        <v>18531</v>
      </c>
      <c r="D18" s="36">
        <v>25</v>
      </c>
      <c r="E18" s="37">
        <v>42541</v>
      </c>
      <c r="F18" s="36" t="s">
        <v>106</v>
      </c>
      <c r="G18" s="36" t="s">
        <v>47</v>
      </c>
      <c r="H18" s="36" t="s">
        <v>138</v>
      </c>
      <c r="I18" s="36" t="s">
        <v>61</v>
      </c>
      <c r="J18" s="36" t="s">
        <v>118</v>
      </c>
      <c r="K18" s="36" t="s">
        <v>109</v>
      </c>
      <c r="L18" s="36" t="s">
        <v>5</v>
      </c>
      <c r="M18" s="36" t="s">
        <v>110</v>
      </c>
      <c r="N18" s="36">
        <v>18</v>
      </c>
      <c r="P18" s="36">
        <v>18</v>
      </c>
      <c r="Q18" s="36">
        <v>0</v>
      </c>
      <c r="R18" s="36" t="s">
        <v>384</v>
      </c>
    </row>
    <row r="19" spans="1:18" x14ac:dyDescent="0.2">
      <c r="A19" s="38">
        <v>2016</v>
      </c>
      <c r="B19" s="36" t="s">
        <v>139</v>
      </c>
      <c r="C19" s="61">
        <v>18532</v>
      </c>
      <c r="D19" s="36">
        <v>25</v>
      </c>
      <c r="E19" s="37">
        <v>42541</v>
      </c>
      <c r="F19" s="36" t="s">
        <v>106</v>
      </c>
      <c r="G19" s="36" t="s">
        <v>47</v>
      </c>
      <c r="H19" s="36" t="s">
        <v>140</v>
      </c>
      <c r="I19" s="36" t="s">
        <v>61</v>
      </c>
      <c r="J19" s="36" t="s">
        <v>108</v>
      </c>
      <c r="K19" s="36" t="s">
        <v>109</v>
      </c>
      <c r="L19" s="36" t="s">
        <v>6</v>
      </c>
      <c r="M19" s="36" t="s">
        <v>110</v>
      </c>
      <c r="O19" s="36">
        <v>13</v>
      </c>
      <c r="P19" s="36">
        <v>13</v>
      </c>
      <c r="Q19" s="36">
        <v>0</v>
      </c>
      <c r="R19" s="36" t="s">
        <v>384</v>
      </c>
    </row>
    <row r="20" spans="1:18" x14ac:dyDescent="0.2">
      <c r="A20" s="38">
        <v>2016</v>
      </c>
      <c r="B20" s="36" t="s">
        <v>141</v>
      </c>
      <c r="C20" s="61">
        <v>18533</v>
      </c>
      <c r="D20" s="36">
        <v>25</v>
      </c>
      <c r="E20" s="37">
        <v>42541</v>
      </c>
      <c r="F20" s="36" t="s">
        <v>106</v>
      </c>
      <c r="G20" s="36" t="s">
        <v>47</v>
      </c>
      <c r="H20" s="36" t="s">
        <v>140</v>
      </c>
      <c r="I20" s="36" t="s">
        <v>61</v>
      </c>
      <c r="J20" s="36" t="s">
        <v>108</v>
      </c>
      <c r="K20" s="36" t="s">
        <v>109</v>
      </c>
      <c r="L20" s="36" t="s">
        <v>5</v>
      </c>
      <c r="M20" s="36" t="s">
        <v>110</v>
      </c>
      <c r="O20" s="36">
        <v>6</v>
      </c>
      <c r="P20" s="36">
        <v>6</v>
      </c>
      <c r="Q20" s="36">
        <v>0</v>
      </c>
      <c r="R20" s="36" t="s">
        <v>384</v>
      </c>
    </row>
    <row r="21" spans="1:18" x14ac:dyDescent="0.2">
      <c r="A21" s="38">
        <v>2016</v>
      </c>
      <c r="B21" s="36" t="s">
        <v>142</v>
      </c>
      <c r="C21" s="61">
        <v>18534</v>
      </c>
      <c r="D21" s="36">
        <v>25</v>
      </c>
      <c r="E21" s="37">
        <v>42541</v>
      </c>
      <c r="F21" s="36" t="s">
        <v>106</v>
      </c>
      <c r="G21" s="36" t="s">
        <v>47</v>
      </c>
      <c r="H21" s="36" t="s">
        <v>143</v>
      </c>
      <c r="I21" s="36" t="s">
        <v>61</v>
      </c>
      <c r="J21" s="36" t="s">
        <v>108</v>
      </c>
      <c r="K21" s="36" t="s">
        <v>109</v>
      </c>
      <c r="L21" s="36" t="s">
        <v>6</v>
      </c>
      <c r="M21" s="36" t="s">
        <v>110</v>
      </c>
      <c r="O21" s="36">
        <v>6</v>
      </c>
      <c r="P21" s="36">
        <v>6</v>
      </c>
      <c r="Q21" s="36">
        <v>0</v>
      </c>
      <c r="R21" s="36" t="s">
        <v>384</v>
      </c>
    </row>
    <row r="22" spans="1:18" x14ac:dyDescent="0.2">
      <c r="A22" s="38">
        <v>2016</v>
      </c>
      <c r="B22" s="36" t="s">
        <v>144</v>
      </c>
      <c r="C22" s="61">
        <v>18535</v>
      </c>
      <c r="D22" s="36">
        <v>25</v>
      </c>
      <c r="E22" s="37">
        <v>42541</v>
      </c>
      <c r="F22" s="36" t="s">
        <v>106</v>
      </c>
      <c r="G22" s="36" t="s">
        <v>47</v>
      </c>
      <c r="H22" s="36" t="s">
        <v>143</v>
      </c>
      <c r="I22" s="36" t="s">
        <v>61</v>
      </c>
      <c r="J22" s="36" t="s">
        <v>108</v>
      </c>
      <c r="K22" s="36" t="s">
        <v>109</v>
      </c>
      <c r="L22" s="36" t="s">
        <v>5</v>
      </c>
      <c r="M22" s="36" t="s">
        <v>110</v>
      </c>
      <c r="O22" s="36">
        <v>7</v>
      </c>
      <c r="P22" s="36">
        <v>7</v>
      </c>
      <c r="Q22" s="36">
        <v>0</v>
      </c>
      <c r="R22" s="36" t="s">
        <v>384</v>
      </c>
    </row>
    <row r="23" spans="1:18" x14ac:dyDescent="0.2">
      <c r="A23" s="38">
        <v>2016</v>
      </c>
      <c r="B23" s="36" t="s">
        <v>145</v>
      </c>
      <c r="C23" s="61">
        <v>18536</v>
      </c>
      <c r="D23" s="36">
        <v>25</v>
      </c>
      <c r="E23" s="37">
        <v>42541</v>
      </c>
      <c r="F23" s="36" t="s">
        <v>106</v>
      </c>
      <c r="G23" s="36" t="s">
        <v>47</v>
      </c>
      <c r="H23" s="36" t="s">
        <v>146</v>
      </c>
      <c r="I23" s="36" t="s">
        <v>61</v>
      </c>
      <c r="J23" s="36" t="s">
        <v>108</v>
      </c>
      <c r="K23" s="36" t="s">
        <v>109</v>
      </c>
      <c r="L23" s="36" t="s">
        <v>6</v>
      </c>
      <c r="M23" s="36" t="s">
        <v>110</v>
      </c>
      <c r="O23" s="36">
        <v>23</v>
      </c>
      <c r="P23" s="36">
        <v>23</v>
      </c>
      <c r="Q23" s="36">
        <v>0</v>
      </c>
      <c r="R23" s="36" t="s">
        <v>384</v>
      </c>
    </row>
    <row r="24" spans="1:18" x14ac:dyDescent="0.2">
      <c r="A24" s="38">
        <v>2016</v>
      </c>
      <c r="B24" s="36" t="s">
        <v>147</v>
      </c>
      <c r="C24" s="61">
        <v>18537</v>
      </c>
      <c r="D24" s="36">
        <v>25</v>
      </c>
      <c r="E24" s="37">
        <v>42541</v>
      </c>
      <c r="F24" s="36" t="s">
        <v>106</v>
      </c>
      <c r="G24" s="36" t="s">
        <v>47</v>
      </c>
      <c r="H24" s="36" t="s">
        <v>146</v>
      </c>
      <c r="I24" s="36" t="s">
        <v>61</v>
      </c>
      <c r="J24" s="36" t="s">
        <v>108</v>
      </c>
      <c r="K24" s="36" t="s">
        <v>109</v>
      </c>
      <c r="L24" s="36" t="s">
        <v>5</v>
      </c>
      <c r="M24" s="36" t="s">
        <v>110</v>
      </c>
      <c r="O24" s="36">
        <v>4</v>
      </c>
      <c r="P24" s="36">
        <v>4</v>
      </c>
      <c r="Q24" s="36">
        <v>0</v>
      </c>
      <c r="R24" s="36" t="s">
        <v>384</v>
      </c>
    </row>
    <row r="25" spans="1:18" x14ac:dyDescent="0.2">
      <c r="A25" s="38">
        <v>2016</v>
      </c>
      <c r="B25" s="36" t="s">
        <v>148</v>
      </c>
      <c r="C25" s="61">
        <v>18538</v>
      </c>
      <c r="D25" s="36">
        <v>25</v>
      </c>
      <c r="E25" s="37">
        <v>42541</v>
      </c>
      <c r="F25" s="36" t="s">
        <v>106</v>
      </c>
      <c r="G25" s="36" t="s">
        <v>47</v>
      </c>
      <c r="H25" s="36" t="s">
        <v>149</v>
      </c>
      <c r="I25" s="36" t="s">
        <v>60</v>
      </c>
      <c r="J25" s="36" t="s">
        <v>108</v>
      </c>
      <c r="K25" s="36" t="s">
        <v>109</v>
      </c>
      <c r="L25" s="36" t="s">
        <v>6</v>
      </c>
      <c r="M25" s="36" t="s">
        <v>110</v>
      </c>
      <c r="O25" s="36">
        <v>4</v>
      </c>
      <c r="P25" s="36">
        <v>4</v>
      </c>
      <c r="Q25" s="36">
        <v>0</v>
      </c>
      <c r="R25" s="36" t="s">
        <v>384</v>
      </c>
    </row>
    <row r="26" spans="1:18" x14ac:dyDescent="0.2">
      <c r="A26" s="38">
        <v>2016</v>
      </c>
      <c r="B26" s="36" t="s">
        <v>150</v>
      </c>
      <c r="C26" s="61">
        <v>18539</v>
      </c>
      <c r="D26" s="36">
        <v>25</v>
      </c>
      <c r="E26" s="37">
        <v>42542</v>
      </c>
      <c r="F26" s="36" t="s">
        <v>106</v>
      </c>
      <c r="G26" s="36" t="s">
        <v>9</v>
      </c>
      <c r="H26" s="36" t="s">
        <v>151</v>
      </c>
      <c r="I26" s="36" t="s">
        <v>9</v>
      </c>
      <c r="J26" s="36" t="s">
        <v>108</v>
      </c>
      <c r="K26" s="36" t="s">
        <v>109</v>
      </c>
      <c r="L26" s="36" t="s">
        <v>6</v>
      </c>
      <c r="M26" s="36" t="s">
        <v>110</v>
      </c>
      <c r="O26" s="36">
        <v>7</v>
      </c>
      <c r="P26" s="36">
        <v>7</v>
      </c>
      <c r="Q26" s="36">
        <v>0</v>
      </c>
      <c r="R26" s="36" t="s">
        <v>384</v>
      </c>
    </row>
    <row r="27" spans="1:18" x14ac:dyDescent="0.2">
      <c r="A27" s="38">
        <v>2016</v>
      </c>
      <c r="B27" s="36" t="s">
        <v>152</v>
      </c>
      <c r="C27" s="61">
        <v>18540</v>
      </c>
      <c r="D27" s="36">
        <v>25</v>
      </c>
      <c r="E27" s="37">
        <v>42542</v>
      </c>
      <c r="F27" s="36" t="s">
        <v>106</v>
      </c>
      <c r="G27" s="36" t="s">
        <v>9</v>
      </c>
      <c r="H27" s="36" t="s">
        <v>153</v>
      </c>
      <c r="I27" s="36" t="s">
        <v>9</v>
      </c>
      <c r="J27" s="36" t="s">
        <v>108</v>
      </c>
      <c r="K27" s="36" t="s">
        <v>109</v>
      </c>
      <c r="L27" s="36" t="s">
        <v>6</v>
      </c>
      <c r="M27" s="36" t="s">
        <v>110</v>
      </c>
      <c r="O27" s="36">
        <v>50</v>
      </c>
      <c r="P27" s="36">
        <v>50</v>
      </c>
      <c r="Q27" s="36">
        <v>0</v>
      </c>
      <c r="R27" s="36" t="s">
        <v>384</v>
      </c>
    </row>
    <row r="28" spans="1:18" x14ac:dyDescent="0.2">
      <c r="A28" s="38">
        <v>2016</v>
      </c>
      <c r="B28" s="36" t="s">
        <v>154</v>
      </c>
      <c r="C28" s="61">
        <v>18541</v>
      </c>
      <c r="D28" s="36">
        <v>25</v>
      </c>
      <c r="E28" s="37">
        <v>42542</v>
      </c>
      <c r="F28" s="36" t="s">
        <v>106</v>
      </c>
      <c r="G28" s="36" t="s">
        <v>9</v>
      </c>
      <c r="H28" s="36" t="s">
        <v>153</v>
      </c>
      <c r="I28" s="36" t="s">
        <v>9</v>
      </c>
      <c r="J28" s="36" t="s">
        <v>108</v>
      </c>
      <c r="K28" s="36" t="s">
        <v>109</v>
      </c>
      <c r="L28" s="36" t="s">
        <v>6</v>
      </c>
      <c r="M28" s="36" t="s">
        <v>110</v>
      </c>
      <c r="O28" s="36">
        <v>50</v>
      </c>
      <c r="P28" s="36">
        <v>50</v>
      </c>
      <c r="Q28" s="36">
        <v>0</v>
      </c>
      <c r="R28" s="36" t="s">
        <v>384</v>
      </c>
    </row>
    <row r="29" spans="1:18" x14ac:dyDescent="0.2">
      <c r="A29" s="38">
        <v>2016</v>
      </c>
      <c r="B29" s="36" t="s">
        <v>155</v>
      </c>
      <c r="C29" s="61">
        <v>18542</v>
      </c>
      <c r="D29" s="36">
        <v>25</v>
      </c>
      <c r="E29" s="37">
        <v>42542</v>
      </c>
      <c r="F29" s="36" t="s">
        <v>106</v>
      </c>
      <c r="G29" s="36" t="s">
        <v>9</v>
      </c>
      <c r="H29" s="36" t="s">
        <v>153</v>
      </c>
      <c r="I29" s="36" t="s">
        <v>9</v>
      </c>
      <c r="J29" s="36" t="s">
        <v>108</v>
      </c>
      <c r="K29" s="36" t="s">
        <v>109</v>
      </c>
      <c r="L29" s="36" t="s">
        <v>6</v>
      </c>
      <c r="M29" s="36" t="s">
        <v>110</v>
      </c>
      <c r="O29" s="36">
        <v>6</v>
      </c>
      <c r="P29" s="36">
        <v>6</v>
      </c>
      <c r="Q29" s="36">
        <v>0</v>
      </c>
      <c r="R29" s="36" t="s">
        <v>384</v>
      </c>
    </row>
    <row r="30" spans="1:18" x14ac:dyDescent="0.2">
      <c r="A30" s="38">
        <v>2016</v>
      </c>
      <c r="B30" s="36" t="s">
        <v>156</v>
      </c>
      <c r="C30" s="61">
        <v>18543</v>
      </c>
      <c r="D30" s="36">
        <v>25</v>
      </c>
      <c r="E30" s="37">
        <v>42542</v>
      </c>
      <c r="F30" s="36" t="s">
        <v>106</v>
      </c>
      <c r="G30" s="36" t="s">
        <v>9</v>
      </c>
      <c r="H30" s="36" t="s">
        <v>157</v>
      </c>
      <c r="I30" s="36" t="s">
        <v>9</v>
      </c>
      <c r="J30" s="36" t="s">
        <v>108</v>
      </c>
      <c r="K30" s="36" t="s">
        <v>109</v>
      </c>
      <c r="L30" s="36" t="s">
        <v>6</v>
      </c>
      <c r="M30" s="36" t="s">
        <v>110</v>
      </c>
      <c r="O30" s="36">
        <v>50</v>
      </c>
      <c r="P30" s="36">
        <v>50</v>
      </c>
      <c r="Q30" s="36">
        <v>0</v>
      </c>
      <c r="R30" s="36" t="s">
        <v>384</v>
      </c>
    </row>
    <row r="31" spans="1:18" x14ac:dyDescent="0.2">
      <c r="A31" s="38">
        <v>2016</v>
      </c>
      <c r="B31" s="36" t="s">
        <v>158</v>
      </c>
      <c r="C31" s="61">
        <v>18544</v>
      </c>
      <c r="D31" s="36">
        <v>25</v>
      </c>
      <c r="E31" s="37">
        <v>42542</v>
      </c>
      <c r="F31" s="36" t="s">
        <v>106</v>
      </c>
      <c r="G31" s="36" t="s">
        <v>9</v>
      </c>
      <c r="H31" s="36" t="s">
        <v>157</v>
      </c>
      <c r="I31" s="36" t="s">
        <v>9</v>
      </c>
      <c r="J31" s="36" t="s">
        <v>108</v>
      </c>
      <c r="K31" s="36" t="s">
        <v>109</v>
      </c>
      <c r="L31" s="36" t="s">
        <v>6</v>
      </c>
      <c r="M31" s="36" t="s">
        <v>110</v>
      </c>
      <c r="O31" s="36">
        <v>24</v>
      </c>
      <c r="P31" s="36">
        <v>24</v>
      </c>
      <c r="Q31" s="36">
        <v>0</v>
      </c>
      <c r="R31" s="36" t="s">
        <v>384</v>
      </c>
    </row>
    <row r="32" spans="1:18" x14ac:dyDescent="0.2">
      <c r="A32" s="38">
        <v>2016</v>
      </c>
      <c r="B32" s="36" t="s">
        <v>159</v>
      </c>
      <c r="C32" s="61">
        <v>18545</v>
      </c>
      <c r="D32" s="36">
        <v>25</v>
      </c>
      <c r="E32" s="37">
        <v>42542</v>
      </c>
      <c r="F32" s="36" t="s">
        <v>106</v>
      </c>
      <c r="G32" s="36" t="s">
        <v>47</v>
      </c>
      <c r="H32" s="36" t="s">
        <v>160</v>
      </c>
      <c r="I32" s="36" t="s">
        <v>62</v>
      </c>
      <c r="J32" s="36" t="s">
        <v>108</v>
      </c>
      <c r="K32" s="36" t="s">
        <v>109</v>
      </c>
      <c r="L32" s="36" t="s">
        <v>6</v>
      </c>
      <c r="M32" s="36" t="s">
        <v>110</v>
      </c>
      <c r="O32" s="36">
        <v>4</v>
      </c>
      <c r="P32" s="36">
        <v>4</v>
      </c>
      <c r="Q32" s="36">
        <v>0</v>
      </c>
      <c r="R32" s="36" t="s">
        <v>384</v>
      </c>
    </row>
    <row r="33" spans="1:18" x14ac:dyDescent="0.2">
      <c r="A33" s="38">
        <v>2016</v>
      </c>
      <c r="B33" s="36" t="s">
        <v>161</v>
      </c>
      <c r="C33" s="61">
        <v>18546</v>
      </c>
      <c r="D33" s="36">
        <v>25</v>
      </c>
      <c r="E33" s="37">
        <v>42542</v>
      </c>
      <c r="F33" s="36" t="s">
        <v>106</v>
      </c>
      <c r="G33" s="36" t="s">
        <v>47</v>
      </c>
      <c r="H33" s="36" t="s">
        <v>162</v>
      </c>
      <c r="I33" s="36" t="s">
        <v>62</v>
      </c>
      <c r="J33" s="36" t="s">
        <v>108</v>
      </c>
      <c r="K33" s="36" t="s">
        <v>109</v>
      </c>
      <c r="L33" s="36" t="s">
        <v>6</v>
      </c>
      <c r="M33" s="36" t="s">
        <v>110</v>
      </c>
      <c r="O33" s="36">
        <v>33</v>
      </c>
      <c r="P33" s="36">
        <v>33</v>
      </c>
      <c r="Q33" s="36">
        <v>0</v>
      </c>
      <c r="R33" s="36" t="s">
        <v>384</v>
      </c>
    </row>
    <row r="34" spans="1:18" x14ac:dyDescent="0.2">
      <c r="A34" s="38">
        <v>2016</v>
      </c>
      <c r="B34" s="36" t="s">
        <v>163</v>
      </c>
      <c r="C34" s="61">
        <v>18547</v>
      </c>
      <c r="D34" s="36">
        <v>25</v>
      </c>
      <c r="E34" s="37">
        <v>42542</v>
      </c>
      <c r="F34" s="36" t="s">
        <v>106</v>
      </c>
      <c r="G34" s="36" t="s">
        <v>47</v>
      </c>
      <c r="H34" s="36" t="s">
        <v>164</v>
      </c>
      <c r="I34" s="36" t="s">
        <v>62</v>
      </c>
      <c r="J34" s="36" t="s">
        <v>108</v>
      </c>
      <c r="K34" s="36" t="s">
        <v>109</v>
      </c>
      <c r="L34" s="36" t="s">
        <v>5</v>
      </c>
      <c r="M34" s="36" t="s">
        <v>110</v>
      </c>
      <c r="O34" s="36">
        <v>2</v>
      </c>
      <c r="P34" s="36">
        <v>2</v>
      </c>
      <c r="Q34" s="36">
        <v>0</v>
      </c>
      <c r="R34" s="36" t="s">
        <v>384</v>
      </c>
    </row>
    <row r="35" spans="1:18" x14ac:dyDescent="0.2">
      <c r="A35" s="38">
        <v>2016</v>
      </c>
      <c r="B35" s="36" t="s">
        <v>165</v>
      </c>
      <c r="C35" s="61">
        <v>18548</v>
      </c>
      <c r="D35" s="36">
        <v>25</v>
      </c>
      <c r="E35" s="37">
        <v>42542</v>
      </c>
      <c r="F35" s="36" t="s">
        <v>106</v>
      </c>
      <c r="G35" s="36" t="s">
        <v>47</v>
      </c>
      <c r="H35" s="36" t="s">
        <v>166</v>
      </c>
      <c r="I35" s="36" t="s">
        <v>62</v>
      </c>
      <c r="J35" s="36" t="s">
        <v>108</v>
      </c>
      <c r="K35" s="36" t="s">
        <v>109</v>
      </c>
      <c r="L35" s="36" t="s">
        <v>6</v>
      </c>
      <c r="M35" s="36" t="s">
        <v>110</v>
      </c>
      <c r="O35" s="36">
        <v>32</v>
      </c>
      <c r="P35" s="36">
        <v>32</v>
      </c>
      <c r="Q35" s="36">
        <v>0</v>
      </c>
      <c r="R35" s="36" t="s">
        <v>384</v>
      </c>
    </row>
    <row r="36" spans="1:18" x14ac:dyDescent="0.2">
      <c r="A36" s="38">
        <v>2016</v>
      </c>
      <c r="B36" s="36" t="s">
        <v>167</v>
      </c>
      <c r="C36" s="61">
        <v>18549</v>
      </c>
      <c r="D36" s="36">
        <v>25</v>
      </c>
      <c r="E36" s="37">
        <v>42542</v>
      </c>
      <c r="F36" s="36" t="s">
        <v>106</v>
      </c>
      <c r="G36" s="36" t="s">
        <v>47</v>
      </c>
      <c r="H36" s="36" t="s">
        <v>168</v>
      </c>
      <c r="I36" s="36" t="s">
        <v>62</v>
      </c>
      <c r="J36" s="36" t="s">
        <v>108</v>
      </c>
      <c r="K36" s="36" t="s">
        <v>109</v>
      </c>
      <c r="L36" s="36" t="s">
        <v>6</v>
      </c>
      <c r="M36" s="36" t="s">
        <v>110</v>
      </c>
      <c r="O36" s="36">
        <v>29</v>
      </c>
      <c r="P36" s="36">
        <v>29</v>
      </c>
      <c r="Q36" s="36">
        <v>0</v>
      </c>
      <c r="R36" s="36" t="s">
        <v>384</v>
      </c>
    </row>
    <row r="37" spans="1:18" x14ac:dyDescent="0.2">
      <c r="A37" s="38">
        <v>2016</v>
      </c>
      <c r="B37" s="36" t="s">
        <v>169</v>
      </c>
      <c r="C37" s="61">
        <v>18550</v>
      </c>
      <c r="D37" s="36">
        <v>25</v>
      </c>
      <c r="E37" s="37">
        <v>42542</v>
      </c>
      <c r="F37" s="36" t="s">
        <v>106</v>
      </c>
      <c r="G37" s="36" t="s">
        <v>47</v>
      </c>
      <c r="H37" s="36" t="s">
        <v>168</v>
      </c>
      <c r="I37" s="36" t="s">
        <v>62</v>
      </c>
      <c r="J37" s="36" t="s">
        <v>108</v>
      </c>
      <c r="K37" s="36" t="s">
        <v>109</v>
      </c>
      <c r="L37" s="36" t="s">
        <v>5</v>
      </c>
      <c r="M37" s="36" t="s">
        <v>110</v>
      </c>
      <c r="O37" s="36">
        <v>5</v>
      </c>
      <c r="P37" s="36">
        <v>5</v>
      </c>
      <c r="Q37" s="36">
        <v>0</v>
      </c>
      <c r="R37" s="36" t="s">
        <v>384</v>
      </c>
    </row>
    <row r="38" spans="1:18" x14ac:dyDescent="0.2">
      <c r="A38" s="38">
        <v>2016</v>
      </c>
      <c r="B38" s="36" t="s">
        <v>170</v>
      </c>
      <c r="C38" s="61">
        <v>18551</v>
      </c>
      <c r="D38" s="36">
        <v>25</v>
      </c>
      <c r="E38" s="37">
        <v>42542</v>
      </c>
      <c r="F38" s="36" t="s">
        <v>106</v>
      </c>
      <c r="G38" s="36" t="s">
        <v>47</v>
      </c>
      <c r="H38" s="36" t="s">
        <v>171</v>
      </c>
      <c r="I38" s="36" t="s">
        <v>62</v>
      </c>
      <c r="J38" s="36" t="s">
        <v>108</v>
      </c>
      <c r="K38" s="36" t="s">
        <v>109</v>
      </c>
      <c r="L38" s="36" t="s">
        <v>6</v>
      </c>
      <c r="M38" s="36" t="s">
        <v>110</v>
      </c>
      <c r="O38" s="36">
        <v>1</v>
      </c>
      <c r="P38" s="36">
        <v>1</v>
      </c>
      <c r="Q38" s="36">
        <v>0</v>
      </c>
      <c r="R38" s="36" t="s">
        <v>384</v>
      </c>
    </row>
    <row r="39" spans="1:18" x14ac:dyDescent="0.2">
      <c r="A39" s="38">
        <v>2016</v>
      </c>
      <c r="B39" s="36" t="s">
        <v>172</v>
      </c>
      <c r="C39" s="61">
        <v>18552</v>
      </c>
      <c r="D39" s="36">
        <v>25</v>
      </c>
      <c r="E39" s="37">
        <v>42542</v>
      </c>
      <c r="F39" s="36" t="s">
        <v>106</v>
      </c>
      <c r="G39" s="36" t="s">
        <v>47</v>
      </c>
      <c r="H39" s="36" t="s">
        <v>173</v>
      </c>
      <c r="I39" s="36" t="s">
        <v>62</v>
      </c>
      <c r="J39" s="36" t="s">
        <v>108</v>
      </c>
      <c r="K39" s="36" t="s">
        <v>109</v>
      </c>
      <c r="L39" s="36" t="s">
        <v>6</v>
      </c>
      <c r="M39" s="36" t="s">
        <v>110</v>
      </c>
      <c r="O39" s="36">
        <v>7</v>
      </c>
      <c r="P39" s="36">
        <v>7</v>
      </c>
      <c r="Q39" s="36">
        <v>0</v>
      </c>
      <c r="R39" s="36" t="s">
        <v>384</v>
      </c>
    </row>
    <row r="40" spans="1:18" x14ac:dyDescent="0.2">
      <c r="A40" s="38">
        <v>2016</v>
      </c>
      <c r="B40" s="36" t="s">
        <v>174</v>
      </c>
      <c r="C40" s="61">
        <v>18553</v>
      </c>
      <c r="D40" s="36">
        <v>25</v>
      </c>
      <c r="E40" s="37">
        <v>42542</v>
      </c>
      <c r="F40" s="36" t="s">
        <v>106</v>
      </c>
      <c r="G40" s="36" t="s">
        <v>47</v>
      </c>
      <c r="H40" s="36" t="s">
        <v>175</v>
      </c>
      <c r="I40" s="36" t="s">
        <v>62</v>
      </c>
      <c r="J40" s="36" t="s">
        <v>118</v>
      </c>
      <c r="K40" s="36" t="s">
        <v>109</v>
      </c>
      <c r="L40" s="36" t="s">
        <v>5</v>
      </c>
      <c r="M40" s="36" t="s">
        <v>110</v>
      </c>
      <c r="N40" s="36">
        <v>5</v>
      </c>
      <c r="P40" s="36">
        <v>5</v>
      </c>
      <c r="Q40" s="36">
        <v>0</v>
      </c>
      <c r="R40" s="36" t="s">
        <v>384</v>
      </c>
    </row>
    <row r="41" spans="1:18" x14ac:dyDescent="0.2">
      <c r="A41" s="38">
        <v>2016</v>
      </c>
      <c r="B41" s="36" t="s">
        <v>176</v>
      </c>
      <c r="C41" s="61">
        <v>18554</v>
      </c>
      <c r="D41" s="36">
        <v>25</v>
      </c>
      <c r="E41" s="37">
        <v>42542</v>
      </c>
      <c r="F41" s="36" t="s">
        <v>106</v>
      </c>
      <c r="G41" s="36" t="s">
        <v>47</v>
      </c>
      <c r="H41" s="36" t="s">
        <v>177</v>
      </c>
      <c r="I41" s="36" t="s">
        <v>62</v>
      </c>
      <c r="J41" s="36" t="s">
        <v>108</v>
      </c>
      <c r="K41" s="36" t="s">
        <v>109</v>
      </c>
      <c r="L41" s="36" t="s">
        <v>6</v>
      </c>
      <c r="M41" s="36" t="s">
        <v>110</v>
      </c>
      <c r="O41" s="36">
        <v>2</v>
      </c>
      <c r="P41" s="36">
        <v>2</v>
      </c>
      <c r="Q41" s="36">
        <v>0</v>
      </c>
      <c r="R41" s="36" t="s">
        <v>384</v>
      </c>
    </row>
    <row r="42" spans="1:18" x14ac:dyDescent="0.2">
      <c r="A42" s="38">
        <v>2016</v>
      </c>
      <c r="B42" s="36" t="s">
        <v>178</v>
      </c>
      <c r="C42" s="61">
        <v>18555</v>
      </c>
      <c r="D42" s="36">
        <v>25</v>
      </c>
      <c r="E42" s="37">
        <v>42542</v>
      </c>
      <c r="F42" s="36" t="s">
        <v>106</v>
      </c>
      <c r="G42" s="36" t="s">
        <v>47</v>
      </c>
      <c r="H42" s="36" t="s">
        <v>179</v>
      </c>
      <c r="I42" s="36" t="s">
        <v>62</v>
      </c>
      <c r="J42" s="36" t="s">
        <v>108</v>
      </c>
      <c r="K42" s="36" t="s">
        <v>109</v>
      </c>
      <c r="L42" s="36" t="s">
        <v>6</v>
      </c>
      <c r="M42" s="36" t="s">
        <v>110</v>
      </c>
      <c r="O42" s="36">
        <v>2</v>
      </c>
      <c r="P42" s="36">
        <v>2</v>
      </c>
      <c r="Q42" s="36">
        <v>0</v>
      </c>
      <c r="R42" s="36" t="s">
        <v>384</v>
      </c>
    </row>
    <row r="43" spans="1:18" x14ac:dyDescent="0.2">
      <c r="A43" s="38">
        <v>2016</v>
      </c>
      <c r="B43" s="36" t="s">
        <v>180</v>
      </c>
      <c r="C43" s="61">
        <v>18556</v>
      </c>
      <c r="D43" s="36">
        <v>25</v>
      </c>
      <c r="E43" s="37">
        <v>42542</v>
      </c>
      <c r="F43" s="36" t="s">
        <v>106</v>
      </c>
      <c r="G43" s="36" t="s">
        <v>47</v>
      </c>
      <c r="H43" s="36" t="s">
        <v>181</v>
      </c>
      <c r="I43" s="36" t="s">
        <v>62</v>
      </c>
      <c r="J43" s="36" t="s">
        <v>108</v>
      </c>
      <c r="K43" s="36" t="s">
        <v>109</v>
      </c>
      <c r="L43" s="36" t="s">
        <v>5</v>
      </c>
      <c r="M43" s="36" t="s">
        <v>110</v>
      </c>
      <c r="O43" s="36">
        <v>1</v>
      </c>
      <c r="P43" s="36">
        <v>1</v>
      </c>
      <c r="Q43" s="36">
        <v>0</v>
      </c>
      <c r="R43" s="36" t="s">
        <v>384</v>
      </c>
    </row>
    <row r="44" spans="1:18" x14ac:dyDescent="0.2">
      <c r="A44" s="38">
        <v>2016</v>
      </c>
      <c r="B44" s="36" t="s">
        <v>182</v>
      </c>
      <c r="C44" s="61">
        <v>18557</v>
      </c>
      <c r="D44" s="36">
        <v>25</v>
      </c>
      <c r="E44" s="37">
        <v>42542</v>
      </c>
      <c r="F44" s="36" t="s">
        <v>106</v>
      </c>
      <c r="G44" s="36" t="s">
        <v>47</v>
      </c>
      <c r="H44" s="36" t="s">
        <v>183</v>
      </c>
      <c r="I44" s="36" t="s">
        <v>62</v>
      </c>
      <c r="J44" s="36" t="s">
        <v>118</v>
      </c>
      <c r="K44" s="36" t="s">
        <v>109</v>
      </c>
      <c r="L44" s="36" t="s">
        <v>5</v>
      </c>
      <c r="M44" s="36" t="s">
        <v>110</v>
      </c>
      <c r="N44" s="36">
        <v>34</v>
      </c>
      <c r="P44" s="36">
        <v>34</v>
      </c>
      <c r="Q44" s="36">
        <v>0</v>
      </c>
      <c r="R44" s="36" t="s">
        <v>384</v>
      </c>
    </row>
    <row r="45" spans="1:18" x14ac:dyDescent="0.2">
      <c r="A45" s="38">
        <v>2016</v>
      </c>
      <c r="B45" s="36" t="s">
        <v>184</v>
      </c>
      <c r="C45" s="61">
        <v>18558</v>
      </c>
      <c r="D45" s="36">
        <v>25</v>
      </c>
      <c r="E45" s="37">
        <v>42542</v>
      </c>
      <c r="F45" s="36" t="s">
        <v>106</v>
      </c>
      <c r="G45" s="36" t="s">
        <v>47</v>
      </c>
      <c r="H45" s="36" t="s">
        <v>185</v>
      </c>
      <c r="I45" s="36" t="s">
        <v>62</v>
      </c>
      <c r="J45" s="36" t="s">
        <v>108</v>
      </c>
      <c r="K45" s="36" t="s">
        <v>109</v>
      </c>
      <c r="L45" s="36" t="s">
        <v>6</v>
      </c>
      <c r="M45" s="36" t="s">
        <v>110</v>
      </c>
      <c r="O45" s="36">
        <v>4</v>
      </c>
      <c r="P45" s="36">
        <v>4</v>
      </c>
      <c r="Q45" s="36">
        <v>0</v>
      </c>
      <c r="R45" s="36" t="s">
        <v>384</v>
      </c>
    </row>
    <row r="46" spans="1:18" x14ac:dyDescent="0.2">
      <c r="A46" s="38">
        <v>2016</v>
      </c>
      <c r="B46" s="36" t="s">
        <v>186</v>
      </c>
      <c r="C46" s="61">
        <v>18559</v>
      </c>
      <c r="D46" s="36">
        <v>25</v>
      </c>
      <c r="E46" s="37">
        <v>42542</v>
      </c>
      <c r="F46" s="36" t="s">
        <v>106</v>
      </c>
      <c r="G46" s="36" t="s">
        <v>47</v>
      </c>
      <c r="H46" s="36" t="s">
        <v>185</v>
      </c>
      <c r="I46" s="36" t="s">
        <v>62</v>
      </c>
      <c r="J46" s="36" t="s">
        <v>108</v>
      </c>
      <c r="K46" s="36" t="s">
        <v>109</v>
      </c>
      <c r="L46" s="36" t="s">
        <v>5</v>
      </c>
      <c r="M46" s="36" t="s">
        <v>110</v>
      </c>
      <c r="O46" s="36">
        <v>1</v>
      </c>
      <c r="P46" s="36">
        <v>1</v>
      </c>
      <c r="Q46" s="36">
        <v>0</v>
      </c>
      <c r="R46" s="36" t="s">
        <v>384</v>
      </c>
    </row>
    <row r="47" spans="1:18" x14ac:dyDescent="0.2">
      <c r="A47" s="38">
        <v>2016</v>
      </c>
      <c r="B47" s="36" t="s">
        <v>187</v>
      </c>
      <c r="C47" s="61">
        <v>18560</v>
      </c>
      <c r="D47" s="36">
        <v>25</v>
      </c>
      <c r="E47" s="37">
        <v>42543</v>
      </c>
      <c r="F47" s="36" t="s">
        <v>106</v>
      </c>
      <c r="G47" s="36" t="s">
        <v>47</v>
      </c>
      <c r="H47" s="36" t="s">
        <v>188</v>
      </c>
      <c r="I47" s="36" t="s">
        <v>60</v>
      </c>
      <c r="J47" s="36" t="s">
        <v>108</v>
      </c>
      <c r="K47" s="36" t="s">
        <v>109</v>
      </c>
      <c r="L47" s="36" t="s">
        <v>6</v>
      </c>
      <c r="M47" s="36" t="s">
        <v>110</v>
      </c>
      <c r="O47" s="36">
        <v>1</v>
      </c>
      <c r="P47" s="36">
        <v>1</v>
      </c>
      <c r="Q47" s="36">
        <v>0</v>
      </c>
      <c r="R47" s="36" t="s">
        <v>384</v>
      </c>
    </row>
    <row r="48" spans="1:18" x14ac:dyDescent="0.2">
      <c r="A48" s="38">
        <v>2016</v>
      </c>
      <c r="B48" s="36" t="s">
        <v>189</v>
      </c>
      <c r="C48" s="61">
        <v>18561</v>
      </c>
      <c r="D48" s="36">
        <v>25</v>
      </c>
      <c r="E48" s="37">
        <v>42543</v>
      </c>
      <c r="F48" s="36" t="s">
        <v>106</v>
      </c>
      <c r="G48" s="36" t="s">
        <v>47</v>
      </c>
      <c r="H48" s="36" t="s">
        <v>188</v>
      </c>
      <c r="I48" s="36" t="s">
        <v>60</v>
      </c>
      <c r="J48" s="36" t="s">
        <v>108</v>
      </c>
      <c r="K48" s="36" t="s">
        <v>109</v>
      </c>
      <c r="L48" s="36" t="s">
        <v>5</v>
      </c>
      <c r="M48" s="36" t="s">
        <v>110</v>
      </c>
      <c r="O48" s="36">
        <v>1</v>
      </c>
      <c r="P48" s="36">
        <v>1</v>
      </c>
      <c r="Q48" s="36">
        <v>0</v>
      </c>
      <c r="R48" s="36" t="s">
        <v>384</v>
      </c>
    </row>
    <row r="49" spans="1:18" x14ac:dyDescent="0.2">
      <c r="A49" s="38">
        <v>2016</v>
      </c>
      <c r="B49" s="36" t="s">
        <v>190</v>
      </c>
      <c r="C49" s="61">
        <v>18562</v>
      </c>
      <c r="D49" s="36">
        <v>25</v>
      </c>
      <c r="E49" s="37">
        <v>42543</v>
      </c>
      <c r="F49" s="36" t="s">
        <v>106</v>
      </c>
      <c r="G49" s="36" t="s">
        <v>47</v>
      </c>
      <c r="H49" s="36" t="s">
        <v>191</v>
      </c>
      <c r="I49" s="36" t="s">
        <v>60</v>
      </c>
      <c r="J49" s="36" t="s">
        <v>108</v>
      </c>
      <c r="K49" s="36" t="s">
        <v>109</v>
      </c>
      <c r="L49" s="36" t="s">
        <v>6</v>
      </c>
      <c r="M49" s="36" t="s">
        <v>110</v>
      </c>
      <c r="O49" s="36">
        <v>2</v>
      </c>
      <c r="P49" s="36">
        <v>2</v>
      </c>
      <c r="Q49" s="36">
        <v>0</v>
      </c>
      <c r="R49" s="36" t="s">
        <v>384</v>
      </c>
    </row>
    <row r="50" spans="1:18" x14ac:dyDescent="0.2">
      <c r="A50" s="38">
        <v>2016</v>
      </c>
      <c r="B50" s="36" t="s">
        <v>192</v>
      </c>
      <c r="C50" s="61">
        <v>18563</v>
      </c>
      <c r="D50" s="36">
        <v>25</v>
      </c>
      <c r="E50" s="37">
        <v>42543</v>
      </c>
      <c r="F50" s="36" t="s">
        <v>106</v>
      </c>
      <c r="G50" s="36" t="s">
        <v>47</v>
      </c>
      <c r="H50" s="36" t="s">
        <v>193</v>
      </c>
      <c r="I50" s="36" t="s">
        <v>60</v>
      </c>
      <c r="J50" s="36" t="s">
        <v>118</v>
      </c>
      <c r="K50" s="36" t="s">
        <v>109</v>
      </c>
      <c r="L50" s="36" t="s">
        <v>6</v>
      </c>
      <c r="M50" s="36" t="s">
        <v>110</v>
      </c>
      <c r="N50" s="36">
        <v>1</v>
      </c>
      <c r="P50" s="36">
        <v>1</v>
      </c>
      <c r="Q50" s="36">
        <v>0</v>
      </c>
      <c r="R50" s="36" t="s">
        <v>384</v>
      </c>
    </row>
    <row r="51" spans="1:18" x14ac:dyDescent="0.2">
      <c r="A51" s="38">
        <v>2016</v>
      </c>
      <c r="B51" s="36" t="s">
        <v>194</v>
      </c>
      <c r="C51" s="61">
        <v>18564</v>
      </c>
      <c r="D51" s="36">
        <v>25</v>
      </c>
      <c r="E51" s="37">
        <v>42543</v>
      </c>
      <c r="F51" s="36" t="s">
        <v>106</v>
      </c>
      <c r="G51" s="36" t="s">
        <v>47</v>
      </c>
      <c r="H51" s="36" t="s">
        <v>193</v>
      </c>
      <c r="I51" s="36" t="s">
        <v>60</v>
      </c>
      <c r="J51" s="36" t="s">
        <v>118</v>
      </c>
      <c r="K51" s="36" t="s">
        <v>109</v>
      </c>
      <c r="L51" s="36" t="s">
        <v>5</v>
      </c>
      <c r="M51" s="36" t="s">
        <v>110</v>
      </c>
      <c r="N51" s="36">
        <v>7</v>
      </c>
      <c r="P51" s="36">
        <v>7</v>
      </c>
      <c r="Q51" s="36">
        <v>0</v>
      </c>
      <c r="R51" s="36" t="s">
        <v>384</v>
      </c>
    </row>
    <row r="52" spans="1:18" x14ac:dyDescent="0.2">
      <c r="A52" s="38">
        <v>2016</v>
      </c>
      <c r="B52" s="36" t="s">
        <v>195</v>
      </c>
      <c r="C52" s="61">
        <v>18565</v>
      </c>
      <c r="D52" s="36">
        <v>25</v>
      </c>
      <c r="E52" s="37">
        <v>42543</v>
      </c>
      <c r="F52" s="36" t="s">
        <v>106</v>
      </c>
      <c r="G52" s="36" t="s">
        <v>47</v>
      </c>
      <c r="H52" s="36" t="s">
        <v>196</v>
      </c>
      <c r="I52" s="36" t="s">
        <v>60</v>
      </c>
      <c r="J52" s="36" t="s">
        <v>108</v>
      </c>
      <c r="K52" s="36" t="s">
        <v>109</v>
      </c>
      <c r="L52" s="36" t="s">
        <v>6</v>
      </c>
      <c r="M52" s="36" t="s">
        <v>110</v>
      </c>
      <c r="O52" s="36">
        <v>2</v>
      </c>
      <c r="P52" s="36">
        <v>2</v>
      </c>
      <c r="Q52" s="36">
        <v>0</v>
      </c>
      <c r="R52" s="36" t="s">
        <v>384</v>
      </c>
    </row>
    <row r="53" spans="1:18" x14ac:dyDescent="0.2">
      <c r="A53" s="38">
        <v>2016</v>
      </c>
      <c r="B53" s="36" t="s">
        <v>197</v>
      </c>
      <c r="C53" s="61">
        <v>18566</v>
      </c>
      <c r="D53" s="36">
        <v>25</v>
      </c>
      <c r="E53" s="37">
        <v>42543</v>
      </c>
      <c r="F53" s="36" t="s">
        <v>106</v>
      </c>
      <c r="G53" s="36" t="s">
        <v>47</v>
      </c>
      <c r="H53" s="36" t="s">
        <v>196</v>
      </c>
      <c r="I53" s="36" t="s">
        <v>60</v>
      </c>
      <c r="J53" s="36" t="s">
        <v>108</v>
      </c>
      <c r="K53" s="36" t="s">
        <v>109</v>
      </c>
      <c r="L53" s="36" t="s">
        <v>5</v>
      </c>
      <c r="M53" s="36" t="s">
        <v>110</v>
      </c>
      <c r="O53" s="36">
        <v>1</v>
      </c>
      <c r="P53" s="36">
        <v>1</v>
      </c>
      <c r="Q53" s="36">
        <v>0</v>
      </c>
      <c r="R53" s="36" t="s">
        <v>384</v>
      </c>
    </row>
    <row r="54" spans="1:18" x14ac:dyDescent="0.2">
      <c r="A54" s="38">
        <v>2016</v>
      </c>
      <c r="B54" s="36" t="s">
        <v>198</v>
      </c>
      <c r="C54" s="61">
        <v>18567</v>
      </c>
      <c r="D54" s="36">
        <v>25</v>
      </c>
      <c r="E54" s="37">
        <v>42543</v>
      </c>
      <c r="F54" s="36" t="s">
        <v>106</v>
      </c>
      <c r="G54" s="36" t="s">
        <v>47</v>
      </c>
      <c r="H54" s="36" t="s">
        <v>199</v>
      </c>
      <c r="I54" s="36" t="s">
        <v>60</v>
      </c>
      <c r="J54" s="36" t="s">
        <v>108</v>
      </c>
      <c r="K54" s="36" t="s">
        <v>109</v>
      </c>
      <c r="L54" s="36" t="s">
        <v>6</v>
      </c>
      <c r="M54" s="36" t="s">
        <v>110</v>
      </c>
      <c r="O54" s="36">
        <v>2</v>
      </c>
      <c r="P54" s="36">
        <v>2</v>
      </c>
      <c r="Q54" s="36">
        <v>0</v>
      </c>
      <c r="R54" s="36" t="s">
        <v>384</v>
      </c>
    </row>
    <row r="55" spans="1:18" x14ac:dyDescent="0.2">
      <c r="A55" s="38">
        <v>2016</v>
      </c>
      <c r="B55" s="36" t="s">
        <v>200</v>
      </c>
      <c r="C55" s="61">
        <v>18568</v>
      </c>
      <c r="D55" s="36">
        <v>25</v>
      </c>
      <c r="E55" s="37">
        <v>42543</v>
      </c>
      <c r="F55" s="36" t="s">
        <v>106</v>
      </c>
      <c r="G55" s="36" t="s">
        <v>47</v>
      </c>
      <c r="H55" s="36" t="s">
        <v>199</v>
      </c>
      <c r="I55" s="36" t="s">
        <v>60</v>
      </c>
      <c r="J55" s="36" t="s">
        <v>108</v>
      </c>
      <c r="K55" s="36" t="s">
        <v>109</v>
      </c>
      <c r="L55" s="36" t="s">
        <v>5</v>
      </c>
      <c r="M55" s="36" t="s">
        <v>110</v>
      </c>
      <c r="O55" s="36">
        <v>2</v>
      </c>
      <c r="P55" s="36">
        <v>2</v>
      </c>
      <c r="Q55" s="36">
        <v>0</v>
      </c>
      <c r="R55" s="36" t="s">
        <v>384</v>
      </c>
    </row>
    <row r="56" spans="1:18" x14ac:dyDescent="0.2">
      <c r="A56" s="38">
        <v>2016</v>
      </c>
      <c r="B56" s="36" t="s">
        <v>201</v>
      </c>
      <c r="C56" s="61">
        <v>18569</v>
      </c>
      <c r="D56" s="36">
        <v>25</v>
      </c>
      <c r="E56" s="37">
        <v>42543</v>
      </c>
      <c r="F56" s="36" t="s">
        <v>106</v>
      </c>
      <c r="G56" s="36" t="s">
        <v>47</v>
      </c>
      <c r="H56" s="36" t="s">
        <v>202</v>
      </c>
      <c r="I56" s="36" t="s">
        <v>60</v>
      </c>
      <c r="J56" s="36" t="s">
        <v>118</v>
      </c>
      <c r="K56" s="36" t="s">
        <v>109</v>
      </c>
      <c r="L56" s="36" t="s">
        <v>5</v>
      </c>
      <c r="M56" s="36" t="s">
        <v>110</v>
      </c>
      <c r="N56" s="36">
        <v>6</v>
      </c>
      <c r="P56" s="36">
        <v>6</v>
      </c>
      <c r="Q56" s="36">
        <v>0</v>
      </c>
      <c r="R56" s="36" t="s">
        <v>384</v>
      </c>
    </row>
    <row r="57" spans="1:18" x14ac:dyDescent="0.2">
      <c r="A57" s="38">
        <v>2016</v>
      </c>
      <c r="B57" s="36" t="s">
        <v>203</v>
      </c>
      <c r="C57" s="61">
        <v>18570</v>
      </c>
      <c r="D57" s="36">
        <v>25</v>
      </c>
      <c r="E57" s="37">
        <v>42543</v>
      </c>
      <c r="F57" s="36" t="s">
        <v>106</v>
      </c>
      <c r="G57" s="36" t="s">
        <v>9</v>
      </c>
      <c r="H57" s="36" t="s">
        <v>204</v>
      </c>
      <c r="I57" s="36" t="s">
        <v>9</v>
      </c>
      <c r="J57" s="36" t="s">
        <v>108</v>
      </c>
      <c r="K57" s="36" t="s">
        <v>109</v>
      </c>
      <c r="L57" s="36" t="s">
        <v>6</v>
      </c>
      <c r="M57" s="36" t="s">
        <v>110</v>
      </c>
      <c r="O57" s="36">
        <v>39</v>
      </c>
      <c r="P57" s="36">
        <v>39</v>
      </c>
      <c r="Q57" s="36">
        <v>0</v>
      </c>
      <c r="R57" s="36" t="s">
        <v>384</v>
      </c>
    </row>
    <row r="58" spans="1:18" x14ac:dyDescent="0.2">
      <c r="A58" s="38">
        <v>2016</v>
      </c>
      <c r="B58" s="36" t="s">
        <v>205</v>
      </c>
      <c r="C58" s="61">
        <v>18571</v>
      </c>
      <c r="D58" s="36">
        <v>25</v>
      </c>
      <c r="E58" s="37">
        <v>42543</v>
      </c>
      <c r="F58" s="36" t="s">
        <v>106</v>
      </c>
      <c r="G58" s="36" t="s">
        <v>47</v>
      </c>
      <c r="H58" s="36" t="s">
        <v>206</v>
      </c>
      <c r="I58" s="36" t="s">
        <v>60</v>
      </c>
      <c r="J58" s="36" t="s">
        <v>108</v>
      </c>
      <c r="K58" s="36" t="s">
        <v>109</v>
      </c>
      <c r="L58" s="36" t="s">
        <v>6</v>
      </c>
      <c r="M58" s="36" t="s">
        <v>110</v>
      </c>
      <c r="O58" s="36">
        <v>1</v>
      </c>
      <c r="P58" s="36">
        <v>1</v>
      </c>
      <c r="Q58" s="36">
        <v>0</v>
      </c>
      <c r="R58" s="36" t="s">
        <v>384</v>
      </c>
    </row>
    <row r="59" spans="1:18" x14ac:dyDescent="0.2">
      <c r="A59" s="38">
        <v>2016</v>
      </c>
      <c r="B59" s="36" t="s">
        <v>207</v>
      </c>
      <c r="C59" s="61">
        <v>18572</v>
      </c>
      <c r="D59" s="36">
        <v>25</v>
      </c>
      <c r="E59" s="37">
        <v>42543</v>
      </c>
      <c r="F59" s="36" t="s">
        <v>106</v>
      </c>
      <c r="G59" s="36" t="s">
        <v>47</v>
      </c>
      <c r="H59" s="36" t="s">
        <v>208</v>
      </c>
      <c r="I59" s="36" t="s">
        <v>60</v>
      </c>
      <c r="J59" s="36" t="s">
        <v>108</v>
      </c>
      <c r="K59" s="36" t="s">
        <v>109</v>
      </c>
      <c r="L59" s="36" t="s">
        <v>6</v>
      </c>
      <c r="M59" s="36" t="s">
        <v>110</v>
      </c>
      <c r="O59" s="36">
        <v>6</v>
      </c>
      <c r="P59" s="36">
        <v>6</v>
      </c>
      <c r="Q59" s="36">
        <v>0</v>
      </c>
      <c r="R59" s="36" t="s">
        <v>384</v>
      </c>
    </row>
    <row r="60" spans="1:18" x14ac:dyDescent="0.2">
      <c r="A60" s="38">
        <v>2016</v>
      </c>
      <c r="B60" s="36" t="s">
        <v>209</v>
      </c>
      <c r="C60" s="61">
        <v>18573</v>
      </c>
      <c r="D60" s="36">
        <v>25</v>
      </c>
      <c r="E60" s="37">
        <v>42543</v>
      </c>
      <c r="F60" s="36" t="s">
        <v>106</v>
      </c>
      <c r="G60" s="36" t="s">
        <v>47</v>
      </c>
      <c r="H60" s="36" t="s">
        <v>208</v>
      </c>
      <c r="I60" s="36" t="s">
        <v>60</v>
      </c>
      <c r="J60" s="36" t="s">
        <v>108</v>
      </c>
      <c r="K60" s="36" t="s">
        <v>109</v>
      </c>
      <c r="L60" s="36" t="s">
        <v>5</v>
      </c>
      <c r="M60" s="36" t="s">
        <v>110</v>
      </c>
      <c r="O60" s="36">
        <v>1</v>
      </c>
      <c r="P60" s="36">
        <v>1</v>
      </c>
      <c r="Q60" s="36">
        <v>0</v>
      </c>
      <c r="R60" s="36" t="s">
        <v>384</v>
      </c>
    </row>
    <row r="61" spans="1:18" x14ac:dyDescent="0.2">
      <c r="A61" s="38">
        <v>2016</v>
      </c>
      <c r="B61" s="36" t="s">
        <v>210</v>
      </c>
      <c r="C61" s="61">
        <v>18574</v>
      </c>
      <c r="D61" s="36">
        <v>25</v>
      </c>
      <c r="E61" s="37">
        <v>42543</v>
      </c>
      <c r="F61" s="36" t="s">
        <v>106</v>
      </c>
      <c r="G61" s="36" t="s">
        <v>47</v>
      </c>
      <c r="H61" s="36" t="s">
        <v>211</v>
      </c>
      <c r="I61" s="36" t="s">
        <v>63</v>
      </c>
      <c r="J61" s="36" t="s">
        <v>108</v>
      </c>
      <c r="K61" s="36" t="s">
        <v>109</v>
      </c>
      <c r="L61" s="36" t="s">
        <v>6</v>
      </c>
      <c r="M61" s="36" t="s">
        <v>110</v>
      </c>
      <c r="O61" s="36">
        <v>3</v>
      </c>
      <c r="P61" s="36">
        <v>3</v>
      </c>
      <c r="Q61" s="36">
        <v>0</v>
      </c>
      <c r="R61" s="36" t="s">
        <v>384</v>
      </c>
    </row>
    <row r="62" spans="1:18" x14ac:dyDescent="0.2">
      <c r="A62" s="38">
        <v>2016</v>
      </c>
      <c r="B62" s="36" t="s">
        <v>212</v>
      </c>
      <c r="C62" s="61">
        <v>18575</v>
      </c>
      <c r="D62" s="36">
        <v>25</v>
      </c>
      <c r="E62" s="37">
        <v>42543</v>
      </c>
      <c r="F62" s="36" t="s">
        <v>106</v>
      </c>
      <c r="G62" s="36" t="s">
        <v>47</v>
      </c>
      <c r="H62" s="36" t="s">
        <v>213</v>
      </c>
      <c r="I62" s="36" t="s">
        <v>63</v>
      </c>
      <c r="J62" s="36" t="s">
        <v>108</v>
      </c>
      <c r="K62" s="36" t="s">
        <v>109</v>
      </c>
      <c r="L62" s="36" t="s">
        <v>5</v>
      </c>
      <c r="M62" s="36" t="s">
        <v>110</v>
      </c>
      <c r="O62" s="36">
        <v>4</v>
      </c>
      <c r="P62" s="36">
        <v>4</v>
      </c>
      <c r="Q62" s="36">
        <v>0</v>
      </c>
      <c r="R62" s="36" t="s">
        <v>384</v>
      </c>
    </row>
    <row r="63" spans="1:18" x14ac:dyDescent="0.2">
      <c r="A63" s="38">
        <v>2016</v>
      </c>
      <c r="B63" s="36" t="s">
        <v>214</v>
      </c>
      <c r="C63" s="61">
        <v>18576</v>
      </c>
      <c r="D63" s="36">
        <v>25</v>
      </c>
      <c r="E63" s="37">
        <v>42544</v>
      </c>
      <c r="F63" s="36" t="s">
        <v>106</v>
      </c>
      <c r="G63" s="36" t="s">
        <v>47</v>
      </c>
      <c r="H63" s="36" t="s">
        <v>215</v>
      </c>
      <c r="I63" s="36" t="s">
        <v>63</v>
      </c>
      <c r="J63" s="36" t="s">
        <v>108</v>
      </c>
      <c r="K63" s="36" t="s">
        <v>109</v>
      </c>
      <c r="L63" s="36" t="s">
        <v>6</v>
      </c>
      <c r="M63" s="36" t="s">
        <v>110</v>
      </c>
      <c r="O63" s="36">
        <v>12</v>
      </c>
      <c r="P63" s="36">
        <v>12</v>
      </c>
      <c r="Q63" s="36">
        <v>0</v>
      </c>
      <c r="R63" s="36" t="s">
        <v>384</v>
      </c>
    </row>
    <row r="64" spans="1:18" x14ac:dyDescent="0.2">
      <c r="A64" s="38">
        <v>2016</v>
      </c>
      <c r="B64" s="36" t="s">
        <v>216</v>
      </c>
      <c r="C64" s="61">
        <v>18577</v>
      </c>
      <c r="D64" s="36">
        <v>25</v>
      </c>
      <c r="E64" s="37">
        <v>42544</v>
      </c>
      <c r="F64" s="36" t="s">
        <v>106</v>
      </c>
      <c r="G64" s="36" t="s">
        <v>47</v>
      </c>
      <c r="H64" s="36" t="s">
        <v>217</v>
      </c>
      <c r="I64" s="36" t="s">
        <v>60</v>
      </c>
      <c r="J64" s="36" t="s">
        <v>108</v>
      </c>
      <c r="K64" s="36" t="s">
        <v>109</v>
      </c>
      <c r="L64" s="36" t="s">
        <v>6</v>
      </c>
      <c r="M64" s="36" t="s">
        <v>110</v>
      </c>
      <c r="O64" s="36">
        <v>1</v>
      </c>
      <c r="P64" s="36">
        <v>1</v>
      </c>
      <c r="Q64" s="36">
        <v>0</v>
      </c>
      <c r="R64" s="36" t="s">
        <v>384</v>
      </c>
    </row>
    <row r="65" spans="1:18" x14ac:dyDescent="0.2">
      <c r="A65" s="38">
        <v>2016</v>
      </c>
      <c r="B65" s="36" t="s">
        <v>218</v>
      </c>
      <c r="C65" s="61">
        <v>18578</v>
      </c>
      <c r="D65" s="36">
        <v>25</v>
      </c>
      <c r="E65" s="37">
        <v>42544</v>
      </c>
      <c r="F65" s="36" t="s">
        <v>106</v>
      </c>
      <c r="G65" s="36" t="s">
        <v>47</v>
      </c>
      <c r="H65" s="36" t="s">
        <v>217</v>
      </c>
      <c r="I65" s="36" t="s">
        <v>60</v>
      </c>
      <c r="J65" s="36" t="s">
        <v>108</v>
      </c>
      <c r="K65" s="36" t="s">
        <v>109</v>
      </c>
      <c r="L65" s="36" t="s">
        <v>5</v>
      </c>
      <c r="M65" s="36" t="s">
        <v>110</v>
      </c>
      <c r="O65" s="36">
        <v>1</v>
      </c>
      <c r="P65" s="36">
        <v>1</v>
      </c>
      <c r="Q65" s="36">
        <v>0</v>
      </c>
      <c r="R65" s="36" t="s">
        <v>384</v>
      </c>
    </row>
    <row r="66" spans="1:18" x14ac:dyDescent="0.2">
      <c r="A66" s="38">
        <v>2016</v>
      </c>
      <c r="B66" s="36" t="s">
        <v>219</v>
      </c>
      <c r="C66" s="61">
        <v>18579</v>
      </c>
      <c r="D66" s="36">
        <v>25</v>
      </c>
      <c r="E66" s="37">
        <v>42544</v>
      </c>
      <c r="F66" s="36" t="s">
        <v>106</v>
      </c>
      <c r="G66" s="36" t="s">
        <v>47</v>
      </c>
      <c r="H66" s="36" t="s">
        <v>220</v>
      </c>
      <c r="I66" s="36" t="s">
        <v>63</v>
      </c>
      <c r="J66" s="36" t="s">
        <v>108</v>
      </c>
      <c r="K66" s="36" t="s">
        <v>109</v>
      </c>
      <c r="L66" s="36" t="s">
        <v>6</v>
      </c>
      <c r="M66" s="36" t="s">
        <v>110</v>
      </c>
      <c r="O66" s="36">
        <v>3</v>
      </c>
      <c r="P66" s="36">
        <v>3</v>
      </c>
      <c r="Q66" s="36">
        <v>0</v>
      </c>
      <c r="R66" s="36" t="s">
        <v>384</v>
      </c>
    </row>
    <row r="67" spans="1:18" x14ac:dyDescent="0.2">
      <c r="A67" s="38">
        <v>2016</v>
      </c>
      <c r="B67" s="36" t="s">
        <v>221</v>
      </c>
      <c r="C67" s="61">
        <v>18580</v>
      </c>
      <c r="D67" s="36">
        <v>25</v>
      </c>
      <c r="E67" s="37">
        <v>42544</v>
      </c>
      <c r="F67" s="36" t="s">
        <v>106</v>
      </c>
      <c r="G67" s="36" t="s">
        <v>47</v>
      </c>
      <c r="H67" s="36" t="s">
        <v>220</v>
      </c>
      <c r="I67" s="36" t="s">
        <v>63</v>
      </c>
      <c r="J67" s="36" t="s">
        <v>108</v>
      </c>
      <c r="K67" s="36" t="s">
        <v>109</v>
      </c>
      <c r="L67" s="36" t="s">
        <v>5</v>
      </c>
      <c r="M67" s="36" t="s">
        <v>110</v>
      </c>
      <c r="O67" s="36">
        <v>2</v>
      </c>
      <c r="P67" s="36">
        <v>2</v>
      </c>
      <c r="Q67" s="36">
        <v>0</v>
      </c>
      <c r="R67" s="36" t="s">
        <v>384</v>
      </c>
    </row>
    <row r="68" spans="1:18" x14ac:dyDescent="0.2">
      <c r="A68" s="38">
        <v>2016</v>
      </c>
      <c r="B68" s="36" t="s">
        <v>222</v>
      </c>
      <c r="C68" s="61">
        <v>18581</v>
      </c>
      <c r="D68" s="36">
        <v>25</v>
      </c>
      <c r="E68" s="37">
        <v>42544</v>
      </c>
      <c r="F68" s="36" t="s">
        <v>106</v>
      </c>
      <c r="G68" s="36" t="s">
        <v>47</v>
      </c>
      <c r="H68" s="36" t="s">
        <v>223</v>
      </c>
      <c r="I68" s="36" t="s">
        <v>62</v>
      </c>
      <c r="J68" s="36" t="s">
        <v>118</v>
      </c>
      <c r="K68" s="36" t="s">
        <v>109</v>
      </c>
      <c r="L68" s="36" t="s">
        <v>5</v>
      </c>
      <c r="M68" s="36" t="s">
        <v>110</v>
      </c>
      <c r="N68" s="36">
        <v>12</v>
      </c>
      <c r="P68" s="36">
        <v>12</v>
      </c>
      <c r="Q68" s="36">
        <v>0</v>
      </c>
      <c r="R68" s="36" t="s">
        <v>384</v>
      </c>
    </row>
    <row r="69" spans="1:18" x14ac:dyDescent="0.2">
      <c r="A69" s="38">
        <v>2016</v>
      </c>
      <c r="B69" s="36" t="s">
        <v>224</v>
      </c>
      <c r="C69" s="61">
        <v>18582</v>
      </c>
      <c r="D69" s="36">
        <v>25</v>
      </c>
      <c r="E69" s="37">
        <v>42544</v>
      </c>
      <c r="F69" s="36" t="s">
        <v>106</v>
      </c>
      <c r="G69" s="36" t="s">
        <v>47</v>
      </c>
      <c r="H69" s="36" t="s">
        <v>225</v>
      </c>
      <c r="I69" s="36" t="s">
        <v>62</v>
      </c>
      <c r="J69" s="36" t="s">
        <v>108</v>
      </c>
      <c r="K69" s="36" t="s">
        <v>109</v>
      </c>
      <c r="L69" s="36" t="s">
        <v>6</v>
      </c>
      <c r="M69" s="36" t="s">
        <v>110</v>
      </c>
      <c r="O69" s="36">
        <v>8</v>
      </c>
      <c r="P69" s="36">
        <v>8</v>
      </c>
      <c r="Q69" s="36">
        <v>0</v>
      </c>
      <c r="R69" s="36" t="s">
        <v>384</v>
      </c>
    </row>
    <row r="70" spans="1:18" x14ac:dyDescent="0.2">
      <c r="A70" s="38">
        <v>2016</v>
      </c>
      <c r="B70" s="36" t="s">
        <v>226</v>
      </c>
      <c r="C70" s="61">
        <v>18583</v>
      </c>
      <c r="D70" s="36">
        <v>25</v>
      </c>
      <c r="E70" s="37">
        <v>42544</v>
      </c>
      <c r="F70" s="36" t="s">
        <v>106</v>
      </c>
      <c r="G70" s="36" t="s">
        <v>47</v>
      </c>
      <c r="H70" s="36" t="s">
        <v>227</v>
      </c>
      <c r="I70" s="36" t="s">
        <v>62</v>
      </c>
      <c r="J70" s="36" t="s">
        <v>108</v>
      </c>
      <c r="K70" s="36" t="s">
        <v>109</v>
      </c>
      <c r="L70" s="36" t="s">
        <v>6</v>
      </c>
      <c r="M70" s="36" t="s">
        <v>110</v>
      </c>
      <c r="O70" s="36">
        <v>6</v>
      </c>
      <c r="P70" s="36">
        <v>6</v>
      </c>
      <c r="Q70" s="36">
        <v>0</v>
      </c>
      <c r="R70" s="36" t="s">
        <v>384</v>
      </c>
    </row>
    <row r="71" spans="1:18" x14ac:dyDescent="0.2">
      <c r="A71" s="36">
        <v>2016</v>
      </c>
      <c r="B71" s="36" t="s">
        <v>228</v>
      </c>
      <c r="C71" s="61">
        <v>18584</v>
      </c>
      <c r="D71" s="36">
        <v>25</v>
      </c>
      <c r="E71" s="37">
        <v>42544</v>
      </c>
      <c r="F71" s="36" t="s">
        <v>106</v>
      </c>
      <c r="G71" s="36" t="s">
        <v>47</v>
      </c>
      <c r="H71" s="36" t="s">
        <v>227</v>
      </c>
      <c r="I71" s="36" t="s">
        <v>62</v>
      </c>
      <c r="J71" s="36" t="s">
        <v>108</v>
      </c>
      <c r="K71" s="36" t="s">
        <v>109</v>
      </c>
      <c r="L71" s="36" t="s">
        <v>5</v>
      </c>
      <c r="M71" s="36" t="s">
        <v>110</v>
      </c>
      <c r="O71" s="36">
        <v>1</v>
      </c>
      <c r="P71" s="36">
        <v>1</v>
      </c>
      <c r="Q71" s="36">
        <v>0</v>
      </c>
      <c r="R71" s="36" t="s">
        <v>384</v>
      </c>
    </row>
    <row r="72" spans="1:18" x14ac:dyDescent="0.2">
      <c r="A72" s="36">
        <v>2016</v>
      </c>
      <c r="B72" s="36" t="s">
        <v>229</v>
      </c>
      <c r="C72" s="61">
        <v>18585</v>
      </c>
      <c r="D72" s="36">
        <v>25</v>
      </c>
      <c r="E72" s="37">
        <v>42544</v>
      </c>
      <c r="F72" s="36" t="s">
        <v>106</v>
      </c>
      <c r="G72" s="36" t="s">
        <v>47</v>
      </c>
      <c r="H72" s="36" t="s">
        <v>230</v>
      </c>
      <c r="I72" s="36" t="s">
        <v>63</v>
      </c>
      <c r="J72" s="36" t="s">
        <v>118</v>
      </c>
      <c r="K72" s="36" t="s">
        <v>109</v>
      </c>
      <c r="L72" s="36" t="s">
        <v>5</v>
      </c>
      <c r="M72" s="36" t="s">
        <v>110</v>
      </c>
      <c r="N72" s="36">
        <v>23</v>
      </c>
      <c r="P72" s="36">
        <v>23</v>
      </c>
      <c r="Q72" s="36">
        <v>0</v>
      </c>
      <c r="R72" s="36" t="s">
        <v>384</v>
      </c>
    </row>
    <row r="73" spans="1:18" x14ac:dyDescent="0.2">
      <c r="A73" s="36">
        <v>2016</v>
      </c>
      <c r="B73" s="36" t="s">
        <v>231</v>
      </c>
      <c r="C73" s="61">
        <v>18586</v>
      </c>
      <c r="D73" s="36">
        <v>25</v>
      </c>
      <c r="E73" s="37">
        <v>42544</v>
      </c>
      <c r="F73" s="36" t="s">
        <v>106</v>
      </c>
      <c r="G73" s="36" t="s">
        <v>47</v>
      </c>
      <c r="H73" s="36" t="s">
        <v>232</v>
      </c>
      <c r="I73" s="36" t="s">
        <v>63</v>
      </c>
      <c r="J73" s="36" t="s">
        <v>108</v>
      </c>
      <c r="K73" s="36" t="s">
        <v>109</v>
      </c>
      <c r="L73" s="36" t="s">
        <v>5</v>
      </c>
      <c r="M73" s="36" t="s">
        <v>110</v>
      </c>
      <c r="O73" s="36">
        <v>1</v>
      </c>
      <c r="P73" s="36">
        <v>1</v>
      </c>
      <c r="Q73" s="36">
        <v>0</v>
      </c>
      <c r="R73" s="36" t="s">
        <v>384</v>
      </c>
    </row>
    <row r="74" spans="1:18" x14ac:dyDescent="0.25">
      <c r="A74" s="36"/>
      <c r="E74" s="36"/>
    </row>
    <row r="75" spans="1:18" x14ac:dyDescent="0.25">
      <c r="A75" s="36"/>
      <c r="E75" s="36"/>
    </row>
    <row r="76" spans="1:18" x14ac:dyDescent="0.25">
      <c r="A76" s="36"/>
      <c r="E76" s="36"/>
    </row>
    <row r="77" spans="1:18" x14ac:dyDescent="0.25">
      <c r="A77" s="36"/>
      <c r="E77" s="36"/>
    </row>
    <row r="78" spans="1:18" x14ac:dyDescent="0.25">
      <c r="A78" s="36"/>
      <c r="E78" s="36"/>
    </row>
    <row r="79" spans="1:18" x14ac:dyDescent="0.25">
      <c r="A79" s="36"/>
      <c r="E79" s="36"/>
    </row>
    <row r="80" spans="1:18" x14ac:dyDescent="0.25">
      <c r="A80" s="36"/>
      <c r="E80" s="36"/>
    </row>
    <row r="81" spans="1:5" x14ac:dyDescent="0.25">
      <c r="A81" s="36"/>
      <c r="E81" s="36"/>
    </row>
    <row r="82" spans="1:5" x14ac:dyDescent="0.25">
      <c r="A82" s="36"/>
      <c r="E82" s="36"/>
    </row>
    <row r="83" spans="1:5" x14ac:dyDescent="0.25">
      <c r="A83" s="36"/>
      <c r="E83" s="36"/>
    </row>
    <row r="84" spans="1:5" x14ac:dyDescent="0.25">
      <c r="A84" s="36"/>
      <c r="E84" s="36"/>
    </row>
    <row r="85" spans="1:5" x14ac:dyDescent="0.25">
      <c r="A85" s="36"/>
      <c r="E85" s="36"/>
    </row>
    <row r="86" spans="1:5" x14ac:dyDescent="0.25">
      <c r="A86" s="36"/>
      <c r="E86" s="36"/>
    </row>
    <row r="87" spans="1:5" x14ac:dyDescent="0.25">
      <c r="A87" s="36"/>
      <c r="E87" s="36"/>
    </row>
    <row r="88" spans="1:5" x14ac:dyDescent="0.25">
      <c r="A88" s="36"/>
      <c r="E88" s="36"/>
    </row>
    <row r="89" spans="1:5" x14ac:dyDescent="0.25">
      <c r="A89" s="36"/>
      <c r="E89" s="36"/>
    </row>
    <row r="90" spans="1:5" x14ac:dyDescent="0.25">
      <c r="A90" s="36"/>
      <c r="E90" s="36"/>
    </row>
    <row r="91" spans="1:5" x14ac:dyDescent="0.25">
      <c r="A91" s="36"/>
      <c r="E91" s="36"/>
    </row>
    <row r="92" spans="1:5" x14ac:dyDescent="0.25">
      <c r="A92" s="36"/>
      <c r="E92" s="36"/>
    </row>
    <row r="93" spans="1:5" x14ac:dyDescent="0.25">
      <c r="A93" s="36"/>
      <c r="E93" s="36"/>
    </row>
    <row r="94" spans="1:5" x14ac:dyDescent="0.25">
      <c r="A94" s="36"/>
      <c r="E94" s="36"/>
    </row>
    <row r="95" spans="1:5" x14ac:dyDescent="0.25">
      <c r="A95" s="36"/>
      <c r="E95" s="36"/>
    </row>
    <row r="96" spans="1:5" x14ac:dyDescent="0.25">
      <c r="A96" s="36"/>
      <c r="E96" s="36"/>
    </row>
    <row r="97" spans="1:5" x14ac:dyDescent="0.25">
      <c r="A97" s="36"/>
      <c r="E97" s="36"/>
    </row>
    <row r="98" spans="1:5" x14ac:dyDescent="0.25">
      <c r="A98" s="36"/>
      <c r="E98" s="36"/>
    </row>
    <row r="99" spans="1:5" x14ac:dyDescent="0.25">
      <c r="A99" s="36"/>
      <c r="E99" s="36"/>
    </row>
    <row r="100" spans="1:5" x14ac:dyDescent="0.25">
      <c r="A100" s="36"/>
      <c r="E100" s="36"/>
    </row>
    <row r="101" spans="1:5" x14ac:dyDescent="0.25">
      <c r="A101" s="36"/>
      <c r="E101" s="36"/>
    </row>
    <row r="102" spans="1:5" x14ac:dyDescent="0.25">
      <c r="A102" s="36"/>
      <c r="E102" s="36"/>
    </row>
    <row r="103" spans="1:5" x14ac:dyDescent="0.25">
      <c r="A103" s="36"/>
      <c r="E103" s="36"/>
    </row>
    <row r="104" spans="1:5" x14ac:dyDescent="0.25">
      <c r="A104" s="36"/>
      <c r="E104" s="36"/>
    </row>
    <row r="105" spans="1:5" x14ac:dyDescent="0.25">
      <c r="A105" s="36"/>
      <c r="E105" s="36"/>
    </row>
    <row r="106" spans="1:5" x14ac:dyDescent="0.25">
      <c r="A106" s="36"/>
      <c r="E106" s="36"/>
    </row>
    <row r="107" spans="1:5" x14ac:dyDescent="0.25">
      <c r="A107" s="36"/>
      <c r="E107" s="36"/>
    </row>
    <row r="108" spans="1:5" x14ac:dyDescent="0.25">
      <c r="A108" s="36"/>
      <c r="E108" s="36"/>
    </row>
    <row r="109" spans="1:5" x14ac:dyDescent="0.25">
      <c r="A109" s="36"/>
      <c r="E109" s="36"/>
    </row>
    <row r="110" spans="1:5" x14ac:dyDescent="0.25">
      <c r="A110" s="36"/>
      <c r="E110" s="36"/>
    </row>
    <row r="111" spans="1:5" x14ac:dyDescent="0.25">
      <c r="A111" s="36"/>
      <c r="E111" s="36"/>
    </row>
    <row r="112" spans="1:5" x14ac:dyDescent="0.25">
      <c r="A112" s="36"/>
      <c r="E112" s="36"/>
    </row>
    <row r="113" spans="1:5" x14ac:dyDescent="0.25">
      <c r="A113" s="36"/>
      <c r="E113" s="36"/>
    </row>
    <row r="114" spans="1:5" x14ac:dyDescent="0.25">
      <c r="A114" s="36"/>
      <c r="E114" s="36"/>
    </row>
    <row r="115" spans="1:5" x14ac:dyDescent="0.25">
      <c r="A115" s="36"/>
      <c r="E115" s="36"/>
    </row>
    <row r="116" spans="1:5" x14ac:dyDescent="0.25">
      <c r="A116" s="36"/>
      <c r="E116" s="36"/>
    </row>
    <row r="117" spans="1:5" x14ac:dyDescent="0.25">
      <c r="A117" s="36"/>
      <c r="E117" s="36"/>
    </row>
    <row r="118" spans="1:5" x14ac:dyDescent="0.25">
      <c r="A118" s="36"/>
      <c r="E118" s="36"/>
    </row>
    <row r="119" spans="1:5" x14ac:dyDescent="0.25">
      <c r="A119" s="36"/>
      <c r="E119" s="36"/>
    </row>
    <row r="120" spans="1:5" x14ac:dyDescent="0.25">
      <c r="A120" s="36"/>
      <c r="E120" s="36"/>
    </row>
    <row r="121" spans="1:5" x14ac:dyDescent="0.25">
      <c r="A121" s="36"/>
      <c r="E121" s="36"/>
    </row>
    <row r="122" spans="1:5" x14ac:dyDescent="0.25">
      <c r="A122" s="36"/>
      <c r="E122" s="36"/>
    </row>
    <row r="123" spans="1:5" x14ac:dyDescent="0.25">
      <c r="A123" s="36"/>
      <c r="E123" s="36"/>
    </row>
    <row r="124" spans="1:5" x14ac:dyDescent="0.25">
      <c r="A124" s="36"/>
      <c r="E124" s="36"/>
    </row>
    <row r="125" spans="1:5" x14ac:dyDescent="0.25">
      <c r="A125" s="36"/>
      <c r="E125" s="36"/>
    </row>
    <row r="126" spans="1:5" x14ac:dyDescent="0.25">
      <c r="A126" s="36"/>
      <c r="E126" s="36"/>
    </row>
    <row r="127" spans="1:5" x14ac:dyDescent="0.25">
      <c r="A127" s="36"/>
      <c r="E127" s="36"/>
    </row>
    <row r="128" spans="1:5" x14ac:dyDescent="0.25">
      <c r="A128" s="36"/>
      <c r="E128" s="36"/>
    </row>
    <row r="129" spans="1:5" x14ac:dyDescent="0.25">
      <c r="A129" s="36"/>
      <c r="E129" s="36"/>
    </row>
    <row r="130" spans="1:5" x14ac:dyDescent="0.25">
      <c r="A130" s="36"/>
      <c r="E130" s="36"/>
    </row>
    <row r="131" spans="1:5" x14ac:dyDescent="0.25">
      <c r="A131" s="36"/>
      <c r="E131" s="36"/>
    </row>
    <row r="132" spans="1:5" x14ac:dyDescent="0.25">
      <c r="A132" s="36"/>
      <c r="E132" s="36"/>
    </row>
    <row r="133" spans="1:5" x14ac:dyDescent="0.25">
      <c r="A133" s="36"/>
      <c r="E133" s="36"/>
    </row>
    <row r="134" spans="1:5" x14ac:dyDescent="0.25">
      <c r="A134" s="36"/>
      <c r="E134" s="36"/>
    </row>
    <row r="135" spans="1:5" x14ac:dyDescent="0.25">
      <c r="A135" s="36"/>
      <c r="E135" s="36"/>
    </row>
    <row r="136" spans="1:5" x14ac:dyDescent="0.25">
      <c r="A136" s="36"/>
      <c r="E136" s="36"/>
    </row>
    <row r="137" spans="1:5" x14ac:dyDescent="0.25">
      <c r="A137" s="36"/>
      <c r="E137" s="36"/>
    </row>
    <row r="138" spans="1:5" x14ac:dyDescent="0.25">
      <c r="A138" s="36"/>
      <c r="E138" s="36"/>
    </row>
    <row r="139" spans="1:5" x14ac:dyDescent="0.25">
      <c r="A139" s="36"/>
      <c r="E139" s="36"/>
    </row>
    <row r="140" spans="1:5" x14ac:dyDescent="0.25">
      <c r="A140" s="36"/>
      <c r="E140" s="36"/>
    </row>
    <row r="141" spans="1:5" x14ac:dyDescent="0.25">
      <c r="A141" s="36"/>
      <c r="E141" s="36"/>
    </row>
    <row r="142" spans="1:5" x14ac:dyDescent="0.25">
      <c r="A142" s="36"/>
      <c r="E142" s="36"/>
    </row>
    <row r="143" spans="1:5" x14ac:dyDescent="0.25">
      <c r="A143" s="36"/>
      <c r="E143" s="36"/>
    </row>
    <row r="144" spans="1:5" x14ac:dyDescent="0.25">
      <c r="A144" s="36"/>
      <c r="E144" s="36"/>
    </row>
    <row r="145" spans="1:5" x14ac:dyDescent="0.25">
      <c r="A145" s="36"/>
      <c r="E145" s="36"/>
    </row>
    <row r="146" spans="1:5" x14ac:dyDescent="0.25">
      <c r="A146" s="36"/>
      <c r="E146" s="36"/>
    </row>
    <row r="147" spans="1:5" x14ac:dyDescent="0.25">
      <c r="A147" s="36"/>
      <c r="E147" s="36"/>
    </row>
    <row r="148" spans="1:5" x14ac:dyDescent="0.25">
      <c r="A148" s="36"/>
      <c r="E148" s="36"/>
    </row>
    <row r="149" spans="1:5" x14ac:dyDescent="0.25">
      <c r="A149" s="36"/>
      <c r="E149" s="36"/>
    </row>
    <row r="150" spans="1:5" x14ac:dyDescent="0.25">
      <c r="A150" s="36"/>
      <c r="E150" s="36"/>
    </row>
    <row r="151" spans="1:5" x14ac:dyDescent="0.25">
      <c r="A151" s="36"/>
      <c r="E151" s="36"/>
    </row>
    <row r="152" spans="1:5" x14ac:dyDescent="0.25">
      <c r="A152" s="36"/>
      <c r="E152" s="36"/>
    </row>
    <row r="153" spans="1:5" x14ac:dyDescent="0.25">
      <c r="A153" s="36"/>
      <c r="E153" s="36"/>
    </row>
    <row r="154" spans="1:5" x14ac:dyDescent="0.25">
      <c r="A154" s="36"/>
      <c r="E154" s="36"/>
    </row>
    <row r="155" spans="1:5" x14ac:dyDescent="0.25">
      <c r="A155" s="36"/>
      <c r="E155" s="36"/>
    </row>
    <row r="156" spans="1:5" x14ac:dyDescent="0.25">
      <c r="A156" s="36"/>
      <c r="E156" s="36"/>
    </row>
    <row r="157" spans="1:5" x14ac:dyDescent="0.25">
      <c r="A157" s="36"/>
      <c r="E157" s="36"/>
    </row>
    <row r="158" spans="1:5" x14ac:dyDescent="0.25">
      <c r="A158" s="36"/>
      <c r="E158" s="36"/>
    </row>
    <row r="159" spans="1:5" x14ac:dyDescent="0.25">
      <c r="A159" s="36"/>
      <c r="E159" s="36"/>
    </row>
    <row r="160" spans="1:5" x14ac:dyDescent="0.25">
      <c r="A160" s="36"/>
      <c r="E160" s="36"/>
    </row>
    <row r="161" spans="1:5" x14ac:dyDescent="0.25">
      <c r="A161" s="36"/>
      <c r="E161" s="36"/>
    </row>
    <row r="162" spans="1:5" x14ac:dyDescent="0.25">
      <c r="A162" s="36"/>
      <c r="E162" s="36"/>
    </row>
    <row r="163" spans="1:5" x14ac:dyDescent="0.25">
      <c r="A163" s="36"/>
      <c r="E163" s="36"/>
    </row>
    <row r="164" spans="1:5" x14ac:dyDescent="0.25">
      <c r="A164" s="36"/>
      <c r="E164" s="36"/>
    </row>
    <row r="165" spans="1:5" x14ac:dyDescent="0.25">
      <c r="A165" s="36"/>
      <c r="E165" s="36"/>
    </row>
    <row r="166" spans="1:5" x14ac:dyDescent="0.25">
      <c r="A166" s="36"/>
      <c r="E166" s="36"/>
    </row>
    <row r="167" spans="1:5" x14ac:dyDescent="0.25">
      <c r="A167" s="36"/>
      <c r="E167" s="36"/>
    </row>
    <row r="168" spans="1:5" x14ac:dyDescent="0.25">
      <c r="A168" s="36"/>
      <c r="E168" s="36"/>
    </row>
    <row r="169" spans="1:5" x14ac:dyDescent="0.25">
      <c r="A169" s="36"/>
      <c r="E169" s="36"/>
    </row>
    <row r="170" spans="1:5" x14ac:dyDescent="0.25">
      <c r="A170" s="36"/>
      <c r="E170" s="36"/>
    </row>
    <row r="171" spans="1:5" x14ac:dyDescent="0.25">
      <c r="A171" s="36"/>
      <c r="E171" s="36"/>
    </row>
    <row r="172" spans="1:5" x14ac:dyDescent="0.25">
      <c r="A172" s="36"/>
      <c r="E172" s="36"/>
    </row>
    <row r="173" spans="1:5" x14ac:dyDescent="0.25">
      <c r="A173" s="36"/>
      <c r="E173" s="36"/>
    </row>
    <row r="174" spans="1:5" x14ac:dyDescent="0.25">
      <c r="A174" s="36"/>
      <c r="E174" s="36"/>
    </row>
    <row r="175" spans="1:5" x14ac:dyDescent="0.25">
      <c r="A175" s="36"/>
      <c r="E175" s="36"/>
    </row>
    <row r="176" spans="1:5" x14ac:dyDescent="0.25">
      <c r="A176" s="36"/>
      <c r="E176" s="36"/>
    </row>
    <row r="177" spans="1:5" x14ac:dyDescent="0.25">
      <c r="A177" s="36"/>
      <c r="E177" s="36"/>
    </row>
    <row r="178" spans="1:5" x14ac:dyDescent="0.25">
      <c r="A178" s="36"/>
      <c r="E178" s="36"/>
    </row>
    <row r="179" spans="1:5" x14ac:dyDescent="0.25">
      <c r="A179" s="36"/>
      <c r="E179" s="36"/>
    </row>
    <row r="180" spans="1:5" x14ac:dyDescent="0.25">
      <c r="A180" s="36"/>
      <c r="E180" s="36"/>
    </row>
    <row r="181" spans="1:5" x14ac:dyDescent="0.25">
      <c r="A181" s="36"/>
      <c r="E181" s="36"/>
    </row>
    <row r="182" spans="1:5" x14ac:dyDescent="0.25">
      <c r="A182" s="36"/>
      <c r="E182" s="36"/>
    </row>
    <row r="183" spans="1:5" x14ac:dyDescent="0.25">
      <c r="A183" s="35"/>
    </row>
    <row r="184" spans="1:5" x14ac:dyDescent="0.25">
      <c r="A184" s="35"/>
    </row>
    <row r="185" spans="1:5" x14ac:dyDescent="0.25">
      <c r="A185" s="35"/>
    </row>
    <row r="186" spans="1:5" x14ac:dyDescent="0.25">
      <c r="A186" s="35"/>
    </row>
    <row r="187" spans="1:5" x14ac:dyDescent="0.25">
      <c r="A187" s="35"/>
    </row>
    <row r="188" spans="1:5" x14ac:dyDescent="0.25">
      <c r="A188" s="35"/>
    </row>
    <row r="189" spans="1:5" x14ac:dyDescent="0.25">
      <c r="A189" s="35"/>
    </row>
    <row r="190" spans="1:5" x14ac:dyDescent="0.25">
      <c r="A190" s="35"/>
    </row>
    <row r="191" spans="1:5" x14ac:dyDescent="0.25">
      <c r="A191" s="35"/>
    </row>
    <row r="192" spans="1:5" x14ac:dyDescent="0.25">
      <c r="A192" s="35"/>
    </row>
    <row r="193" spans="1:1" x14ac:dyDescent="0.25">
      <c r="A193" s="35"/>
    </row>
    <row r="194" spans="1:1" x14ac:dyDescent="0.25">
      <c r="A194" s="35"/>
    </row>
    <row r="195" spans="1:1" x14ac:dyDescent="0.25">
      <c r="A195" s="35"/>
    </row>
    <row r="196" spans="1:1" x14ac:dyDescent="0.25">
      <c r="A196" s="35"/>
    </row>
    <row r="197" spans="1:1" x14ac:dyDescent="0.25">
      <c r="A197" s="35"/>
    </row>
    <row r="198" spans="1:1" x14ac:dyDescent="0.25">
      <c r="A198" s="35"/>
    </row>
    <row r="199" spans="1:1" x14ac:dyDescent="0.25">
      <c r="A199" s="35"/>
    </row>
    <row r="200" spans="1:1" x14ac:dyDescent="0.25">
      <c r="A200" s="35"/>
    </row>
    <row r="201" spans="1:1" x14ac:dyDescent="0.25">
      <c r="A201" s="35"/>
    </row>
    <row r="202" spans="1:1" x14ac:dyDescent="0.25">
      <c r="A202" s="35"/>
    </row>
    <row r="203" spans="1:1" x14ac:dyDescent="0.25">
      <c r="A203" s="35"/>
    </row>
    <row r="204" spans="1:1" x14ac:dyDescent="0.25">
      <c r="A204" s="35"/>
    </row>
    <row r="205" spans="1:1" x14ac:dyDescent="0.25">
      <c r="A205" s="35"/>
    </row>
  </sheetData>
  <sortState ref="A2:U205">
    <sortCondition ref="B2:B205"/>
  </sortStat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93"/>
  <sheetViews>
    <sheetView workbookViewId="0">
      <selection activeCell="M80" sqref="M80"/>
    </sheetView>
  </sheetViews>
  <sheetFormatPr defaultRowHeight="15" x14ac:dyDescent="0.25"/>
  <cols>
    <col min="2" max="2" width="12.5703125" customWidth="1"/>
    <col min="3" max="3" width="14.5703125" customWidth="1"/>
    <col min="5" max="5" width="47.5703125" customWidth="1"/>
    <col min="6" max="6" width="13.5703125" customWidth="1"/>
    <col min="7" max="7" width="17" customWidth="1"/>
    <col min="8" max="8" width="17.140625" customWidth="1"/>
    <col min="9" max="9" width="16.85546875" customWidth="1"/>
    <col min="11" max="11" width="13.7109375" customWidth="1"/>
    <col min="12" max="12" width="13.28515625" customWidth="1"/>
  </cols>
  <sheetData>
    <row r="1" spans="1:13" x14ac:dyDescent="0.25">
      <c r="A1" s="44" t="s">
        <v>8</v>
      </c>
      <c r="B1" s="44" t="s">
        <v>0</v>
      </c>
      <c r="C1" s="44" t="s">
        <v>68</v>
      </c>
      <c r="D1" s="44" t="s">
        <v>46</v>
      </c>
      <c r="E1" s="44" t="s">
        <v>69</v>
      </c>
      <c r="F1" s="44" t="s">
        <v>70</v>
      </c>
      <c r="G1" s="44" t="s">
        <v>71</v>
      </c>
      <c r="H1" s="44" t="s">
        <v>72</v>
      </c>
      <c r="I1" s="44" t="s">
        <v>73</v>
      </c>
      <c r="J1" s="44" t="s">
        <v>74</v>
      </c>
      <c r="K1" s="44" t="s">
        <v>75</v>
      </c>
      <c r="L1" s="44" t="s">
        <v>45</v>
      </c>
    </row>
    <row r="2" spans="1:13" x14ac:dyDescent="0.25">
      <c r="A2" s="45">
        <v>25</v>
      </c>
      <c r="B2" s="45" t="s">
        <v>260</v>
      </c>
      <c r="C2" s="45" t="s">
        <v>215</v>
      </c>
      <c r="D2" s="45" t="s">
        <v>63</v>
      </c>
      <c r="E2" s="45" t="s">
        <v>275</v>
      </c>
      <c r="F2" s="45" t="s">
        <v>235</v>
      </c>
      <c r="G2" s="45" t="s">
        <v>236</v>
      </c>
      <c r="H2" s="45">
        <v>12</v>
      </c>
      <c r="I2" s="45">
        <v>0</v>
      </c>
      <c r="J2" s="45">
        <v>12</v>
      </c>
      <c r="K2" s="45">
        <v>30</v>
      </c>
    </row>
    <row r="3" spans="1:13" x14ac:dyDescent="0.25">
      <c r="A3">
        <v>25</v>
      </c>
      <c r="B3" t="s">
        <v>233</v>
      </c>
      <c r="C3" t="s">
        <v>177</v>
      </c>
      <c r="D3" t="s">
        <v>62</v>
      </c>
      <c r="E3" t="s">
        <v>342</v>
      </c>
      <c r="F3" t="s">
        <v>235</v>
      </c>
      <c r="G3" t="s">
        <v>236</v>
      </c>
      <c r="H3">
        <v>2</v>
      </c>
      <c r="I3">
        <v>0</v>
      </c>
      <c r="J3">
        <v>2</v>
      </c>
      <c r="K3">
        <v>13</v>
      </c>
    </row>
    <row r="4" spans="1:13" x14ac:dyDescent="0.25">
      <c r="A4" s="45">
        <v>25</v>
      </c>
      <c r="B4" s="45" t="s">
        <v>237</v>
      </c>
      <c r="C4" s="45" t="s">
        <v>143</v>
      </c>
      <c r="D4" s="45" t="s">
        <v>61</v>
      </c>
      <c r="E4" s="45" t="s">
        <v>271</v>
      </c>
      <c r="F4" s="45" t="s">
        <v>235</v>
      </c>
      <c r="G4" s="45" t="s">
        <v>236</v>
      </c>
      <c r="H4" s="45">
        <v>6</v>
      </c>
      <c r="I4" s="45">
        <v>7</v>
      </c>
      <c r="J4" s="45">
        <v>13</v>
      </c>
      <c r="K4" s="45">
        <v>359</v>
      </c>
    </row>
    <row r="5" spans="1:13" x14ac:dyDescent="0.25">
      <c r="A5">
        <v>25</v>
      </c>
      <c r="B5" t="s">
        <v>260</v>
      </c>
      <c r="C5" t="s">
        <v>217</v>
      </c>
      <c r="D5" t="s">
        <v>60</v>
      </c>
      <c r="E5" t="s">
        <v>345</v>
      </c>
      <c r="F5" t="s">
        <v>235</v>
      </c>
      <c r="G5" t="s">
        <v>236</v>
      </c>
      <c r="H5">
        <v>1</v>
      </c>
      <c r="I5">
        <v>1</v>
      </c>
      <c r="J5">
        <v>2</v>
      </c>
      <c r="K5">
        <v>18</v>
      </c>
    </row>
    <row r="6" spans="1:13" x14ac:dyDescent="0.25">
      <c r="A6" s="45">
        <v>25</v>
      </c>
      <c r="B6" s="45" t="s">
        <v>237</v>
      </c>
      <c r="C6" s="45" t="s">
        <v>112</v>
      </c>
      <c r="D6" s="45" t="s">
        <v>61</v>
      </c>
      <c r="E6" s="45" t="s">
        <v>302</v>
      </c>
      <c r="F6" s="45" t="s">
        <v>235</v>
      </c>
      <c r="G6" s="45" t="s">
        <v>236</v>
      </c>
      <c r="H6" s="45">
        <v>4</v>
      </c>
      <c r="I6" s="45">
        <v>2</v>
      </c>
      <c r="J6" s="45">
        <v>6</v>
      </c>
      <c r="K6" s="45">
        <v>10</v>
      </c>
    </row>
    <row r="7" spans="1:13" x14ac:dyDescent="0.25">
      <c r="A7">
        <v>25</v>
      </c>
      <c r="B7" t="s">
        <v>240</v>
      </c>
      <c r="C7" t="s">
        <v>382</v>
      </c>
      <c r="D7" t="s">
        <v>60</v>
      </c>
      <c r="E7" t="s">
        <v>383</v>
      </c>
      <c r="F7" t="s">
        <v>235</v>
      </c>
      <c r="G7" t="s">
        <v>236</v>
      </c>
      <c r="H7">
        <v>0</v>
      </c>
      <c r="I7">
        <v>0</v>
      </c>
      <c r="J7">
        <v>0</v>
      </c>
      <c r="K7">
        <v>0</v>
      </c>
      <c r="M7" t="s">
        <v>373</v>
      </c>
    </row>
    <row r="8" spans="1:13" x14ac:dyDescent="0.25">
      <c r="A8" s="45">
        <v>25</v>
      </c>
      <c r="B8" s="45" t="s">
        <v>237</v>
      </c>
      <c r="C8" s="45" t="s">
        <v>136</v>
      </c>
      <c r="D8" s="45" t="s">
        <v>61</v>
      </c>
      <c r="E8" s="45" t="s">
        <v>329</v>
      </c>
      <c r="F8" s="45" t="s">
        <v>235</v>
      </c>
      <c r="G8" s="45" t="s">
        <v>236</v>
      </c>
      <c r="H8" s="45">
        <v>0</v>
      </c>
      <c r="I8" s="45">
        <v>3</v>
      </c>
      <c r="J8" s="45">
        <v>3</v>
      </c>
      <c r="K8" s="45">
        <v>66</v>
      </c>
    </row>
    <row r="9" spans="1:13" x14ac:dyDescent="0.25">
      <c r="A9" s="45">
        <v>25</v>
      </c>
      <c r="B9" s="45" t="s">
        <v>233</v>
      </c>
      <c r="C9" s="45" t="s">
        <v>173</v>
      </c>
      <c r="D9" s="45" t="s">
        <v>62</v>
      </c>
      <c r="E9" s="45" t="s">
        <v>295</v>
      </c>
      <c r="F9" s="45" t="s">
        <v>235</v>
      </c>
      <c r="G9" s="45" t="s">
        <v>236</v>
      </c>
      <c r="H9" s="45">
        <v>7</v>
      </c>
      <c r="I9" s="45">
        <v>0</v>
      </c>
      <c r="J9" s="45">
        <v>7</v>
      </c>
      <c r="K9" s="45">
        <v>29</v>
      </c>
    </row>
    <row r="10" spans="1:13" x14ac:dyDescent="0.25">
      <c r="A10">
        <v>25</v>
      </c>
      <c r="B10" t="s">
        <v>233</v>
      </c>
      <c r="C10" t="s">
        <v>171</v>
      </c>
      <c r="D10" t="s">
        <v>62</v>
      </c>
      <c r="E10" t="s">
        <v>353</v>
      </c>
      <c r="F10" t="s">
        <v>235</v>
      </c>
      <c r="G10" t="s">
        <v>236</v>
      </c>
      <c r="H10">
        <v>1</v>
      </c>
      <c r="I10">
        <v>0</v>
      </c>
      <c r="J10">
        <v>1</v>
      </c>
      <c r="K10">
        <v>9</v>
      </c>
    </row>
    <row r="11" spans="1:13" x14ac:dyDescent="0.25">
      <c r="A11" s="45">
        <v>25</v>
      </c>
      <c r="B11" s="45" t="s">
        <v>260</v>
      </c>
      <c r="C11" s="45" t="s">
        <v>286</v>
      </c>
      <c r="D11" s="45" t="s">
        <v>62</v>
      </c>
      <c r="E11" s="45" t="s">
        <v>274</v>
      </c>
      <c r="F11" s="45" t="s">
        <v>235</v>
      </c>
      <c r="G11" s="45" t="s">
        <v>236</v>
      </c>
      <c r="H11" s="45">
        <v>8</v>
      </c>
      <c r="I11" s="45">
        <v>0</v>
      </c>
      <c r="J11" s="45">
        <v>8</v>
      </c>
      <c r="K11" s="45">
        <v>20</v>
      </c>
    </row>
    <row r="12" spans="1:13" x14ac:dyDescent="0.25">
      <c r="A12" s="45">
        <v>25</v>
      </c>
      <c r="B12" s="45" t="s">
        <v>233</v>
      </c>
      <c r="C12" s="45" t="s">
        <v>166</v>
      </c>
      <c r="D12" s="45" t="s">
        <v>62</v>
      </c>
      <c r="E12" s="45" t="s">
        <v>253</v>
      </c>
      <c r="F12" s="45" t="s">
        <v>235</v>
      </c>
      <c r="G12" s="45" t="s">
        <v>236</v>
      </c>
      <c r="H12" s="45">
        <v>0</v>
      </c>
      <c r="I12" s="45">
        <v>32</v>
      </c>
      <c r="J12" s="45">
        <v>32</v>
      </c>
      <c r="K12" s="45">
        <v>55</v>
      </c>
    </row>
    <row r="13" spans="1:13" x14ac:dyDescent="0.25">
      <c r="A13" s="45">
        <v>25</v>
      </c>
      <c r="B13" s="45" t="s">
        <v>237</v>
      </c>
      <c r="C13" s="45" t="s">
        <v>107</v>
      </c>
      <c r="D13" s="45" t="s">
        <v>61</v>
      </c>
      <c r="E13" s="45" t="s">
        <v>301</v>
      </c>
      <c r="F13" s="45" t="s">
        <v>235</v>
      </c>
      <c r="G13" s="45" t="s">
        <v>236</v>
      </c>
      <c r="H13" s="45">
        <v>6</v>
      </c>
      <c r="I13" s="45">
        <v>0</v>
      </c>
      <c r="J13" s="45">
        <v>6</v>
      </c>
      <c r="K13" s="45">
        <v>32</v>
      </c>
    </row>
    <row r="14" spans="1:13" x14ac:dyDescent="0.25">
      <c r="A14" s="45">
        <v>25</v>
      </c>
      <c r="B14" s="45" t="s">
        <v>237</v>
      </c>
      <c r="C14" s="45" t="s">
        <v>149</v>
      </c>
      <c r="D14" s="45" t="s">
        <v>60</v>
      </c>
      <c r="E14" s="45" t="s">
        <v>319</v>
      </c>
      <c r="F14" s="45" t="s">
        <v>235</v>
      </c>
      <c r="G14" s="45" t="s">
        <v>236</v>
      </c>
      <c r="H14" s="45">
        <v>4</v>
      </c>
      <c r="I14" s="45">
        <v>0</v>
      </c>
      <c r="J14" s="45">
        <v>4</v>
      </c>
      <c r="K14" s="45">
        <v>1073</v>
      </c>
    </row>
    <row r="15" spans="1:13" x14ac:dyDescent="0.25">
      <c r="A15">
        <v>25</v>
      </c>
      <c r="B15" t="s">
        <v>260</v>
      </c>
      <c r="C15" t="s">
        <v>374</v>
      </c>
      <c r="D15" t="s">
        <v>63</v>
      </c>
      <c r="E15" t="s">
        <v>375</v>
      </c>
      <c r="F15" t="s">
        <v>235</v>
      </c>
      <c r="G15" t="s">
        <v>236</v>
      </c>
      <c r="H15">
        <v>0</v>
      </c>
      <c r="I15">
        <v>0</v>
      </c>
      <c r="J15">
        <v>0</v>
      </c>
      <c r="K15">
        <v>17</v>
      </c>
    </row>
    <row r="16" spans="1:13" x14ac:dyDescent="0.25">
      <c r="A16" s="45">
        <v>25</v>
      </c>
      <c r="B16" s="45" t="s">
        <v>237</v>
      </c>
      <c r="C16" s="45" t="s">
        <v>115</v>
      </c>
      <c r="D16" s="45" t="s">
        <v>61</v>
      </c>
      <c r="E16" s="45" t="s">
        <v>320</v>
      </c>
      <c r="F16" s="45" t="s">
        <v>235</v>
      </c>
      <c r="G16" s="45" t="s">
        <v>236</v>
      </c>
      <c r="H16" s="45">
        <v>4</v>
      </c>
      <c r="I16" s="45">
        <v>0</v>
      </c>
      <c r="J16" s="45">
        <v>4</v>
      </c>
      <c r="K16" s="45">
        <v>74</v>
      </c>
    </row>
    <row r="17" spans="1:13" x14ac:dyDescent="0.25">
      <c r="A17" s="45">
        <v>25</v>
      </c>
      <c r="B17" s="45" t="s">
        <v>233</v>
      </c>
      <c r="C17" s="45" t="s">
        <v>162</v>
      </c>
      <c r="D17" s="45" t="s">
        <v>62</v>
      </c>
      <c r="E17" s="45" t="s">
        <v>252</v>
      </c>
      <c r="F17" s="45" t="s">
        <v>235</v>
      </c>
      <c r="G17" s="45" t="s">
        <v>236</v>
      </c>
      <c r="H17" s="45">
        <v>33</v>
      </c>
      <c r="I17" s="45">
        <v>0</v>
      </c>
      <c r="J17" s="45">
        <v>33</v>
      </c>
      <c r="K17" s="45">
        <v>42</v>
      </c>
    </row>
    <row r="18" spans="1:13" x14ac:dyDescent="0.25">
      <c r="A18" s="45">
        <v>25</v>
      </c>
      <c r="B18" s="45" t="s">
        <v>237</v>
      </c>
      <c r="C18" s="45" t="s">
        <v>133</v>
      </c>
      <c r="D18" s="45" t="s">
        <v>61</v>
      </c>
      <c r="E18" s="45" t="s">
        <v>266</v>
      </c>
      <c r="F18" s="45" t="s">
        <v>235</v>
      </c>
      <c r="G18" s="45" t="s">
        <v>236</v>
      </c>
      <c r="H18" s="45">
        <v>9</v>
      </c>
      <c r="I18" s="45">
        <v>7</v>
      </c>
      <c r="J18" s="45">
        <v>16</v>
      </c>
      <c r="K18" s="45">
        <v>126</v>
      </c>
    </row>
    <row r="19" spans="1:13" x14ac:dyDescent="0.25">
      <c r="A19">
        <v>25</v>
      </c>
      <c r="B19" t="s">
        <v>240</v>
      </c>
      <c r="C19" t="s">
        <v>191</v>
      </c>
      <c r="D19" t="s">
        <v>60</v>
      </c>
      <c r="E19" t="s">
        <v>347</v>
      </c>
      <c r="F19" t="s">
        <v>235</v>
      </c>
      <c r="G19" t="s">
        <v>236</v>
      </c>
      <c r="H19">
        <v>2</v>
      </c>
      <c r="I19">
        <v>0</v>
      </c>
      <c r="J19">
        <v>2</v>
      </c>
      <c r="K19">
        <v>29</v>
      </c>
    </row>
    <row r="20" spans="1:13" x14ac:dyDescent="0.25">
      <c r="A20">
        <v>25</v>
      </c>
      <c r="B20" t="s">
        <v>233</v>
      </c>
      <c r="C20" t="s">
        <v>361</v>
      </c>
      <c r="D20" t="s">
        <v>62</v>
      </c>
      <c r="E20" t="s">
        <v>362</v>
      </c>
      <c r="F20" t="s">
        <v>235</v>
      </c>
      <c r="G20" t="s">
        <v>236</v>
      </c>
      <c r="H20">
        <v>0</v>
      </c>
      <c r="I20">
        <v>0</v>
      </c>
      <c r="J20">
        <v>0</v>
      </c>
      <c r="K20">
        <v>16</v>
      </c>
    </row>
    <row r="21" spans="1:13" x14ac:dyDescent="0.25">
      <c r="A21">
        <v>25</v>
      </c>
      <c r="B21" t="s">
        <v>233</v>
      </c>
      <c r="C21" t="s">
        <v>363</v>
      </c>
      <c r="D21" t="s">
        <v>62</v>
      </c>
      <c r="E21" t="s">
        <v>364</v>
      </c>
      <c r="F21" t="s">
        <v>235</v>
      </c>
      <c r="G21" t="s">
        <v>236</v>
      </c>
      <c r="H21">
        <v>0</v>
      </c>
      <c r="I21">
        <v>0</v>
      </c>
      <c r="J21">
        <v>0</v>
      </c>
      <c r="K21">
        <v>7</v>
      </c>
    </row>
    <row r="22" spans="1:13" x14ac:dyDescent="0.25">
      <c r="A22" s="45">
        <v>25</v>
      </c>
      <c r="B22" s="45" t="s">
        <v>240</v>
      </c>
      <c r="C22" s="45" t="s">
        <v>213</v>
      </c>
      <c r="D22" s="45" t="s">
        <v>63</v>
      </c>
      <c r="E22" s="45" t="s">
        <v>321</v>
      </c>
      <c r="F22" s="45" t="s">
        <v>235</v>
      </c>
      <c r="G22" s="45" t="s">
        <v>236</v>
      </c>
      <c r="H22" s="45">
        <v>0</v>
      </c>
      <c r="I22" s="45">
        <v>4</v>
      </c>
      <c r="J22" s="45">
        <v>4</v>
      </c>
      <c r="K22" s="45">
        <v>16</v>
      </c>
    </row>
    <row r="23" spans="1:13" x14ac:dyDescent="0.25">
      <c r="A23" s="45">
        <v>25</v>
      </c>
      <c r="B23" s="45" t="s">
        <v>233</v>
      </c>
      <c r="C23" s="45" t="s">
        <v>164</v>
      </c>
      <c r="D23" s="45" t="s">
        <v>62</v>
      </c>
      <c r="E23" s="45" t="s">
        <v>336</v>
      </c>
      <c r="F23" s="45" t="s">
        <v>235</v>
      </c>
      <c r="G23" s="45" t="s">
        <v>236</v>
      </c>
      <c r="H23" s="45">
        <v>0</v>
      </c>
      <c r="I23" s="45">
        <v>2</v>
      </c>
      <c r="J23" s="45">
        <v>2</v>
      </c>
      <c r="K23" s="45">
        <v>10</v>
      </c>
    </row>
    <row r="24" spans="1:13" x14ac:dyDescent="0.25">
      <c r="A24" s="45">
        <v>25</v>
      </c>
      <c r="B24" s="45" t="s">
        <v>240</v>
      </c>
      <c r="C24" s="45" t="s">
        <v>208</v>
      </c>
      <c r="D24" s="45" t="s">
        <v>60</v>
      </c>
      <c r="E24" s="45" t="s">
        <v>287</v>
      </c>
      <c r="F24" s="45" t="s">
        <v>235</v>
      </c>
      <c r="G24" s="45" t="s">
        <v>236</v>
      </c>
      <c r="H24" s="45">
        <v>6</v>
      </c>
      <c r="I24" s="45">
        <v>1</v>
      </c>
      <c r="J24" s="45">
        <v>7</v>
      </c>
      <c r="K24" s="45">
        <v>73</v>
      </c>
    </row>
    <row r="25" spans="1:13" x14ac:dyDescent="0.25">
      <c r="A25" s="45">
        <v>25</v>
      </c>
      <c r="B25" s="45" t="s">
        <v>233</v>
      </c>
      <c r="C25" s="45" t="s">
        <v>168</v>
      </c>
      <c r="D25" s="45" t="s">
        <v>62</v>
      </c>
      <c r="E25" s="45" t="s">
        <v>251</v>
      </c>
      <c r="F25" s="45" t="s">
        <v>235</v>
      </c>
      <c r="G25" s="45" t="s">
        <v>236</v>
      </c>
      <c r="H25" s="45">
        <v>29</v>
      </c>
      <c r="I25" s="45">
        <v>5</v>
      </c>
      <c r="J25" s="45">
        <v>34</v>
      </c>
      <c r="K25" s="45">
        <v>69</v>
      </c>
    </row>
    <row r="26" spans="1:13" x14ac:dyDescent="0.25">
      <c r="A26" s="45">
        <v>25</v>
      </c>
      <c r="B26" s="45" t="s">
        <v>260</v>
      </c>
      <c r="C26" s="45" t="s">
        <v>227</v>
      </c>
      <c r="D26" s="45" t="s">
        <v>62</v>
      </c>
      <c r="E26" s="45" t="s">
        <v>290</v>
      </c>
      <c r="F26" s="45" t="s">
        <v>235</v>
      </c>
      <c r="G26" s="45" t="s">
        <v>236</v>
      </c>
      <c r="H26" s="45">
        <v>6</v>
      </c>
      <c r="I26" s="45">
        <v>1</v>
      </c>
      <c r="J26" s="45">
        <v>7</v>
      </c>
      <c r="K26" s="45">
        <v>22</v>
      </c>
    </row>
    <row r="27" spans="1:13" x14ac:dyDescent="0.25">
      <c r="A27">
        <v>25</v>
      </c>
      <c r="B27" t="s">
        <v>260</v>
      </c>
      <c r="C27" t="s">
        <v>376</v>
      </c>
      <c r="D27" t="s">
        <v>63</v>
      </c>
      <c r="E27" t="s">
        <v>377</v>
      </c>
      <c r="F27" t="s">
        <v>235</v>
      </c>
      <c r="G27" t="s">
        <v>236</v>
      </c>
      <c r="H27">
        <v>0</v>
      </c>
      <c r="I27">
        <v>0</v>
      </c>
      <c r="J27">
        <v>0</v>
      </c>
      <c r="K27">
        <v>0</v>
      </c>
      <c r="M27" t="s">
        <v>373</v>
      </c>
    </row>
    <row r="28" spans="1:13" x14ac:dyDescent="0.25">
      <c r="A28" s="45">
        <v>25</v>
      </c>
      <c r="B28" s="45" t="s">
        <v>240</v>
      </c>
      <c r="C28" s="45" t="s">
        <v>211</v>
      </c>
      <c r="D28" s="45" t="s">
        <v>63</v>
      </c>
      <c r="E28" s="45" t="s">
        <v>328</v>
      </c>
      <c r="F28" s="45" t="s">
        <v>235</v>
      </c>
      <c r="G28" s="45" t="s">
        <v>236</v>
      </c>
      <c r="H28" s="45">
        <v>3</v>
      </c>
      <c r="I28" s="45">
        <v>0</v>
      </c>
      <c r="J28" s="45">
        <v>3</v>
      </c>
      <c r="K28" s="45">
        <v>151</v>
      </c>
    </row>
    <row r="29" spans="1:13" x14ac:dyDescent="0.25">
      <c r="A29">
        <v>25</v>
      </c>
      <c r="B29" t="s">
        <v>233</v>
      </c>
      <c r="C29" t="s">
        <v>181</v>
      </c>
      <c r="D29" t="s">
        <v>62</v>
      </c>
      <c r="E29" t="s">
        <v>354</v>
      </c>
      <c r="F29" t="s">
        <v>235</v>
      </c>
      <c r="G29" t="s">
        <v>236</v>
      </c>
      <c r="H29">
        <v>0</v>
      </c>
      <c r="I29">
        <v>1</v>
      </c>
      <c r="J29">
        <v>1</v>
      </c>
      <c r="K29">
        <v>68</v>
      </c>
    </row>
    <row r="30" spans="1:13" x14ac:dyDescent="0.25">
      <c r="A30" s="45">
        <v>25</v>
      </c>
      <c r="B30" s="45" t="s">
        <v>240</v>
      </c>
      <c r="C30" s="45" t="s">
        <v>199</v>
      </c>
      <c r="D30" s="45" t="s">
        <v>60</v>
      </c>
      <c r="E30" s="45" t="s">
        <v>322</v>
      </c>
      <c r="F30" s="45" t="s">
        <v>235</v>
      </c>
      <c r="G30" s="45" t="s">
        <v>236</v>
      </c>
      <c r="H30" s="45">
        <v>2</v>
      </c>
      <c r="I30" s="45">
        <v>2</v>
      </c>
      <c r="J30" s="45">
        <v>4</v>
      </c>
      <c r="K30" s="45">
        <v>9</v>
      </c>
    </row>
    <row r="31" spans="1:13" x14ac:dyDescent="0.25">
      <c r="A31" s="45">
        <v>25</v>
      </c>
      <c r="B31" s="45" t="s">
        <v>240</v>
      </c>
      <c r="C31" s="45" t="s">
        <v>196</v>
      </c>
      <c r="D31" s="45" t="s">
        <v>60</v>
      </c>
      <c r="E31" s="45" t="s">
        <v>325</v>
      </c>
      <c r="F31" s="45" t="s">
        <v>235</v>
      </c>
      <c r="G31" s="45" t="s">
        <v>236</v>
      </c>
      <c r="H31" s="45">
        <v>2</v>
      </c>
      <c r="I31" s="45">
        <v>1</v>
      </c>
      <c r="J31" s="45">
        <v>3</v>
      </c>
      <c r="K31" s="45">
        <v>205</v>
      </c>
    </row>
    <row r="32" spans="1:13" x14ac:dyDescent="0.25">
      <c r="A32">
        <v>25</v>
      </c>
      <c r="B32" t="s">
        <v>260</v>
      </c>
      <c r="C32" t="s">
        <v>232</v>
      </c>
      <c r="D32" t="s">
        <v>63</v>
      </c>
      <c r="E32" t="s">
        <v>352</v>
      </c>
      <c r="F32" t="s">
        <v>235</v>
      </c>
      <c r="G32" t="s">
        <v>236</v>
      </c>
      <c r="H32">
        <v>0</v>
      </c>
      <c r="I32">
        <v>1</v>
      </c>
      <c r="J32">
        <v>1</v>
      </c>
      <c r="K32">
        <v>18</v>
      </c>
    </row>
    <row r="33" spans="1:13" x14ac:dyDescent="0.25">
      <c r="A33">
        <v>25</v>
      </c>
      <c r="B33" t="s">
        <v>240</v>
      </c>
      <c r="C33" t="s">
        <v>206</v>
      </c>
      <c r="D33" t="s">
        <v>60</v>
      </c>
      <c r="E33" t="s">
        <v>307</v>
      </c>
      <c r="F33" t="s">
        <v>235</v>
      </c>
      <c r="G33" t="s">
        <v>236</v>
      </c>
      <c r="H33">
        <v>1</v>
      </c>
      <c r="I33">
        <v>0</v>
      </c>
      <c r="J33">
        <v>1</v>
      </c>
      <c r="K33">
        <v>40</v>
      </c>
    </row>
    <row r="34" spans="1:13" x14ac:dyDescent="0.25">
      <c r="A34" s="45">
        <v>25</v>
      </c>
      <c r="B34" s="45" t="s">
        <v>233</v>
      </c>
      <c r="C34" s="45" t="s">
        <v>160</v>
      </c>
      <c r="D34" s="45" t="s">
        <v>62</v>
      </c>
      <c r="E34" s="45" t="s">
        <v>312</v>
      </c>
      <c r="F34" s="45" t="s">
        <v>235</v>
      </c>
      <c r="G34" s="45" t="s">
        <v>236</v>
      </c>
      <c r="H34" s="45">
        <v>4</v>
      </c>
      <c r="I34" s="45">
        <v>0</v>
      </c>
      <c r="J34" s="45">
        <v>4</v>
      </c>
      <c r="K34" s="45">
        <v>37</v>
      </c>
    </row>
    <row r="35" spans="1:13" x14ac:dyDescent="0.25">
      <c r="A35" s="45">
        <v>25</v>
      </c>
      <c r="B35" s="45" t="s">
        <v>237</v>
      </c>
      <c r="C35" s="45" t="s">
        <v>122</v>
      </c>
      <c r="D35" s="45" t="s">
        <v>61</v>
      </c>
      <c r="E35" s="45" t="s">
        <v>250</v>
      </c>
      <c r="F35" s="45" t="s">
        <v>235</v>
      </c>
      <c r="G35" s="45" t="s">
        <v>236</v>
      </c>
      <c r="H35" s="45">
        <v>33</v>
      </c>
      <c r="I35" s="45">
        <v>3</v>
      </c>
      <c r="J35" s="45">
        <v>36</v>
      </c>
      <c r="K35" s="45">
        <v>315</v>
      </c>
    </row>
    <row r="36" spans="1:13" x14ac:dyDescent="0.25">
      <c r="A36" s="45">
        <v>25</v>
      </c>
      <c r="B36" s="45" t="s">
        <v>237</v>
      </c>
      <c r="C36" s="45" t="s">
        <v>146</v>
      </c>
      <c r="D36" s="45" t="s">
        <v>61</v>
      </c>
      <c r="E36" s="45" t="s">
        <v>257</v>
      </c>
      <c r="F36" s="45" t="s">
        <v>235</v>
      </c>
      <c r="G36" s="45" t="s">
        <v>236</v>
      </c>
      <c r="H36" s="45">
        <v>23</v>
      </c>
      <c r="I36" s="45">
        <v>4</v>
      </c>
      <c r="J36" s="45">
        <v>27</v>
      </c>
      <c r="K36" s="45">
        <v>1933</v>
      </c>
    </row>
    <row r="37" spans="1:13" x14ac:dyDescent="0.25">
      <c r="A37">
        <v>25</v>
      </c>
      <c r="B37" t="s">
        <v>260</v>
      </c>
      <c r="C37" t="s">
        <v>369</v>
      </c>
      <c r="D37" t="s">
        <v>63</v>
      </c>
      <c r="E37" t="s">
        <v>370</v>
      </c>
      <c r="F37" t="s">
        <v>235</v>
      </c>
      <c r="G37" t="s">
        <v>236</v>
      </c>
      <c r="H37">
        <v>0</v>
      </c>
      <c r="I37">
        <v>0</v>
      </c>
      <c r="J37">
        <v>0</v>
      </c>
      <c r="K37">
        <v>2</v>
      </c>
    </row>
    <row r="38" spans="1:13" x14ac:dyDescent="0.25">
      <c r="A38">
        <v>25</v>
      </c>
      <c r="B38" t="s">
        <v>237</v>
      </c>
      <c r="C38" t="s">
        <v>359</v>
      </c>
      <c r="D38" t="s">
        <v>61</v>
      </c>
      <c r="E38" t="s">
        <v>360</v>
      </c>
      <c r="F38" t="s">
        <v>235</v>
      </c>
      <c r="G38" t="s">
        <v>236</v>
      </c>
      <c r="H38">
        <v>0</v>
      </c>
      <c r="I38">
        <v>0</v>
      </c>
      <c r="J38">
        <v>0</v>
      </c>
      <c r="K38">
        <v>43</v>
      </c>
    </row>
    <row r="39" spans="1:13" x14ac:dyDescent="0.25">
      <c r="A39">
        <v>25</v>
      </c>
      <c r="B39" t="s">
        <v>260</v>
      </c>
      <c r="C39" t="s">
        <v>371</v>
      </c>
      <c r="D39" t="s">
        <v>63</v>
      </c>
      <c r="E39" t="s">
        <v>372</v>
      </c>
      <c r="F39" t="s">
        <v>235</v>
      </c>
      <c r="G39" t="s">
        <v>236</v>
      </c>
      <c r="H39">
        <v>0</v>
      </c>
      <c r="I39">
        <v>0</v>
      </c>
      <c r="J39">
        <v>0</v>
      </c>
      <c r="K39">
        <v>0</v>
      </c>
      <c r="M39" t="s">
        <v>373</v>
      </c>
    </row>
    <row r="40" spans="1:13" x14ac:dyDescent="0.25">
      <c r="A40" s="45">
        <v>25</v>
      </c>
      <c r="B40" s="45" t="s">
        <v>237</v>
      </c>
      <c r="C40" s="45" t="s">
        <v>140</v>
      </c>
      <c r="D40" s="45" t="s">
        <v>61</v>
      </c>
      <c r="E40" s="45" t="s">
        <v>263</v>
      </c>
      <c r="F40" s="45" t="s">
        <v>235</v>
      </c>
      <c r="G40" s="45" t="s">
        <v>236</v>
      </c>
      <c r="H40" s="45">
        <v>13</v>
      </c>
      <c r="I40" s="45">
        <v>6</v>
      </c>
      <c r="J40" s="45">
        <v>19</v>
      </c>
      <c r="K40" s="45">
        <v>61</v>
      </c>
    </row>
    <row r="41" spans="1:13" x14ac:dyDescent="0.25">
      <c r="A41">
        <v>25</v>
      </c>
      <c r="B41" t="s">
        <v>240</v>
      </c>
      <c r="C41" t="s">
        <v>188</v>
      </c>
      <c r="D41" t="s">
        <v>60</v>
      </c>
      <c r="E41" t="s">
        <v>346</v>
      </c>
      <c r="F41" t="s">
        <v>235</v>
      </c>
      <c r="G41" t="s">
        <v>236</v>
      </c>
      <c r="H41">
        <v>1</v>
      </c>
      <c r="I41">
        <v>1</v>
      </c>
      <c r="J41">
        <v>2</v>
      </c>
      <c r="K41">
        <v>15</v>
      </c>
    </row>
    <row r="42" spans="1:13" x14ac:dyDescent="0.25">
      <c r="A42" s="45">
        <v>25</v>
      </c>
      <c r="B42" s="45" t="s">
        <v>233</v>
      </c>
      <c r="C42" s="45" t="s">
        <v>185</v>
      </c>
      <c r="D42" s="45" t="s">
        <v>62</v>
      </c>
      <c r="E42" s="45" t="s">
        <v>311</v>
      </c>
      <c r="F42" s="45" t="s">
        <v>235</v>
      </c>
      <c r="G42" s="45" t="s">
        <v>236</v>
      </c>
      <c r="H42" s="45">
        <v>4</v>
      </c>
      <c r="I42" s="45">
        <v>1</v>
      </c>
      <c r="J42" s="45">
        <v>5</v>
      </c>
      <c r="K42" s="45">
        <v>64</v>
      </c>
    </row>
    <row r="43" spans="1:13" x14ac:dyDescent="0.25">
      <c r="A43" s="45">
        <v>25</v>
      </c>
      <c r="B43" s="45" t="s">
        <v>233</v>
      </c>
      <c r="C43" s="45" t="s">
        <v>179</v>
      </c>
      <c r="D43" s="45" t="s">
        <v>62</v>
      </c>
      <c r="E43" s="45" t="s">
        <v>341</v>
      </c>
      <c r="F43" s="45" t="s">
        <v>235</v>
      </c>
      <c r="G43" s="45" t="s">
        <v>236</v>
      </c>
      <c r="H43" s="45">
        <v>2</v>
      </c>
      <c r="I43" s="45">
        <v>0</v>
      </c>
      <c r="J43" s="45">
        <v>2</v>
      </c>
      <c r="K43" s="45">
        <v>10</v>
      </c>
    </row>
    <row r="44" spans="1:13" x14ac:dyDescent="0.25">
      <c r="A44" s="45">
        <v>25</v>
      </c>
      <c r="B44" s="45" t="s">
        <v>260</v>
      </c>
      <c r="C44" s="45" t="s">
        <v>220</v>
      </c>
      <c r="D44" s="45" t="s">
        <v>63</v>
      </c>
      <c r="E44" s="45" t="s">
        <v>308</v>
      </c>
      <c r="F44" s="45" t="s">
        <v>235</v>
      </c>
      <c r="G44" s="45" t="s">
        <v>236</v>
      </c>
      <c r="H44" s="45">
        <v>3</v>
      </c>
      <c r="I44" s="45">
        <v>2</v>
      </c>
      <c r="J44" s="45">
        <v>5</v>
      </c>
      <c r="K44" s="45">
        <v>45</v>
      </c>
    </row>
    <row r="45" spans="1:13" x14ac:dyDescent="0.25">
      <c r="A45" s="45">
        <v>25</v>
      </c>
      <c r="B45" s="45" t="s">
        <v>240</v>
      </c>
      <c r="C45" s="45" t="s">
        <v>332</v>
      </c>
      <c r="D45" s="45" t="s">
        <v>106</v>
      </c>
      <c r="E45" s="45" t="s">
        <v>333</v>
      </c>
      <c r="F45" s="45" t="s">
        <v>235</v>
      </c>
      <c r="G45" s="45" t="s">
        <v>236</v>
      </c>
      <c r="H45" s="45">
        <v>3</v>
      </c>
      <c r="I45" s="45">
        <v>0</v>
      </c>
      <c r="J45" s="45">
        <v>3</v>
      </c>
      <c r="K45" s="45">
        <v>26</v>
      </c>
    </row>
    <row r="46" spans="1:13" x14ac:dyDescent="0.25">
      <c r="A46" s="45">
        <v>25</v>
      </c>
      <c r="B46" s="45" t="s">
        <v>237</v>
      </c>
      <c r="C46" s="45" t="s">
        <v>305</v>
      </c>
      <c r="D46" s="45" t="s">
        <v>106</v>
      </c>
      <c r="E46" s="45" t="s">
        <v>306</v>
      </c>
      <c r="F46" s="45" t="s">
        <v>235</v>
      </c>
      <c r="G46" s="45" t="s">
        <v>236</v>
      </c>
      <c r="H46" s="45">
        <v>6</v>
      </c>
      <c r="I46" s="45">
        <v>0</v>
      </c>
      <c r="J46" s="45">
        <v>6</v>
      </c>
      <c r="K46" s="45">
        <v>35</v>
      </c>
    </row>
    <row r="47" spans="1:13" x14ac:dyDescent="0.25">
      <c r="A47" s="45">
        <v>25</v>
      </c>
      <c r="B47" s="45" t="s">
        <v>240</v>
      </c>
      <c r="C47" s="45" t="s">
        <v>334</v>
      </c>
      <c r="D47" s="45" t="s">
        <v>106</v>
      </c>
      <c r="E47" s="45" t="s">
        <v>335</v>
      </c>
      <c r="F47" s="45" t="s">
        <v>235</v>
      </c>
      <c r="G47" s="45" t="s">
        <v>236</v>
      </c>
      <c r="H47" s="45">
        <v>1</v>
      </c>
      <c r="I47" s="45">
        <v>1</v>
      </c>
      <c r="J47" s="45">
        <v>2</v>
      </c>
      <c r="K47" s="45">
        <v>6</v>
      </c>
    </row>
    <row r="48" spans="1:13" x14ac:dyDescent="0.25">
      <c r="A48" s="45">
        <v>25</v>
      </c>
      <c r="B48" s="45" t="s">
        <v>237</v>
      </c>
      <c r="C48" s="45" t="s">
        <v>315</v>
      </c>
      <c r="D48" s="45" t="s">
        <v>106</v>
      </c>
      <c r="E48" s="45" t="s">
        <v>316</v>
      </c>
      <c r="F48" s="45" t="s">
        <v>235</v>
      </c>
      <c r="G48" s="45" t="s">
        <v>236</v>
      </c>
      <c r="H48" s="45">
        <v>4</v>
      </c>
      <c r="I48" s="45">
        <v>0</v>
      </c>
      <c r="J48" s="45">
        <v>4</v>
      </c>
      <c r="K48" s="45">
        <v>26</v>
      </c>
    </row>
    <row r="49" spans="1:11" x14ac:dyDescent="0.25">
      <c r="A49" s="45">
        <v>25</v>
      </c>
      <c r="B49" s="45" t="s">
        <v>237</v>
      </c>
      <c r="C49" s="45" t="s">
        <v>282</v>
      </c>
      <c r="D49" s="45" t="s">
        <v>106</v>
      </c>
      <c r="E49" s="45" t="s">
        <v>283</v>
      </c>
      <c r="F49" s="45" t="s">
        <v>235</v>
      </c>
      <c r="G49" s="45" t="s">
        <v>236</v>
      </c>
      <c r="H49" s="45">
        <v>7</v>
      </c>
      <c r="I49" s="45">
        <v>1</v>
      </c>
      <c r="J49" s="45">
        <v>8</v>
      </c>
      <c r="K49" s="45">
        <v>93</v>
      </c>
    </row>
    <row r="50" spans="1:11" x14ac:dyDescent="0.25">
      <c r="A50" s="45">
        <v>25</v>
      </c>
      <c r="B50" s="45" t="s">
        <v>237</v>
      </c>
      <c r="C50" s="45" t="s">
        <v>267</v>
      </c>
      <c r="D50" s="45" t="s">
        <v>106</v>
      </c>
      <c r="E50" s="45" t="s">
        <v>268</v>
      </c>
      <c r="F50" s="45" t="s">
        <v>235</v>
      </c>
      <c r="G50" s="45" t="s">
        <v>236</v>
      </c>
      <c r="H50" s="45">
        <v>14</v>
      </c>
      <c r="I50" s="45">
        <v>1</v>
      </c>
      <c r="J50" s="45">
        <v>15</v>
      </c>
      <c r="K50" s="45">
        <v>17</v>
      </c>
    </row>
    <row r="51" spans="1:11" x14ac:dyDescent="0.25">
      <c r="A51" s="45">
        <v>25</v>
      </c>
      <c r="B51" s="45" t="s">
        <v>237</v>
      </c>
      <c r="C51" s="45" t="s">
        <v>254</v>
      </c>
      <c r="D51" s="45" t="s">
        <v>106</v>
      </c>
      <c r="E51" s="45" t="s">
        <v>255</v>
      </c>
      <c r="F51" s="45" t="s">
        <v>235</v>
      </c>
      <c r="G51" s="45" t="s">
        <v>236</v>
      </c>
      <c r="H51" s="45">
        <v>32</v>
      </c>
      <c r="I51" s="45">
        <v>0</v>
      </c>
      <c r="J51" s="45">
        <v>32</v>
      </c>
      <c r="K51" s="45">
        <v>41</v>
      </c>
    </row>
    <row r="52" spans="1:11" x14ac:dyDescent="0.25">
      <c r="A52">
        <v>25</v>
      </c>
      <c r="B52" t="s">
        <v>240</v>
      </c>
      <c r="C52" t="s">
        <v>365</v>
      </c>
      <c r="D52" s="45" t="s">
        <v>106</v>
      </c>
      <c r="E52" t="s">
        <v>366</v>
      </c>
      <c r="F52" t="s">
        <v>235</v>
      </c>
      <c r="G52" t="s">
        <v>236</v>
      </c>
      <c r="H52">
        <v>0</v>
      </c>
      <c r="I52">
        <v>0</v>
      </c>
      <c r="J52">
        <v>0</v>
      </c>
      <c r="K52">
        <v>14</v>
      </c>
    </row>
    <row r="53" spans="1:11" x14ac:dyDescent="0.25">
      <c r="A53" s="45">
        <v>25</v>
      </c>
      <c r="B53" s="45" t="s">
        <v>237</v>
      </c>
      <c r="C53" s="45" t="s">
        <v>238</v>
      </c>
      <c r="D53" s="45" t="s">
        <v>106</v>
      </c>
      <c r="E53" s="45" t="s">
        <v>239</v>
      </c>
      <c r="F53" s="45" t="s">
        <v>235</v>
      </c>
      <c r="G53" s="45" t="s">
        <v>236</v>
      </c>
      <c r="H53" s="45">
        <v>76</v>
      </c>
      <c r="I53" s="45">
        <v>12</v>
      </c>
      <c r="J53" s="45">
        <v>88</v>
      </c>
      <c r="K53" s="45">
        <v>206</v>
      </c>
    </row>
    <row r="54" spans="1:11" x14ac:dyDescent="0.25">
      <c r="A54" s="45">
        <v>25</v>
      </c>
      <c r="B54" s="45" t="s">
        <v>237</v>
      </c>
      <c r="C54" s="45" t="s">
        <v>284</v>
      </c>
      <c r="D54" s="45" t="s">
        <v>106</v>
      </c>
      <c r="E54" s="45" t="s">
        <v>285</v>
      </c>
      <c r="F54" s="45" t="s">
        <v>235</v>
      </c>
      <c r="G54" s="45" t="s">
        <v>236</v>
      </c>
      <c r="H54" s="45">
        <v>8</v>
      </c>
      <c r="I54" s="45">
        <v>0</v>
      </c>
      <c r="J54" s="45">
        <v>8</v>
      </c>
      <c r="K54" s="45">
        <v>26</v>
      </c>
    </row>
    <row r="55" spans="1:11" x14ac:dyDescent="0.25">
      <c r="A55">
        <v>25</v>
      </c>
      <c r="B55" t="s">
        <v>237</v>
      </c>
      <c r="C55" t="s">
        <v>357</v>
      </c>
      <c r="D55" s="45" t="s">
        <v>106</v>
      </c>
      <c r="E55" t="s">
        <v>358</v>
      </c>
      <c r="F55" t="s">
        <v>235</v>
      </c>
      <c r="G55" t="s">
        <v>236</v>
      </c>
      <c r="H55">
        <v>1</v>
      </c>
      <c r="I55">
        <v>0</v>
      </c>
      <c r="J55">
        <v>1</v>
      </c>
      <c r="K55">
        <v>183</v>
      </c>
    </row>
    <row r="56" spans="1:11" x14ac:dyDescent="0.25">
      <c r="A56" s="45">
        <v>25</v>
      </c>
      <c r="B56" s="45" t="s">
        <v>240</v>
      </c>
      <c r="C56" s="45" t="s">
        <v>280</v>
      </c>
      <c r="D56" s="45" t="s">
        <v>106</v>
      </c>
      <c r="E56" s="45" t="s">
        <v>281</v>
      </c>
      <c r="F56" s="45" t="s">
        <v>235</v>
      </c>
      <c r="G56" s="45" t="s">
        <v>236</v>
      </c>
      <c r="H56" s="45">
        <v>9</v>
      </c>
      <c r="I56" s="45">
        <v>0</v>
      </c>
      <c r="J56" s="45">
        <v>9</v>
      </c>
      <c r="K56" s="45">
        <v>92</v>
      </c>
    </row>
    <row r="57" spans="1:11" x14ac:dyDescent="0.25">
      <c r="A57" s="45">
        <v>25</v>
      </c>
      <c r="B57" s="45" t="s">
        <v>237</v>
      </c>
      <c r="C57" s="45" t="s">
        <v>264</v>
      </c>
      <c r="D57" s="45" t="s">
        <v>9</v>
      </c>
      <c r="E57" s="45" t="s">
        <v>265</v>
      </c>
      <c r="F57" s="45" t="s">
        <v>235</v>
      </c>
      <c r="G57" s="45" t="s">
        <v>236</v>
      </c>
      <c r="H57" s="45">
        <v>17</v>
      </c>
      <c r="I57" s="45">
        <v>1</v>
      </c>
      <c r="J57" s="45">
        <v>18</v>
      </c>
      <c r="K57" s="45">
        <v>24</v>
      </c>
    </row>
    <row r="58" spans="1:11" x14ac:dyDescent="0.25">
      <c r="A58">
        <v>25</v>
      </c>
      <c r="B58" t="s">
        <v>260</v>
      </c>
      <c r="C58" t="s">
        <v>343</v>
      </c>
      <c r="D58" s="45" t="s">
        <v>9</v>
      </c>
      <c r="E58" t="s">
        <v>344</v>
      </c>
      <c r="F58" t="s">
        <v>235</v>
      </c>
      <c r="G58" t="s">
        <v>236</v>
      </c>
      <c r="H58">
        <v>2</v>
      </c>
      <c r="I58">
        <v>0</v>
      </c>
      <c r="J58">
        <v>2</v>
      </c>
      <c r="K58">
        <v>5</v>
      </c>
    </row>
    <row r="59" spans="1:11" x14ac:dyDescent="0.25">
      <c r="A59" s="45">
        <v>25</v>
      </c>
      <c r="B59" s="45" t="s">
        <v>240</v>
      </c>
      <c r="C59" s="45" t="s">
        <v>309</v>
      </c>
      <c r="D59" s="45" t="s">
        <v>9</v>
      </c>
      <c r="E59" s="45" t="s">
        <v>310</v>
      </c>
      <c r="F59" s="45" t="s">
        <v>235</v>
      </c>
      <c r="G59" s="45" t="s">
        <v>236</v>
      </c>
      <c r="H59" s="45">
        <v>5</v>
      </c>
      <c r="I59" s="45">
        <v>0</v>
      </c>
      <c r="J59" s="45">
        <v>5</v>
      </c>
      <c r="K59" s="45">
        <v>15</v>
      </c>
    </row>
    <row r="60" spans="1:11" x14ac:dyDescent="0.25">
      <c r="A60" s="45">
        <v>25</v>
      </c>
      <c r="B60" s="45" t="s">
        <v>240</v>
      </c>
      <c r="C60" s="45" t="s">
        <v>204</v>
      </c>
      <c r="D60" s="45" t="s">
        <v>9</v>
      </c>
      <c r="E60" s="45" t="s">
        <v>249</v>
      </c>
      <c r="F60" s="45" t="s">
        <v>235</v>
      </c>
      <c r="G60" s="45" t="s">
        <v>236</v>
      </c>
      <c r="H60" s="45">
        <v>39</v>
      </c>
      <c r="I60" s="45">
        <v>0</v>
      </c>
      <c r="J60" s="45">
        <v>39</v>
      </c>
      <c r="K60" s="45">
        <v>388</v>
      </c>
    </row>
    <row r="61" spans="1:11" x14ac:dyDescent="0.25">
      <c r="A61" s="45">
        <v>25</v>
      </c>
      <c r="B61" s="45" t="s">
        <v>240</v>
      </c>
      <c r="C61" s="45" t="s">
        <v>299</v>
      </c>
      <c r="D61" s="45" t="s">
        <v>9</v>
      </c>
      <c r="E61" s="45" t="s">
        <v>300</v>
      </c>
      <c r="F61" s="45" t="s">
        <v>235</v>
      </c>
      <c r="G61" s="45" t="s">
        <v>236</v>
      </c>
      <c r="H61" s="45">
        <v>6</v>
      </c>
      <c r="I61" s="45">
        <v>0</v>
      </c>
      <c r="J61" s="45">
        <v>6</v>
      </c>
      <c r="K61" s="45">
        <v>9</v>
      </c>
    </row>
    <row r="62" spans="1:11" x14ac:dyDescent="0.25">
      <c r="A62" s="45">
        <v>25</v>
      </c>
      <c r="B62" s="45" t="s">
        <v>240</v>
      </c>
      <c r="C62" s="45" t="s">
        <v>247</v>
      </c>
      <c r="D62" s="45" t="s">
        <v>9</v>
      </c>
      <c r="E62" s="45" t="s">
        <v>248</v>
      </c>
      <c r="F62" s="45" t="s">
        <v>235</v>
      </c>
      <c r="G62" s="45" t="s">
        <v>236</v>
      </c>
      <c r="H62" s="45">
        <v>40</v>
      </c>
      <c r="I62" s="45">
        <v>0</v>
      </c>
      <c r="J62" s="45">
        <v>40</v>
      </c>
      <c r="K62" s="45">
        <v>43</v>
      </c>
    </row>
    <row r="63" spans="1:11" x14ac:dyDescent="0.25">
      <c r="A63" s="45">
        <v>25</v>
      </c>
      <c r="B63" s="45" t="s">
        <v>237</v>
      </c>
      <c r="C63" s="45" t="s">
        <v>278</v>
      </c>
      <c r="D63" s="45" t="s">
        <v>9</v>
      </c>
      <c r="E63" s="45" t="s">
        <v>279</v>
      </c>
      <c r="F63" s="45" t="s">
        <v>235</v>
      </c>
      <c r="G63" s="45" t="s">
        <v>236</v>
      </c>
      <c r="H63" s="45">
        <v>9</v>
      </c>
      <c r="I63" s="45">
        <v>0</v>
      </c>
      <c r="J63" s="45">
        <v>9</v>
      </c>
      <c r="K63" s="45">
        <v>149</v>
      </c>
    </row>
    <row r="64" spans="1:11" x14ac:dyDescent="0.25">
      <c r="A64" s="45">
        <v>25</v>
      </c>
      <c r="B64" s="45" t="s">
        <v>240</v>
      </c>
      <c r="C64" s="45" t="s">
        <v>241</v>
      </c>
      <c r="D64" s="45" t="s">
        <v>9</v>
      </c>
      <c r="E64" s="45" t="s">
        <v>242</v>
      </c>
      <c r="F64" s="45" t="s">
        <v>235</v>
      </c>
      <c r="G64" s="45" t="s">
        <v>236</v>
      </c>
      <c r="H64" s="45">
        <v>73</v>
      </c>
      <c r="I64" s="45">
        <v>2</v>
      </c>
      <c r="J64" s="45">
        <v>75</v>
      </c>
      <c r="K64" s="45">
        <v>103</v>
      </c>
    </row>
    <row r="65" spans="1:11" x14ac:dyDescent="0.25">
      <c r="A65" s="45">
        <v>25</v>
      </c>
      <c r="B65" s="45" t="s">
        <v>237</v>
      </c>
      <c r="C65" s="45" t="s">
        <v>120</v>
      </c>
      <c r="D65" s="45" t="s">
        <v>9</v>
      </c>
      <c r="E65" s="45" t="s">
        <v>256</v>
      </c>
      <c r="F65" s="45" t="s">
        <v>235</v>
      </c>
      <c r="G65" s="45" t="s">
        <v>236</v>
      </c>
      <c r="H65" s="45">
        <v>28</v>
      </c>
      <c r="I65" s="45">
        <v>0</v>
      </c>
      <c r="J65" s="45">
        <v>28</v>
      </c>
      <c r="K65" s="45">
        <v>40</v>
      </c>
    </row>
    <row r="66" spans="1:11" x14ac:dyDescent="0.25">
      <c r="A66" s="45">
        <v>25</v>
      </c>
      <c r="B66" s="45" t="s">
        <v>233</v>
      </c>
      <c r="C66" s="45" t="s">
        <v>317</v>
      </c>
      <c r="D66" s="45" t="s">
        <v>9</v>
      </c>
      <c r="E66" s="45" t="s">
        <v>318</v>
      </c>
      <c r="F66" s="45" t="s">
        <v>235</v>
      </c>
      <c r="G66" s="45" t="s">
        <v>236</v>
      </c>
      <c r="H66" s="45">
        <v>4</v>
      </c>
      <c r="I66" s="45">
        <v>0</v>
      </c>
      <c r="J66" s="45">
        <v>4</v>
      </c>
      <c r="K66" s="45">
        <v>13</v>
      </c>
    </row>
    <row r="67" spans="1:11" x14ac:dyDescent="0.25">
      <c r="A67" s="45">
        <v>25</v>
      </c>
      <c r="B67" s="45" t="s">
        <v>233</v>
      </c>
      <c r="C67" s="45" t="s">
        <v>303</v>
      </c>
      <c r="D67" s="45" t="s">
        <v>9</v>
      </c>
      <c r="E67" s="45" t="s">
        <v>304</v>
      </c>
      <c r="F67" s="45" t="s">
        <v>235</v>
      </c>
      <c r="G67" s="45" t="s">
        <v>236</v>
      </c>
      <c r="H67" s="45">
        <v>1</v>
      </c>
      <c r="I67" s="45">
        <v>5</v>
      </c>
      <c r="J67" s="45">
        <v>6</v>
      </c>
      <c r="K67" s="45">
        <v>27</v>
      </c>
    </row>
    <row r="68" spans="1:11" x14ac:dyDescent="0.25">
      <c r="A68" s="45">
        <v>25</v>
      </c>
      <c r="B68" s="45" t="s">
        <v>237</v>
      </c>
      <c r="C68" s="45" t="s">
        <v>245</v>
      </c>
      <c r="D68" s="45" t="s">
        <v>9</v>
      </c>
      <c r="E68" s="45" t="s">
        <v>246</v>
      </c>
      <c r="F68" s="45" t="s">
        <v>235</v>
      </c>
      <c r="G68" s="45" t="s">
        <v>236</v>
      </c>
      <c r="H68" s="45">
        <v>53</v>
      </c>
      <c r="I68" s="45">
        <v>7</v>
      </c>
      <c r="J68" s="45">
        <v>60</v>
      </c>
      <c r="K68" s="45">
        <v>170</v>
      </c>
    </row>
    <row r="69" spans="1:11" x14ac:dyDescent="0.25">
      <c r="A69" s="45">
        <v>25</v>
      </c>
      <c r="B69" s="45" t="s">
        <v>237</v>
      </c>
      <c r="C69" s="45" t="s">
        <v>261</v>
      </c>
      <c r="D69" s="45" t="s">
        <v>9</v>
      </c>
      <c r="E69" s="45" t="s">
        <v>262</v>
      </c>
      <c r="F69" s="45" t="s">
        <v>235</v>
      </c>
      <c r="G69" s="45" t="s">
        <v>236</v>
      </c>
      <c r="H69" s="45">
        <v>19</v>
      </c>
      <c r="I69" s="45">
        <v>0</v>
      </c>
      <c r="J69" s="45">
        <v>19</v>
      </c>
      <c r="K69" s="45">
        <v>28</v>
      </c>
    </row>
    <row r="70" spans="1:11" x14ac:dyDescent="0.25">
      <c r="A70" s="45">
        <v>25</v>
      </c>
      <c r="B70" s="45" t="s">
        <v>240</v>
      </c>
      <c r="C70" s="45" t="s">
        <v>323</v>
      </c>
      <c r="D70" s="45" t="s">
        <v>9</v>
      </c>
      <c r="E70" s="45" t="s">
        <v>324</v>
      </c>
      <c r="F70" s="45" t="s">
        <v>235</v>
      </c>
      <c r="G70" s="45" t="s">
        <v>236</v>
      </c>
      <c r="H70" s="45">
        <v>4</v>
      </c>
      <c r="I70" s="45">
        <v>0</v>
      </c>
      <c r="J70" s="45">
        <v>4</v>
      </c>
      <c r="K70" s="45">
        <v>5</v>
      </c>
    </row>
    <row r="71" spans="1:11" x14ac:dyDescent="0.25">
      <c r="A71" s="45">
        <v>25</v>
      </c>
      <c r="B71" s="45" t="s">
        <v>237</v>
      </c>
      <c r="C71" s="45" t="s">
        <v>258</v>
      </c>
      <c r="D71" s="45" t="s">
        <v>9</v>
      </c>
      <c r="E71" s="45" t="s">
        <v>259</v>
      </c>
      <c r="F71" s="45" t="s">
        <v>235</v>
      </c>
      <c r="G71" s="45" t="s">
        <v>236</v>
      </c>
      <c r="H71" s="45">
        <v>21</v>
      </c>
      <c r="I71" s="45">
        <v>3</v>
      </c>
      <c r="J71" s="45">
        <v>24</v>
      </c>
      <c r="K71" s="45">
        <v>45</v>
      </c>
    </row>
    <row r="72" spans="1:11" x14ac:dyDescent="0.25">
      <c r="A72" s="45">
        <v>25</v>
      </c>
      <c r="B72" s="45" t="s">
        <v>233</v>
      </c>
      <c r="C72" s="45" t="s">
        <v>153</v>
      </c>
      <c r="D72" s="45" t="s">
        <v>9</v>
      </c>
      <c r="E72" s="45" t="s">
        <v>234</v>
      </c>
      <c r="F72" s="45" t="s">
        <v>235</v>
      </c>
      <c r="G72" s="45" t="s">
        <v>236</v>
      </c>
      <c r="H72" s="45">
        <v>106</v>
      </c>
      <c r="I72" s="45">
        <v>0</v>
      </c>
      <c r="J72" s="45">
        <v>106</v>
      </c>
      <c r="K72" s="45">
        <v>140</v>
      </c>
    </row>
    <row r="73" spans="1:11" x14ac:dyDescent="0.25">
      <c r="A73" s="45">
        <v>25</v>
      </c>
      <c r="B73" s="45" t="s">
        <v>237</v>
      </c>
      <c r="C73" s="45" t="s">
        <v>330</v>
      </c>
      <c r="D73" s="45" t="s">
        <v>9</v>
      </c>
      <c r="E73" s="45" t="s">
        <v>331</v>
      </c>
      <c r="F73" s="45" t="s">
        <v>235</v>
      </c>
      <c r="G73" s="45" t="s">
        <v>236</v>
      </c>
      <c r="H73" s="45">
        <v>3</v>
      </c>
      <c r="I73" s="45">
        <v>0</v>
      </c>
      <c r="J73" s="45">
        <v>3</v>
      </c>
      <c r="K73" s="45">
        <v>71</v>
      </c>
    </row>
    <row r="74" spans="1:11" x14ac:dyDescent="0.25">
      <c r="A74" s="45">
        <v>25</v>
      </c>
      <c r="B74" s="45" t="s">
        <v>237</v>
      </c>
      <c r="C74" s="45" t="s">
        <v>125</v>
      </c>
      <c r="D74" s="45" t="s">
        <v>9</v>
      </c>
      <c r="E74" s="45" t="s">
        <v>244</v>
      </c>
      <c r="F74" s="45" t="s">
        <v>235</v>
      </c>
      <c r="G74" s="45" t="s">
        <v>236</v>
      </c>
      <c r="H74" s="45">
        <v>62</v>
      </c>
      <c r="I74" s="45">
        <v>2</v>
      </c>
      <c r="J74" s="45">
        <v>64</v>
      </c>
      <c r="K74" s="45">
        <v>107</v>
      </c>
    </row>
    <row r="75" spans="1:11" x14ac:dyDescent="0.25">
      <c r="A75" s="45">
        <v>25</v>
      </c>
      <c r="B75" s="45" t="s">
        <v>260</v>
      </c>
      <c r="C75" s="45" t="s">
        <v>291</v>
      </c>
      <c r="D75" s="45" t="s">
        <v>9</v>
      </c>
      <c r="E75" s="45" t="s">
        <v>292</v>
      </c>
      <c r="F75" s="45" t="s">
        <v>235</v>
      </c>
      <c r="G75" s="45" t="s">
        <v>236</v>
      </c>
      <c r="H75" s="45">
        <v>6</v>
      </c>
      <c r="I75" s="45">
        <v>1</v>
      </c>
      <c r="J75" s="45">
        <v>7</v>
      </c>
      <c r="K75" s="45">
        <v>17</v>
      </c>
    </row>
    <row r="76" spans="1:11" x14ac:dyDescent="0.25">
      <c r="A76" s="45">
        <v>25</v>
      </c>
      <c r="B76" s="45" t="s">
        <v>260</v>
      </c>
      <c r="C76" s="45" t="s">
        <v>288</v>
      </c>
      <c r="D76" s="45" t="s">
        <v>9</v>
      </c>
      <c r="E76" s="45" t="s">
        <v>289</v>
      </c>
      <c r="F76" s="45" t="s">
        <v>235</v>
      </c>
      <c r="G76" s="45" t="s">
        <v>236</v>
      </c>
      <c r="H76" s="45">
        <v>5</v>
      </c>
      <c r="I76" s="45">
        <v>2</v>
      </c>
      <c r="J76" s="45">
        <v>7</v>
      </c>
      <c r="K76" s="45">
        <v>17</v>
      </c>
    </row>
    <row r="77" spans="1:11" x14ac:dyDescent="0.25">
      <c r="A77" s="45">
        <v>25</v>
      </c>
      <c r="B77" s="45" t="s">
        <v>260</v>
      </c>
      <c r="C77" s="45" t="s">
        <v>326</v>
      </c>
      <c r="D77" s="45" t="s">
        <v>9</v>
      </c>
      <c r="E77" s="45" t="s">
        <v>327</v>
      </c>
      <c r="F77" s="45" t="s">
        <v>235</v>
      </c>
      <c r="G77" s="45" t="s">
        <v>236</v>
      </c>
      <c r="H77" s="45">
        <v>2</v>
      </c>
      <c r="I77" s="45">
        <v>1</v>
      </c>
      <c r="J77" s="45">
        <v>3</v>
      </c>
      <c r="K77" s="45">
        <v>4</v>
      </c>
    </row>
    <row r="78" spans="1:11" x14ac:dyDescent="0.25">
      <c r="A78" s="45">
        <v>25</v>
      </c>
      <c r="B78" s="45" t="s">
        <v>233</v>
      </c>
      <c r="C78" s="45" t="s">
        <v>337</v>
      </c>
      <c r="D78" s="45" t="s">
        <v>9</v>
      </c>
      <c r="E78" s="45" t="s">
        <v>338</v>
      </c>
      <c r="F78" s="45" t="s">
        <v>235</v>
      </c>
      <c r="G78" s="45" t="s">
        <v>236</v>
      </c>
      <c r="H78" s="45">
        <v>2</v>
      </c>
      <c r="I78" s="45">
        <v>0</v>
      </c>
      <c r="J78" s="45">
        <v>2</v>
      </c>
      <c r="K78" s="45">
        <v>15</v>
      </c>
    </row>
    <row r="79" spans="1:11" x14ac:dyDescent="0.25">
      <c r="A79">
        <v>25</v>
      </c>
      <c r="B79" t="s">
        <v>260</v>
      </c>
      <c r="C79" t="s">
        <v>350</v>
      </c>
      <c r="D79" s="45" t="s">
        <v>9</v>
      </c>
      <c r="E79" t="s">
        <v>351</v>
      </c>
      <c r="F79" t="s">
        <v>235</v>
      </c>
      <c r="G79" t="s">
        <v>236</v>
      </c>
      <c r="H79">
        <v>1</v>
      </c>
      <c r="I79">
        <v>0</v>
      </c>
      <c r="J79">
        <v>1</v>
      </c>
      <c r="K79">
        <v>12</v>
      </c>
    </row>
    <row r="80" spans="1:11" x14ac:dyDescent="0.25">
      <c r="A80" s="45">
        <v>25</v>
      </c>
      <c r="B80" s="45" t="s">
        <v>233</v>
      </c>
      <c r="C80" s="45" t="s">
        <v>157</v>
      </c>
      <c r="D80" s="45" t="s">
        <v>9</v>
      </c>
      <c r="E80" s="45" t="s">
        <v>243</v>
      </c>
      <c r="F80" s="45" t="s">
        <v>235</v>
      </c>
      <c r="G80" s="45" t="s">
        <v>236</v>
      </c>
      <c r="H80" s="45">
        <v>74</v>
      </c>
      <c r="I80" s="45">
        <v>0</v>
      </c>
      <c r="J80" s="45">
        <v>74</v>
      </c>
      <c r="K80" s="45">
        <v>197</v>
      </c>
    </row>
    <row r="81" spans="1:11" x14ac:dyDescent="0.25">
      <c r="A81">
        <v>25</v>
      </c>
      <c r="B81" t="s">
        <v>260</v>
      </c>
      <c r="C81" t="s">
        <v>348</v>
      </c>
      <c r="D81" s="45" t="s">
        <v>9</v>
      </c>
      <c r="E81" t="s">
        <v>349</v>
      </c>
      <c r="F81" t="s">
        <v>235</v>
      </c>
      <c r="G81" t="s">
        <v>236</v>
      </c>
      <c r="H81">
        <v>2</v>
      </c>
      <c r="I81">
        <v>0</v>
      </c>
      <c r="J81">
        <v>2</v>
      </c>
      <c r="K81">
        <v>4</v>
      </c>
    </row>
    <row r="82" spans="1:11" x14ac:dyDescent="0.25">
      <c r="A82" s="45">
        <v>25</v>
      </c>
      <c r="B82" s="45" t="s">
        <v>233</v>
      </c>
      <c r="C82" s="45" t="s">
        <v>151</v>
      </c>
      <c r="D82" s="45" t="s">
        <v>9</v>
      </c>
      <c r="E82" s="45" t="s">
        <v>296</v>
      </c>
      <c r="F82" s="45" t="s">
        <v>235</v>
      </c>
      <c r="G82" s="45" t="s">
        <v>236</v>
      </c>
      <c r="H82" s="45">
        <v>7</v>
      </c>
      <c r="I82" s="45">
        <v>0</v>
      </c>
      <c r="J82" s="45">
        <v>7</v>
      </c>
      <c r="K82" s="45">
        <v>31</v>
      </c>
    </row>
    <row r="83" spans="1:11" x14ac:dyDescent="0.25">
      <c r="A83" s="45">
        <v>25</v>
      </c>
      <c r="B83" s="45" t="s">
        <v>233</v>
      </c>
      <c r="C83" s="45" t="s">
        <v>313</v>
      </c>
      <c r="D83" s="45" t="s">
        <v>9</v>
      </c>
      <c r="E83" s="45" t="s">
        <v>314</v>
      </c>
      <c r="F83" s="45" t="s">
        <v>235</v>
      </c>
      <c r="G83" s="45" t="s">
        <v>236</v>
      </c>
      <c r="H83" s="45">
        <v>1</v>
      </c>
      <c r="I83" s="45">
        <v>3</v>
      </c>
      <c r="J83" s="45">
        <v>4</v>
      </c>
      <c r="K83" s="45">
        <v>13</v>
      </c>
    </row>
    <row r="84" spans="1:11" x14ac:dyDescent="0.25">
      <c r="A84">
        <v>25</v>
      </c>
      <c r="B84" t="s">
        <v>233</v>
      </c>
      <c r="C84" t="s">
        <v>367</v>
      </c>
      <c r="D84" s="45" t="s">
        <v>9</v>
      </c>
      <c r="E84" t="s">
        <v>368</v>
      </c>
      <c r="F84" t="s">
        <v>235</v>
      </c>
      <c r="G84" t="s">
        <v>236</v>
      </c>
      <c r="H84">
        <v>0</v>
      </c>
      <c r="I84">
        <v>0</v>
      </c>
      <c r="J84">
        <v>0</v>
      </c>
      <c r="K84">
        <v>47</v>
      </c>
    </row>
    <row r="85" spans="1:11" x14ac:dyDescent="0.25">
      <c r="A85">
        <v>25</v>
      </c>
      <c r="B85" t="s">
        <v>240</v>
      </c>
      <c r="C85" t="s">
        <v>355</v>
      </c>
      <c r="D85" s="45" t="s">
        <v>9</v>
      </c>
      <c r="E85" t="s">
        <v>356</v>
      </c>
      <c r="F85" t="s">
        <v>235</v>
      </c>
      <c r="G85" t="s">
        <v>236</v>
      </c>
      <c r="H85">
        <v>1</v>
      </c>
      <c r="I85">
        <v>0</v>
      </c>
      <c r="J85">
        <v>1</v>
      </c>
      <c r="K85">
        <v>8</v>
      </c>
    </row>
    <row r="86" spans="1:11" x14ac:dyDescent="0.25">
      <c r="A86" s="45">
        <v>25</v>
      </c>
      <c r="B86" s="45" t="s">
        <v>237</v>
      </c>
      <c r="C86" s="45" t="s">
        <v>293</v>
      </c>
      <c r="D86" s="45" t="s">
        <v>9</v>
      </c>
      <c r="E86" s="45" t="s">
        <v>294</v>
      </c>
      <c r="F86" s="45" t="s">
        <v>235</v>
      </c>
      <c r="G86" s="45" t="s">
        <v>236</v>
      </c>
      <c r="H86" s="45">
        <v>5</v>
      </c>
      <c r="I86" s="45">
        <v>2</v>
      </c>
      <c r="J86" s="45">
        <v>7</v>
      </c>
      <c r="K86" s="45">
        <v>18</v>
      </c>
    </row>
    <row r="87" spans="1:11" x14ac:dyDescent="0.25">
      <c r="A87" s="45">
        <v>25</v>
      </c>
      <c r="B87" s="45" t="s">
        <v>237</v>
      </c>
      <c r="C87" s="45" t="s">
        <v>269</v>
      </c>
      <c r="D87" s="45" t="s">
        <v>9</v>
      </c>
      <c r="E87" s="45" t="s">
        <v>270</v>
      </c>
      <c r="F87" s="45" t="s">
        <v>235</v>
      </c>
      <c r="G87" s="45" t="s">
        <v>236</v>
      </c>
      <c r="H87" s="45">
        <v>12</v>
      </c>
      <c r="I87" s="45">
        <v>2</v>
      </c>
      <c r="J87" s="45">
        <v>14</v>
      </c>
      <c r="K87" s="45">
        <v>51</v>
      </c>
    </row>
    <row r="88" spans="1:11" x14ac:dyDescent="0.25">
      <c r="A88" s="45">
        <v>25</v>
      </c>
      <c r="B88" s="45" t="s">
        <v>233</v>
      </c>
      <c r="C88" s="45" t="s">
        <v>339</v>
      </c>
      <c r="D88" s="45" t="s">
        <v>9</v>
      </c>
      <c r="E88" s="45" t="s">
        <v>340</v>
      </c>
      <c r="F88" s="45" t="s">
        <v>235</v>
      </c>
      <c r="G88" s="45" t="s">
        <v>236</v>
      </c>
      <c r="H88" s="45">
        <v>2</v>
      </c>
      <c r="I88" s="45">
        <v>0</v>
      </c>
      <c r="J88" s="45">
        <v>2</v>
      </c>
      <c r="K88" s="45">
        <v>23</v>
      </c>
    </row>
    <row r="89" spans="1:11" x14ac:dyDescent="0.25">
      <c r="A89" s="45">
        <v>25</v>
      </c>
      <c r="B89" s="45" t="s">
        <v>240</v>
      </c>
      <c r="C89" s="45" t="s">
        <v>272</v>
      </c>
      <c r="D89" s="45" t="s">
        <v>9</v>
      </c>
      <c r="E89" s="45" t="s">
        <v>273</v>
      </c>
      <c r="F89" s="45" t="s">
        <v>235</v>
      </c>
      <c r="G89" s="45" t="s">
        <v>236</v>
      </c>
      <c r="H89" s="45">
        <v>11</v>
      </c>
      <c r="I89" s="45">
        <v>2</v>
      </c>
      <c r="J89" s="45">
        <v>13</v>
      </c>
      <c r="K89" s="45">
        <v>26</v>
      </c>
    </row>
    <row r="90" spans="1:11" x14ac:dyDescent="0.25">
      <c r="A90">
        <v>25</v>
      </c>
      <c r="B90" t="s">
        <v>260</v>
      </c>
      <c r="C90" t="s">
        <v>378</v>
      </c>
      <c r="D90" s="45" t="s">
        <v>9</v>
      </c>
      <c r="E90" t="s">
        <v>379</v>
      </c>
      <c r="F90" t="s">
        <v>235</v>
      </c>
      <c r="G90" t="s">
        <v>236</v>
      </c>
      <c r="H90">
        <v>0</v>
      </c>
      <c r="I90">
        <v>0</v>
      </c>
      <c r="J90">
        <v>0</v>
      </c>
      <c r="K90">
        <v>3</v>
      </c>
    </row>
    <row r="91" spans="1:11" x14ac:dyDescent="0.25">
      <c r="A91">
        <v>25</v>
      </c>
      <c r="B91" t="s">
        <v>260</v>
      </c>
      <c r="C91" t="s">
        <v>380</v>
      </c>
      <c r="D91" s="45" t="s">
        <v>9</v>
      </c>
      <c r="E91" t="s">
        <v>381</v>
      </c>
      <c r="F91" t="s">
        <v>235</v>
      </c>
      <c r="G91" t="s">
        <v>236</v>
      </c>
      <c r="H91">
        <v>0</v>
      </c>
      <c r="I91">
        <v>0</v>
      </c>
      <c r="J91">
        <v>0</v>
      </c>
      <c r="K91">
        <v>1</v>
      </c>
    </row>
    <row r="92" spans="1:11" x14ac:dyDescent="0.25">
      <c r="A92" s="45">
        <v>25</v>
      </c>
      <c r="B92" s="45" t="s">
        <v>233</v>
      </c>
      <c r="C92" s="45" t="s">
        <v>276</v>
      </c>
      <c r="D92" s="45" t="s">
        <v>9</v>
      </c>
      <c r="E92" s="45" t="s">
        <v>277</v>
      </c>
      <c r="F92" s="45" t="s">
        <v>235</v>
      </c>
      <c r="G92" s="45" t="s">
        <v>236</v>
      </c>
      <c r="H92" s="45">
        <v>9</v>
      </c>
      <c r="I92" s="45">
        <v>1</v>
      </c>
      <c r="J92" s="45">
        <v>10</v>
      </c>
      <c r="K92" s="45">
        <v>12</v>
      </c>
    </row>
    <row r="93" spans="1:11" x14ac:dyDescent="0.25">
      <c r="A93" s="45">
        <v>25</v>
      </c>
      <c r="B93" s="45" t="s">
        <v>233</v>
      </c>
      <c r="C93" s="45" t="s">
        <v>297</v>
      </c>
      <c r="D93" s="45" t="s">
        <v>9</v>
      </c>
      <c r="E93" s="45" t="s">
        <v>298</v>
      </c>
      <c r="F93" s="45" t="s">
        <v>235</v>
      </c>
      <c r="G93" s="45" t="s">
        <v>236</v>
      </c>
      <c r="H93" s="45">
        <v>4</v>
      </c>
      <c r="I93" s="45">
        <v>2</v>
      </c>
      <c r="J93" s="45">
        <v>6</v>
      </c>
      <c r="K93" s="45">
        <v>32</v>
      </c>
    </row>
  </sheetData>
  <sortState ref="A2:M108">
    <sortCondition ref="C2:C108"/>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
  <sheetViews>
    <sheetView workbookViewId="0">
      <selection activeCell="B6" sqref="B6"/>
    </sheetView>
  </sheetViews>
  <sheetFormatPr defaultRowHeight="15" x14ac:dyDescent="0.25"/>
  <cols>
    <col min="1" max="1" width="13.140625" customWidth="1"/>
    <col min="2" max="2" width="16.85546875" customWidth="1"/>
    <col min="3" max="3" width="16.5703125" bestFit="1" customWidth="1"/>
    <col min="4" max="4" width="14.85546875" bestFit="1" customWidth="1"/>
    <col min="7" max="8" width="17.42578125" customWidth="1"/>
    <col min="9" max="9" width="16.140625" customWidth="1"/>
    <col min="10" max="10" width="17.42578125" customWidth="1"/>
  </cols>
  <sheetData>
    <row r="1" spans="1:10" x14ac:dyDescent="0.25">
      <c r="A1" s="32" t="s">
        <v>89</v>
      </c>
      <c r="G1" s="32" t="s">
        <v>90</v>
      </c>
    </row>
    <row r="2" spans="1:10" x14ac:dyDescent="0.25">
      <c r="A2" s="3" t="s">
        <v>8</v>
      </c>
      <c r="B2" t="s">
        <v>1</v>
      </c>
    </row>
    <row r="4" spans="1:10" x14ac:dyDescent="0.25">
      <c r="A4" s="3" t="s">
        <v>4</v>
      </c>
      <c r="B4" t="s">
        <v>78</v>
      </c>
      <c r="C4" t="s">
        <v>77</v>
      </c>
      <c r="D4" t="s">
        <v>76</v>
      </c>
      <c r="G4" s="25" t="s">
        <v>4</v>
      </c>
      <c r="H4" s="25" t="s">
        <v>78</v>
      </c>
      <c r="I4" s="25" t="s">
        <v>77</v>
      </c>
      <c r="J4" s="25" t="s">
        <v>76</v>
      </c>
    </row>
    <row r="5" spans="1:10" x14ac:dyDescent="0.25">
      <c r="A5" s="1" t="s">
        <v>9</v>
      </c>
      <c r="B5" s="2">
        <v>36</v>
      </c>
      <c r="C5" s="2">
        <v>636</v>
      </c>
      <c r="D5" s="2">
        <v>672</v>
      </c>
      <c r="G5" s="1" t="s">
        <v>9</v>
      </c>
      <c r="H5" s="2">
        <f>GETPIVOTDATA("Sum of Cx pipiens",$A$4,"Zone","LV")</f>
        <v>36</v>
      </c>
      <c r="I5" s="2">
        <f>GETPIVOTDATA("Sum of Cx tarsalis",$A$4,"Zone","LV")</f>
        <v>636</v>
      </c>
      <c r="J5" s="2">
        <f>GETPIVOTDATA("Sum of Total CX",$A$4,"Zone","LV")</f>
        <v>672</v>
      </c>
    </row>
    <row r="6" spans="1:10" x14ac:dyDescent="0.25">
      <c r="A6" s="1" t="s">
        <v>61</v>
      </c>
      <c r="B6" s="2">
        <v>32</v>
      </c>
      <c r="C6" s="2">
        <v>98</v>
      </c>
      <c r="D6" s="2">
        <v>130</v>
      </c>
      <c r="G6" s="1" t="s">
        <v>61</v>
      </c>
      <c r="H6" s="2">
        <f>GETPIVOTDATA("Sum of Cx pipiens",$A$4,"Zone","NE")</f>
        <v>32</v>
      </c>
      <c r="I6" s="2">
        <f>GETPIVOTDATA("Sum of Cx tarsalis",$A$4,"Zone","NE")</f>
        <v>98</v>
      </c>
      <c r="J6" s="2">
        <f>GETPIVOTDATA("Sum of Total CX",$A$4,"Zone","NE")</f>
        <v>130</v>
      </c>
    </row>
    <row r="7" spans="1:10" x14ac:dyDescent="0.25">
      <c r="A7" s="1" t="s">
        <v>60</v>
      </c>
      <c r="B7" s="2">
        <v>6</v>
      </c>
      <c r="C7" s="2">
        <v>19</v>
      </c>
      <c r="D7" s="2">
        <v>25</v>
      </c>
      <c r="G7" s="1" t="s">
        <v>60</v>
      </c>
      <c r="H7" s="2">
        <f>GETPIVOTDATA("Sum of Cx pipiens",$A$4,"Zone","NW")</f>
        <v>6</v>
      </c>
      <c r="I7" s="2">
        <f>GETPIVOTDATA("Sum of Cx tarsalis",$A$4,"Zone","NW")</f>
        <v>19</v>
      </c>
      <c r="J7" s="2">
        <f>GETPIVOTDATA("Sum of Total CX",$A$4,"Zone","NW")</f>
        <v>25</v>
      </c>
    </row>
    <row r="8" spans="1:10" x14ac:dyDescent="0.25">
      <c r="A8" s="1" t="s">
        <v>62</v>
      </c>
      <c r="B8" s="2">
        <v>42</v>
      </c>
      <c r="C8" s="2">
        <v>96</v>
      </c>
      <c r="D8" s="2">
        <v>138</v>
      </c>
      <c r="G8" s="1" t="s">
        <v>62</v>
      </c>
      <c r="H8" s="2">
        <f>GETPIVOTDATA("Sum of Cx pipiens",$A$4,"Zone","SE")</f>
        <v>42</v>
      </c>
      <c r="I8" s="2">
        <f>GETPIVOTDATA("Sum of Cx tarsalis",$A$4,"Zone","SE")</f>
        <v>96</v>
      </c>
      <c r="J8" s="2">
        <f>GETPIVOTDATA("Sum of Total CX",$A$4,"Zone","SE")</f>
        <v>138</v>
      </c>
    </row>
    <row r="9" spans="1:10" x14ac:dyDescent="0.25">
      <c r="A9" s="1" t="s">
        <v>63</v>
      </c>
      <c r="B9" s="2">
        <v>7</v>
      </c>
      <c r="C9" s="2">
        <v>18</v>
      </c>
      <c r="D9" s="2">
        <v>25</v>
      </c>
      <c r="G9" s="1" t="s">
        <v>63</v>
      </c>
      <c r="H9" s="2">
        <f>GETPIVOTDATA("Sum of Cx pipiens",$A$4,"Zone","SW")</f>
        <v>7</v>
      </c>
      <c r="I9" s="2">
        <f>GETPIVOTDATA("Sum of Cx tarsalis",$A$4,"Zone","SW")</f>
        <v>18</v>
      </c>
      <c r="J9" s="2">
        <f>GETPIVOTDATA("Sum of Total CX",$A$4,"Zone","SW")</f>
        <v>25</v>
      </c>
    </row>
    <row r="10" spans="1:10" x14ac:dyDescent="0.25">
      <c r="A10" s="1" t="s">
        <v>106</v>
      </c>
      <c r="B10" s="2">
        <v>15</v>
      </c>
      <c r="C10" s="2">
        <v>161</v>
      </c>
      <c r="D10" s="2">
        <v>176</v>
      </c>
    </row>
    <row r="11" spans="1:10" x14ac:dyDescent="0.25">
      <c r="A11" s="1" t="s">
        <v>7</v>
      </c>
      <c r="B11" s="2">
        <v>138</v>
      </c>
      <c r="C11" s="2">
        <v>1028</v>
      </c>
      <c r="D11" s="2">
        <v>1166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
  <sheetViews>
    <sheetView workbookViewId="0">
      <selection activeCell="B8" sqref="B8"/>
    </sheetView>
  </sheetViews>
  <sheetFormatPr defaultRowHeight="15" x14ac:dyDescent="0.25"/>
  <cols>
    <col min="1" max="1" width="13.140625" bestFit="1" customWidth="1"/>
    <col min="2" max="2" width="16.28515625" customWidth="1"/>
    <col min="3" max="3" width="7.28515625" customWidth="1"/>
    <col min="4" max="4" width="11.28515625" customWidth="1"/>
    <col min="5" max="5" width="11.28515625" bestFit="1" customWidth="1"/>
  </cols>
  <sheetData>
    <row r="1" spans="1:11" x14ac:dyDescent="0.25">
      <c r="A1" s="62" t="s">
        <v>79</v>
      </c>
      <c r="B1" s="62"/>
      <c r="H1" s="62" t="s">
        <v>55</v>
      </c>
      <c r="I1" s="62"/>
    </row>
    <row r="2" spans="1:11" x14ac:dyDescent="0.25">
      <c r="A2" s="3" t="s">
        <v>8</v>
      </c>
      <c r="B2" t="s">
        <v>1</v>
      </c>
    </row>
    <row r="4" spans="1:11" x14ac:dyDescent="0.25">
      <c r="A4" s="3" t="s">
        <v>2</v>
      </c>
      <c r="B4" s="3" t="s">
        <v>3</v>
      </c>
      <c r="H4" s="24" t="s">
        <v>2</v>
      </c>
      <c r="I4" s="24" t="s">
        <v>3</v>
      </c>
      <c r="J4" s="24"/>
      <c r="K4" s="24"/>
    </row>
    <row r="5" spans="1:11" x14ac:dyDescent="0.25">
      <c r="A5" s="3" t="s">
        <v>4</v>
      </c>
      <c r="B5" t="s">
        <v>5</v>
      </c>
      <c r="C5" t="s">
        <v>6</v>
      </c>
      <c r="D5" t="s">
        <v>7</v>
      </c>
      <c r="H5" s="25" t="s">
        <v>4</v>
      </c>
      <c r="I5" s="25" t="s">
        <v>5</v>
      </c>
      <c r="J5" s="25" t="s">
        <v>6</v>
      </c>
      <c r="K5" s="25" t="s">
        <v>7</v>
      </c>
    </row>
    <row r="6" spans="1:11" x14ac:dyDescent="0.25">
      <c r="A6" s="1" t="s">
        <v>9</v>
      </c>
      <c r="B6" s="2">
        <v>2</v>
      </c>
      <c r="C6" s="2">
        <v>316</v>
      </c>
      <c r="D6" s="2">
        <v>318</v>
      </c>
      <c r="H6" s="1" t="s">
        <v>9</v>
      </c>
      <c r="I6" s="2">
        <f>GETPIVOTDATA("Total",$A$4,"Zone","LV","Spp","pipiens")</f>
        <v>2</v>
      </c>
      <c r="J6" s="2">
        <f>GETPIVOTDATA("Total",$A$4,"Zone","LV","Spp","tarsalis")</f>
        <v>316</v>
      </c>
      <c r="K6" s="2">
        <f>GETPIVOTDATA("Total",$A$4,"Zone","LV")</f>
        <v>318</v>
      </c>
    </row>
    <row r="7" spans="1:11" x14ac:dyDescent="0.25">
      <c r="A7" s="1" t="s">
        <v>61</v>
      </c>
      <c r="B7" s="2">
        <v>80</v>
      </c>
      <c r="C7" s="2">
        <v>98</v>
      </c>
      <c r="D7" s="2">
        <v>178</v>
      </c>
      <c r="H7" s="1" t="s">
        <v>61</v>
      </c>
      <c r="I7" s="2">
        <f>GETPIVOTDATA("Total",$A$4,"Zone","NE","Spp","pipiens")</f>
        <v>80</v>
      </c>
      <c r="J7" s="2">
        <f>GETPIVOTDATA("Total",$A$4,"Zone","NE","Spp","tarsalis")</f>
        <v>98</v>
      </c>
      <c r="K7" s="2">
        <f>GETPIVOTDATA("Total",$A$4,"Zone","NE")</f>
        <v>178</v>
      </c>
    </row>
    <row r="8" spans="1:11" x14ac:dyDescent="0.25">
      <c r="A8" s="1" t="s">
        <v>60</v>
      </c>
      <c r="B8" s="2">
        <v>19</v>
      </c>
      <c r="C8" s="2">
        <v>20</v>
      </c>
      <c r="D8" s="2">
        <v>39</v>
      </c>
      <c r="H8" s="1" t="s">
        <v>60</v>
      </c>
      <c r="I8" s="2">
        <f>GETPIVOTDATA("Total",$A$4,"Zone","NW","Spp","pipiens")</f>
        <v>19</v>
      </c>
      <c r="J8" s="2">
        <f>GETPIVOTDATA("Total",$A$4,"Zone","NW","Spp","tarsalis")</f>
        <v>20</v>
      </c>
      <c r="K8" s="2">
        <f>GETPIVOTDATA("Total",$A$4,"Zone","NW")</f>
        <v>39</v>
      </c>
    </row>
    <row r="9" spans="1:11" x14ac:dyDescent="0.25">
      <c r="A9" s="1" t="s">
        <v>62</v>
      </c>
      <c r="B9" s="2">
        <v>61</v>
      </c>
      <c r="C9" s="2">
        <v>128</v>
      </c>
      <c r="D9" s="2">
        <v>189</v>
      </c>
      <c r="H9" s="1" t="s">
        <v>62</v>
      </c>
      <c r="I9" s="2">
        <f>GETPIVOTDATA("Total",$A$4,"Zone","SE","Spp","pipiens")</f>
        <v>61</v>
      </c>
      <c r="J9" s="2">
        <f>GETPIVOTDATA("Total",$A$4,"Zone","SE","Spp","tarsalis")</f>
        <v>128</v>
      </c>
      <c r="K9" s="2">
        <f>GETPIVOTDATA("Total",$A$4,"Zone","SE")</f>
        <v>189</v>
      </c>
    </row>
    <row r="10" spans="1:11" x14ac:dyDescent="0.25">
      <c r="A10" s="1" t="s">
        <v>63</v>
      </c>
      <c r="B10" s="2">
        <v>30</v>
      </c>
      <c r="C10" s="2">
        <v>18</v>
      </c>
      <c r="D10" s="2">
        <v>48</v>
      </c>
      <c r="H10" s="1" t="s">
        <v>63</v>
      </c>
      <c r="I10" s="2">
        <f>GETPIVOTDATA("Total",$A$4,"Zone","SW","Spp","pipiens")</f>
        <v>30</v>
      </c>
      <c r="J10" s="2">
        <f>GETPIVOTDATA("Total",$A$4,"Zone","SW","Spp","tarsalis")</f>
        <v>18</v>
      </c>
      <c r="K10" s="2">
        <f>GETPIVOTDATA("Total",$A$4,"Zone","SW")</f>
        <v>48</v>
      </c>
    </row>
    <row r="11" spans="1:11" x14ac:dyDescent="0.25">
      <c r="A11" s="1" t="s">
        <v>7</v>
      </c>
      <c r="B11" s="2">
        <v>192</v>
      </c>
      <c r="C11" s="2">
        <v>580</v>
      </c>
      <c r="D11" s="2">
        <v>772</v>
      </c>
    </row>
  </sheetData>
  <mergeCells count="2">
    <mergeCell ref="A1:B1"/>
    <mergeCell ref="H1:I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
  <sheetViews>
    <sheetView workbookViewId="0">
      <selection activeCell="B6" sqref="B6"/>
    </sheetView>
  </sheetViews>
  <sheetFormatPr defaultRowHeight="15" x14ac:dyDescent="0.25"/>
  <cols>
    <col min="1" max="1" width="39.5703125" bestFit="1" customWidth="1"/>
    <col min="2" max="2" width="16.28515625" customWidth="1"/>
    <col min="3" max="3" width="7.28515625" customWidth="1"/>
    <col min="4" max="4" width="11.28515625" customWidth="1"/>
    <col min="5" max="5" width="11.28515625" bestFit="1" customWidth="1"/>
    <col min="7" max="7" width="12.42578125" customWidth="1"/>
    <col min="8" max="8" width="9.140625" customWidth="1"/>
  </cols>
  <sheetData>
    <row r="1" spans="1:10" x14ac:dyDescent="0.25">
      <c r="A1" s="32" t="s">
        <v>79</v>
      </c>
      <c r="G1" s="62" t="s">
        <v>55</v>
      </c>
      <c r="H1" s="62"/>
    </row>
    <row r="2" spans="1:10" x14ac:dyDescent="0.25">
      <c r="A2" s="3" t="s">
        <v>8</v>
      </c>
      <c r="B2" t="s">
        <v>1</v>
      </c>
    </row>
    <row r="4" spans="1:10" x14ac:dyDescent="0.25">
      <c r="A4" s="3" t="s">
        <v>91</v>
      </c>
      <c r="B4" s="3" t="s">
        <v>3</v>
      </c>
      <c r="G4" s="24" t="s">
        <v>91</v>
      </c>
      <c r="H4" s="24" t="s">
        <v>3</v>
      </c>
      <c r="I4" s="24"/>
      <c r="J4" s="24"/>
    </row>
    <row r="5" spans="1:10" x14ac:dyDescent="0.25">
      <c r="A5" s="3" t="s">
        <v>4</v>
      </c>
      <c r="B5" t="s">
        <v>5</v>
      </c>
      <c r="C5" t="s">
        <v>6</v>
      </c>
      <c r="D5" t="s">
        <v>7</v>
      </c>
      <c r="G5" s="25" t="s">
        <v>4</v>
      </c>
      <c r="H5" s="25" t="s">
        <v>5</v>
      </c>
      <c r="I5" s="25" t="s">
        <v>6</v>
      </c>
      <c r="J5" s="25" t="s">
        <v>7</v>
      </c>
    </row>
    <row r="6" spans="1:10" x14ac:dyDescent="0.25">
      <c r="A6" s="1" t="s">
        <v>9</v>
      </c>
      <c r="B6" s="2">
        <v>1</v>
      </c>
      <c r="C6" s="2">
        <v>10</v>
      </c>
      <c r="D6" s="2">
        <v>11</v>
      </c>
      <c r="G6" s="1" t="s">
        <v>9</v>
      </c>
      <c r="H6" s="2">
        <f>GETPIVOTDATA("CSU Pool Number     (CMC enters)",$A$4,"Zone","LV","Spp","pipiens")</f>
        <v>1</v>
      </c>
      <c r="I6" s="2">
        <f>GETPIVOTDATA("CSU Pool Number     (CMC enters)",$A$4,"Zone","LV","Spp","tarsalis")</f>
        <v>10</v>
      </c>
      <c r="J6" s="2">
        <f>GETPIVOTDATA("CSU Pool Number     (CMC enters)",$A$4,"Zone","LV")</f>
        <v>11</v>
      </c>
    </row>
    <row r="7" spans="1:10" x14ac:dyDescent="0.25">
      <c r="A7" s="1" t="s">
        <v>61</v>
      </c>
      <c r="B7" s="2">
        <v>11</v>
      </c>
      <c r="C7" s="2">
        <v>8</v>
      </c>
      <c r="D7" s="2">
        <v>19</v>
      </c>
      <c r="G7" s="1" t="s">
        <v>61</v>
      </c>
      <c r="H7" s="2">
        <f>GETPIVOTDATA("CSU Pool Number     (CMC enters)",$A$4,"Zone","NE","Spp","pipiens")</f>
        <v>11</v>
      </c>
      <c r="I7" s="2">
        <f>GETPIVOTDATA("CSU Pool Number     (CMC enters)",$A$4,"Zone","NE","Spp","tarsalis")</f>
        <v>8</v>
      </c>
      <c r="J7" s="2">
        <f>GETPIVOTDATA("CSU Pool Number     (CMC enters)",$A$4,"Zone","NE")</f>
        <v>19</v>
      </c>
    </row>
    <row r="8" spans="1:10" x14ac:dyDescent="0.25">
      <c r="A8" s="1" t="s">
        <v>60</v>
      </c>
      <c r="B8" s="2">
        <v>7</v>
      </c>
      <c r="C8" s="2">
        <v>9</v>
      </c>
      <c r="D8" s="2">
        <v>16</v>
      </c>
      <c r="G8" s="1" t="s">
        <v>60</v>
      </c>
      <c r="H8" s="2">
        <f>GETPIVOTDATA("CSU Pool Number     (CMC enters)",$A$4,"Zone","NW","Spp","pipiens")</f>
        <v>7</v>
      </c>
      <c r="I8" s="2">
        <f>GETPIVOTDATA("CSU Pool Number     (CMC enters)",$A$4,"Zone","NW","Spp","tarsalis")</f>
        <v>9</v>
      </c>
      <c r="J8" s="2">
        <f>GETPIVOTDATA("CSU Pool Number     (CMC enters)",$A$4,"Zone","NW")</f>
        <v>16</v>
      </c>
    </row>
    <row r="9" spans="1:10" x14ac:dyDescent="0.25">
      <c r="A9" s="1" t="s">
        <v>62</v>
      </c>
      <c r="B9" s="2">
        <v>8</v>
      </c>
      <c r="C9" s="2">
        <v>11</v>
      </c>
      <c r="D9" s="2">
        <v>19</v>
      </c>
      <c r="G9" s="1" t="s">
        <v>62</v>
      </c>
      <c r="H9" s="2">
        <f>GETPIVOTDATA("CSU Pool Number     (CMC enters)",$A$4,"Zone","SE","Spp","pipiens")</f>
        <v>8</v>
      </c>
      <c r="I9" s="2">
        <f>GETPIVOTDATA("CSU Pool Number     (CMC enters)",$A$4,"Zone","SE","Spp","tarsalis")</f>
        <v>11</v>
      </c>
      <c r="J9" s="2">
        <f>GETPIVOTDATA("CSU Pool Number     (CMC enters)",$A$4,"Zone","SE")</f>
        <v>19</v>
      </c>
    </row>
    <row r="10" spans="1:10" x14ac:dyDescent="0.25">
      <c r="A10" s="1" t="s">
        <v>63</v>
      </c>
      <c r="B10" s="2">
        <v>4</v>
      </c>
      <c r="C10" s="2">
        <v>3</v>
      </c>
      <c r="D10" s="2">
        <v>7</v>
      </c>
      <c r="G10" s="1" t="s">
        <v>63</v>
      </c>
      <c r="H10" s="2">
        <f>GETPIVOTDATA("CSU Pool Number     (CMC enters)",$A$4,"Zone","SW","Spp","pipiens")</f>
        <v>4</v>
      </c>
      <c r="I10" s="2">
        <f>GETPIVOTDATA("CSU Pool Number     (CMC enters)",$A$4,"Zone","SW","Spp","tarsalis")</f>
        <v>3</v>
      </c>
      <c r="J10" s="2">
        <f>GETPIVOTDATA("CSU Pool Number     (CMC enters)",$A$4,"Zone","SW")</f>
        <v>7</v>
      </c>
    </row>
    <row r="11" spans="1:10" x14ac:dyDescent="0.25">
      <c r="A11" s="1" t="s">
        <v>7</v>
      </c>
      <c r="B11" s="2">
        <v>31</v>
      </c>
      <c r="C11" s="2">
        <v>41</v>
      </c>
      <c r="D11" s="2">
        <v>72</v>
      </c>
    </row>
  </sheetData>
  <mergeCells count="1">
    <mergeCell ref="G1:H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I12"/>
  <sheetViews>
    <sheetView workbookViewId="0">
      <selection activeCell="B8" sqref="B8"/>
    </sheetView>
  </sheetViews>
  <sheetFormatPr defaultRowHeight="15" x14ac:dyDescent="0.25"/>
  <cols>
    <col min="1" max="1" width="28.140625" customWidth="1"/>
    <col min="2" max="2" width="16.28515625" customWidth="1"/>
    <col min="3" max="3" width="7.28515625" customWidth="1"/>
    <col min="4" max="5" width="11.28515625" customWidth="1"/>
    <col min="6" max="123" width="16.28515625" bestFit="1" customWidth="1"/>
    <col min="124" max="124" width="11.28515625" bestFit="1" customWidth="1"/>
  </cols>
  <sheetData>
    <row r="1" spans="1:9" x14ac:dyDescent="0.25">
      <c r="A1" s="62" t="s">
        <v>79</v>
      </c>
      <c r="B1" s="62"/>
      <c r="C1" s="62"/>
      <c r="F1" s="32" t="s">
        <v>55</v>
      </c>
    </row>
    <row r="3" spans="1:9" x14ac:dyDescent="0.25">
      <c r="A3" s="3" t="s">
        <v>0</v>
      </c>
      <c r="B3" t="s">
        <v>1</v>
      </c>
    </row>
    <row r="5" spans="1:9" x14ac:dyDescent="0.25">
      <c r="A5" s="3" t="s">
        <v>92</v>
      </c>
      <c r="B5" s="3" t="s">
        <v>3</v>
      </c>
      <c r="F5" s="24" t="s">
        <v>49</v>
      </c>
      <c r="G5" s="24" t="s">
        <v>3</v>
      </c>
      <c r="H5" s="24"/>
      <c r="I5" s="24"/>
    </row>
    <row r="6" spans="1:9" x14ac:dyDescent="0.25">
      <c r="A6" s="3" t="s">
        <v>4</v>
      </c>
      <c r="B6" t="s">
        <v>5</v>
      </c>
      <c r="C6" t="s">
        <v>6</v>
      </c>
      <c r="D6" t="s">
        <v>7</v>
      </c>
      <c r="F6" s="25" t="s">
        <v>4</v>
      </c>
      <c r="G6" s="25" t="s">
        <v>5</v>
      </c>
      <c r="H6" s="25" t="s">
        <v>6</v>
      </c>
      <c r="I6" s="25" t="s">
        <v>7</v>
      </c>
    </row>
    <row r="7" spans="1:9" x14ac:dyDescent="0.25">
      <c r="A7" s="1" t="s">
        <v>60</v>
      </c>
      <c r="B7" s="2">
        <v>0</v>
      </c>
      <c r="C7" s="2">
        <v>0</v>
      </c>
      <c r="D7" s="2">
        <v>0</v>
      </c>
      <c r="F7" s="1" t="s">
        <v>60</v>
      </c>
      <c r="G7" s="2">
        <f>GETPIVOTDATA("Test code (CSU enters)",$A$5,"Zone","NW","Spp","pipiens")</f>
        <v>0</v>
      </c>
      <c r="H7" s="2">
        <f>GETPIVOTDATA("Test code (CSU enters)",$A$5,"Zone","NW","Spp","tarsalis")</f>
        <v>0</v>
      </c>
      <c r="I7" s="2">
        <f>GETPIVOTDATA("Test code (CSU enters)",$A$5,"Zone","NW")</f>
        <v>0</v>
      </c>
    </row>
    <row r="8" spans="1:9" x14ac:dyDescent="0.25">
      <c r="A8" s="1" t="s">
        <v>61</v>
      </c>
      <c r="B8" s="2">
        <v>0</v>
      </c>
      <c r="C8" s="2">
        <v>0</v>
      </c>
      <c r="D8" s="2">
        <v>0</v>
      </c>
      <c r="F8" s="1" t="s">
        <v>61</v>
      </c>
      <c r="G8" s="2">
        <f>GETPIVOTDATA("Test code (CSU enters)",$A$5,"Zone","NE","Spp","pipiens")</f>
        <v>0</v>
      </c>
      <c r="H8" s="2">
        <f>GETPIVOTDATA("Test code (CSU enters)",$A$5,"Zone","NE","Spp","tarsalis")</f>
        <v>0</v>
      </c>
      <c r="I8" s="2">
        <f>GETPIVOTDATA("Test code (CSU enters)",$A$5,"Zone","NE")</f>
        <v>0</v>
      </c>
    </row>
    <row r="9" spans="1:9" x14ac:dyDescent="0.25">
      <c r="A9" s="1" t="s">
        <v>62</v>
      </c>
      <c r="B9" s="2">
        <v>0</v>
      </c>
      <c r="C9" s="2">
        <v>0</v>
      </c>
      <c r="D9" s="2">
        <v>0</v>
      </c>
      <c r="F9" s="1" t="s">
        <v>62</v>
      </c>
      <c r="G9" s="2">
        <f>GETPIVOTDATA("Test code (CSU enters)",$A$5,"Zone","SE","Spp","pipiens")</f>
        <v>0</v>
      </c>
      <c r="H9" s="2">
        <f>GETPIVOTDATA("Test code (CSU enters)",$A$5,"Zone","SE","Spp","tarsalis")</f>
        <v>0</v>
      </c>
      <c r="I9" s="2">
        <f>GETPIVOTDATA("Test code (CSU enters)",$A$5,"Zone","SE")</f>
        <v>0</v>
      </c>
    </row>
    <row r="10" spans="1:9" x14ac:dyDescent="0.25">
      <c r="A10" s="1" t="s">
        <v>63</v>
      </c>
      <c r="B10" s="2">
        <v>0</v>
      </c>
      <c r="C10" s="2">
        <v>0</v>
      </c>
      <c r="D10" s="2">
        <v>0</v>
      </c>
      <c r="F10" s="1" t="s">
        <v>63</v>
      </c>
      <c r="G10" s="2">
        <f>GETPIVOTDATA("Test code (CSU enters)",$A$5,"Zone","SW","Spp","pipiens")</f>
        <v>0</v>
      </c>
      <c r="H10" s="2">
        <f>GETPIVOTDATA("Test code (CSU enters)",$A$5,"Zone","SW","Spp","tarsalis")</f>
        <v>0</v>
      </c>
      <c r="I10" s="2">
        <f>GETPIVOTDATA("Test code (CSU enters)",$A$5,"Zone","SW")</f>
        <v>0</v>
      </c>
    </row>
    <row r="11" spans="1:9" x14ac:dyDescent="0.25">
      <c r="A11" s="1" t="s">
        <v>9</v>
      </c>
      <c r="B11" s="2">
        <v>0</v>
      </c>
      <c r="C11" s="2">
        <v>0</v>
      </c>
      <c r="D11" s="2">
        <v>0</v>
      </c>
      <c r="F11" s="1" t="s">
        <v>9</v>
      </c>
      <c r="G11" s="2">
        <f>GETPIVOTDATA("Test code (CSU enters)",$A$5,"Zone","LV","Spp","pipiens")</f>
        <v>0</v>
      </c>
      <c r="H11" s="2">
        <f>GETPIVOTDATA("Test code (CSU enters)",$A$5,"Zone","LV","Spp","tarsalis")</f>
        <v>0</v>
      </c>
      <c r="I11" s="2">
        <f>GETPIVOTDATA("Test code (CSU enters)",$A$5,"Zone","LV")</f>
        <v>0</v>
      </c>
    </row>
    <row r="12" spans="1:9" x14ac:dyDescent="0.25">
      <c r="A12" s="1" t="s">
        <v>7</v>
      </c>
      <c r="B12" s="2">
        <v>0</v>
      </c>
      <c r="C12" s="2">
        <v>0</v>
      </c>
      <c r="D12" s="2">
        <v>0</v>
      </c>
    </row>
  </sheetData>
  <mergeCells count="1">
    <mergeCell ref="A1:C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workbookViewId="0">
      <selection activeCell="C3" sqref="C3"/>
    </sheetView>
  </sheetViews>
  <sheetFormatPr defaultRowHeight="15" x14ac:dyDescent="0.25"/>
  <cols>
    <col min="1" max="1" width="15.85546875" customWidth="1"/>
    <col min="2" max="2" width="12.140625" customWidth="1"/>
    <col min="3" max="3" width="14.42578125" customWidth="1"/>
  </cols>
  <sheetData>
    <row r="1" spans="1:3" x14ac:dyDescent="0.25">
      <c r="A1" s="33" t="s">
        <v>65</v>
      </c>
      <c r="B1" s="33" t="s">
        <v>66</v>
      </c>
      <c r="C1" s="33" t="s">
        <v>64</v>
      </c>
    </row>
    <row r="2" spans="1:3" x14ac:dyDescent="0.25">
      <c r="A2" t="s">
        <v>47</v>
      </c>
      <c r="B2" t="s">
        <v>15</v>
      </c>
      <c r="C2" s="30">
        <v>0</v>
      </c>
    </row>
    <row r="3" spans="1:3" x14ac:dyDescent="0.25">
      <c r="A3" t="s">
        <v>47</v>
      </c>
      <c r="B3" t="s">
        <v>16</v>
      </c>
      <c r="C3" s="30">
        <v>0</v>
      </c>
    </row>
    <row r="4" spans="1:3" x14ac:dyDescent="0.25">
      <c r="A4" t="s">
        <v>9</v>
      </c>
      <c r="B4" t="s">
        <v>15</v>
      </c>
      <c r="C4" s="30">
        <v>0</v>
      </c>
    </row>
    <row r="5" spans="1:3" x14ac:dyDescent="0.25">
      <c r="A5" t="s">
        <v>9</v>
      </c>
      <c r="B5" t="s">
        <v>16</v>
      </c>
      <c r="C5" s="30">
        <v>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1"/>
  <sheetViews>
    <sheetView workbookViewId="0">
      <selection activeCell="C10" sqref="C10"/>
    </sheetView>
  </sheetViews>
  <sheetFormatPr defaultRowHeight="15" x14ac:dyDescent="0.25"/>
  <cols>
    <col min="2" max="2" width="15.7109375" customWidth="1"/>
    <col min="3" max="3" width="13.140625" customWidth="1"/>
  </cols>
  <sheetData>
    <row r="1" spans="1:3" x14ac:dyDescent="0.25">
      <c r="A1" s="33" t="s">
        <v>67</v>
      </c>
      <c r="B1" s="33" t="s">
        <v>66</v>
      </c>
      <c r="C1" s="33" t="s">
        <v>64</v>
      </c>
    </row>
    <row r="2" spans="1:3" x14ac:dyDescent="0.25">
      <c r="A2" t="s">
        <v>60</v>
      </c>
      <c r="B2" t="s">
        <v>15</v>
      </c>
      <c r="C2" s="30">
        <v>0</v>
      </c>
    </row>
    <row r="3" spans="1:3" x14ac:dyDescent="0.25">
      <c r="A3" t="s">
        <v>60</v>
      </c>
      <c r="B3" t="s">
        <v>16</v>
      </c>
      <c r="C3" s="30">
        <v>0</v>
      </c>
    </row>
    <row r="4" spans="1:3" x14ac:dyDescent="0.25">
      <c r="A4" t="s">
        <v>61</v>
      </c>
      <c r="B4" t="s">
        <v>15</v>
      </c>
      <c r="C4" s="30">
        <v>0</v>
      </c>
    </row>
    <row r="5" spans="1:3" x14ac:dyDescent="0.25">
      <c r="A5" t="s">
        <v>61</v>
      </c>
      <c r="B5" t="s">
        <v>16</v>
      </c>
      <c r="C5" s="30">
        <v>0</v>
      </c>
    </row>
    <row r="6" spans="1:3" x14ac:dyDescent="0.25">
      <c r="A6" t="s">
        <v>62</v>
      </c>
      <c r="B6" t="s">
        <v>15</v>
      </c>
      <c r="C6" s="30">
        <v>0</v>
      </c>
    </row>
    <row r="7" spans="1:3" x14ac:dyDescent="0.25">
      <c r="A7" t="s">
        <v>62</v>
      </c>
      <c r="B7" t="s">
        <v>16</v>
      </c>
      <c r="C7" s="30">
        <v>0</v>
      </c>
    </row>
    <row r="8" spans="1:3" x14ac:dyDescent="0.25">
      <c r="A8" t="s">
        <v>63</v>
      </c>
      <c r="B8" t="s">
        <v>15</v>
      </c>
      <c r="C8" s="30">
        <v>0</v>
      </c>
    </row>
    <row r="9" spans="1:3" x14ac:dyDescent="0.25">
      <c r="A9" t="s">
        <v>63</v>
      </c>
      <c r="B9" t="s">
        <v>16</v>
      </c>
      <c r="C9" s="30">
        <v>0</v>
      </c>
    </row>
    <row r="12" spans="1:3" x14ac:dyDescent="0.25">
      <c r="B12" s="30"/>
    </row>
    <row r="13" spans="1:3" x14ac:dyDescent="0.25">
      <c r="B13" s="30"/>
    </row>
    <row r="14" spans="1:3" x14ac:dyDescent="0.25">
      <c r="B14" s="30"/>
    </row>
    <row r="15" spans="1:3" x14ac:dyDescent="0.25">
      <c r="B15" s="30"/>
    </row>
    <row r="16" spans="1:3" x14ac:dyDescent="0.25">
      <c r="B16" s="30"/>
    </row>
    <row r="17" spans="2:2" x14ac:dyDescent="0.25">
      <c r="B17" s="30"/>
    </row>
    <row r="18" spans="2:2" x14ac:dyDescent="0.25">
      <c r="B18" s="30"/>
    </row>
    <row r="19" spans="2:2" x14ac:dyDescent="0.25">
      <c r="B19" s="30"/>
    </row>
    <row r="20" spans="2:2" x14ac:dyDescent="0.25">
      <c r="B20" s="30"/>
    </row>
    <row r="21" spans="2:2" x14ac:dyDescent="0.25">
      <c r="B21" s="30"/>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A215D7414098A47AE0058BB79CA1FAC" ma:contentTypeVersion="13" ma:contentTypeDescription="Create a new document." ma:contentTypeScope="" ma:versionID="99600bc529288f7394c1d40d0e8463b8">
  <xsd:schema xmlns:xsd="http://www.w3.org/2001/XMLSchema" xmlns:xs="http://www.w3.org/2001/XMLSchema" xmlns:p="http://schemas.microsoft.com/office/2006/metadata/properties" xmlns:ns2="68f9834a-47db-4dd9-9f26-213cbb22c8a0" xmlns:ns3="50bf555d-2b28-452c-9b06-416f2f267a7f" targetNamespace="http://schemas.microsoft.com/office/2006/metadata/properties" ma:root="true" ma:fieldsID="a7132ee0333719944cfc193eb779b4a0" ns2:_="" ns3:_="">
    <xsd:import namespace="68f9834a-47db-4dd9-9f26-213cbb22c8a0"/>
    <xsd:import namespace="50bf555d-2b28-452c-9b06-416f2f267a7f"/>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ObjectDetectorVersions" minOccurs="0"/>
                <xsd:element ref="ns2:MediaServiceLocatio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8f9834a-47db-4dd9-9f26-213cbb22c8a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Location" ma:index="12" nillable="true" ma:displayName="Location" ma:indexed="true" ma:internalName="MediaServiceLocatio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5809afe7-41e7-411a-ade2-84efccde1b30"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element name="MediaServiceSearchProperties" ma:index="20"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50bf555d-2b28-452c-9b06-416f2f267a7f"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b5d093b3-3192-4ec2-b7b4-11078e9575d6}" ma:internalName="TaxCatchAll" ma:showField="CatchAllData" ma:web="50bf555d-2b28-452c-9b06-416f2f267a7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68f9834a-47db-4dd9-9f26-213cbb22c8a0">
      <Terms xmlns="http://schemas.microsoft.com/office/infopath/2007/PartnerControls"/>
    </lcf76f155ced4ddcb4097134ff3c332f>
    <TaxCatchAll xmlns="50bf555d-2b28-452c-9b06-416f2f267a7f" xsi:nil="true"/>
  </documentManagement>
</p:properties>
</file>

<file path=customXml/itemProps1.xml><?xml version="1.0" encoding="utf-8"?>
<ds:datastoreItem xmlns:ds="http://schemas.openxmlformats.org/officeDocument/2006/customXml" ds:itemID="{55487CD5-74D3-4B4C-B13D-B6C23B083027}"/>
</file>

<file path=customXml/itemProps2.xml><?xml version="1.0" encoding="utf-8"?>
<ds:datastoreItem xmlns:ds="http://schemas.openxmlformats.org/officeDocument/2006/customXml" ds:itemID="{95689325-45C9-4B83-A16C-2B4F8863FE52}"/>
</file>

<file path=customXml/itemProps3.xml><?xml version="1.0" encoding="utf-8"?>
<ds:datastoreItem xmlns:ds="http://schemas.openxmlformats.org/officeDocument/2006/customXml" ds:itemID="{71228A37-07A1-4959-A7B1-70CC92E7BDCA}"/>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READ ME</vt:lpstr>
      <vt:lpstr>Weekly Data Input</vt:lpstr>
      <vt:lpstr>Weekly 009 input (- Grav, Mal)</vt:lpstr>
      <vt:lpstr>Total Number Of Ind</vt:lpstr>
      <vt:lpstr>Total Number Ind Examined </vt:lpstr>
      <vt:lpstr>Total Number of Pools Examined</vt:lpstr>
      <vt:lpstr>Total Number of WNV + Pools</vt:lpstr>
      <vt:lpstr>CITYINFRATE</vt:lpstr>
      <vt:lpstr>ZONEINFRATE</vt:lpstr>
      <vt:lpstr>Graphs</vt:lpstr>
    </vt:vector>
  </TitlesOfParts>
  <Company>Hewlett-Packard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Joseph Fauver</dc:creator>
  <cp:lastModifiedBy>Tin Foil Hat</cp:lastModifiedBy>
  <cp:lastPrinted>2014-06-05T20:46:13Z</cp:lastPrinted>
  <dcterms:created xsi:type="dcterms:W3CDTF">2014-05-12T19:16:27Z</dcterms:created>
  <dcterms:modified xsi:type="dcterms:W3CDTF">2017-05-19T14:53:48Z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0x0101003A215D7414098A47AE0058BB79CA1FAC</vt:lpwstr>
  </property>
  <property fmtid="{D5CDD505-2E9C-101B-9397-08002B2CF9AE}" pid="3" name="Order">
    <vt:r8>1218200</vt:r8>
  </property>
</Properties>
</file>