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worksheets/sheet1.xml" ContentType="application/vnd.openxmlformats-officedocument.spreadsheetml.worksheet+xml"/>
  <Override PartName="/xl/sharedStrings.xml" ContentType="application/vnd.openxmlformats-officedocument.spreadsheetml.sharedStrings+xml"/>
  <Override PartName="/xl/pivotTables/pivotTable1.xml" ContentType="application/vnd.openxmlformats-officedocument.spreadsheetml.pivotTable+xml"/>
  <Override PartName="/xl/theme/theme1.xml" ContentType="application/vnd.openxmlformats-officedocument.theme+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docProps/core.xml" ContentType="application/vnd.openxmlformats-package.core-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27\"/>
    </mc:Choice>
  </mc:AlternateContent>
  <bookViews>
    <workbookView xWindow="0" yWindow="0" windowWidth="25125" windowHeight="14010" tabRatio="905" activeTab="1"/>
  </bookViews>
  <sheets>
    <sheet name="READ ME" sheetId="65" r:id="rId1"/>
    <sheet name="Weekly Data Input" sheetId="2" r:id="rId2"/>
    <sheet name="InfRateZo2" sheetId="101" r:id="rId3"/>
    <sheet name="InfRateZo" sheetId="99" r:id="rId4"/>
    <sheet name="InfRateTotal" sheetId="97" r:id="rId5"/>
    <sheet name="InfRateCollectionSite" sheetId="95" r:id="rId6"/>
    <sheet name="InfRateCI" sheetId="93" r:id="rId7"/>
    <sheet name="InfRateZone" sheetId="91" r:id="rId8"/>
    <sheet name="Weekly 009 input (- Grav, Mal)" sheetId="59" r:id="rId9"/>
    <sheet name="Total Number Of Ind" sheetId="63" r:id="rId10"/>
    <sheet name="Total Number Ind Examined " sheetId="61" r:id="rId11"/>
    <sheet name="Total Number of Pools Examined" sheetId="64" r:id="rId12"/>
    <sheet name="Total Number of WNV + Pools" sheetId="6" r:id="rId13"/>
    <sheet name="CITYINFRATE" sheetId="57" r:id="rId14"/>
    <sheet name="ZONEINFRATE" sheetId="58" r:id="rId15"/>
    <sheet name="Graphs" sheetId="5" r:id="rId16"/>
  </sheets>
  <definedNames>
    <definedName name="_xlnm._FilterDatabase" localSheetId="1" hidden="1">'Weekly Data Input'!#REF!</definedName>
  </definedNames>
  <calcPr calcId="171027"/>
  <pivotCaches>
    <pivotCache cacheId="20" r:id="rId17"/>
    <pivotCache cacheId="21" r:id="rId18"/>
  </pivotCaches>
</workbook>
</file>

<file path=xl/calcChain.xml><?xml version="1.0" encoding="utf-8"?>
<calcChain xmlns="http://schemas.openxmlformats.org/spreadsheetml/2006/main">
  <c r="W77" i="2" l="1"/>
  <c r="W86" i="2"/>
  <c r="W71" i="2"/>
  <c r="W29" i="2"/>
  <c r="N67" i="5" l="1"/>
  <c r="M3" i="59" l="1"/>
  <c r="M4" i="59"/>
  <c r="M5" i="59"/>
  <c r="M6" i="59"/>
  <c r="M7" i="59"/>
  <c r="M8" i="59"/>
  <c r="M9" i="59"/>
  <c r="M10" i="59"/>
  <c r="M11" i="59"/>
  <c r="M12" i="59"/>
  <c r="M13" i="59"/>
  <c r="M14" i="59"/>
  <c r="M16" i="59"/>
  <c r="M17" i="59"/>
  <c r="M18" i="59"/>
  <c r="M19" i="59"/>
  <c r="M21" i="59"/>
  <c r="M22" i="59"/>
  <c r="M25" i="59"/>
  <c r="M26" i="59"/>
  <c r="M27" i="59"/>
  <c r="M28" i="59"/>
  <c r="M29" i="59"/>
  <c r="M15" i="59"/>
  <c r="M20" i="59"/>
  <c r="M23" i="59"/>
  <c r="M24"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2" i="59"/>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8" i="6"/>
  <c r="J6" i="61"/>
  <c r="I10" i="6"/>
  <c r="H8" i="64"/>
  <c r="I8" i="6"/>
  <c r="J9" i="61"/>
  <c r="J9" i="64"/>
  <c r="H10" i="6"/>
  <c r="I9" i="61"/>
  <c r="H10" i="64"/>
  <c r="K9" i="61"/>
  <c r="H11" i="6"/>
  <c r="G7" i="6"/>
  <c r="I8" i="64"/>
  <c r="K6" i="61"/>
  <c r="I11" i="6"/>
  <c r="K8" i="61"/>
  <c r="I9" i="6"/>
  <c r="J7" i="61"/>
  <c r="H9" i="64"/>
  <c r="J8" i="64"/>
  <c r="K10" i="61"/>
  <c r="J8" i="61"/>
  <c r="I10" i="61"/>
  <c r="I9" i="64"/>
  <c r="K7" i="61"/>
  <c r="I6" i="64"/>
  <c r="J10" i="64"/>
  <c r="I7" i="61"/>
  <c r="H7" i="6"/>
  <c r="I7" i="64"/>
  <c r="J6" i="64"/>
  <c r="G10" i="6"/>
  <c r="G9" i="6"/>
  <c r="G8" i="6"/>
  <c r="I8" i="61"/>
  <c r="J7" i="64"/>
  <c r="H9" i="6"/>
  <c r="J10" i="61"/>
  <c r="H7" i="64"/>
  <c r="G11" i="6"/>
  <c r="I7" i="6"/>
  <c r="I6" i="61"/>
  <c r="H6" i="64"/>
  <c r="I10" i="64"/>
  <c r="H6" i="63"/>
  <c r="J6" i="63"/>
  <c r="H8" i="63"/>
  <c r="H9" i="63"/>
  <c r="I7" i="63"/>
  <c r="I6" i="63"/>
  <c r="J7" i="63"/>
  <c r="J5" i="63"/>
  <c r="I5" i="63"/>
  <c r="H7" i="63"/>
  <c r="J8" i="63"/>
  <c r="I9" i="63"/>
  <c r="J9" i="63"/>
  <c r="H5" i="63"/>
  <c r="I8"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<sst xmlns="http://schemas.openxmlformats.org/spreadsheetml/2006/main" count="2215" uniqueCount="443">
  <si>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</si>
  <si>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</si>
  <si>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</si>
  <si>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</si>
  <si>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</si>
  <si>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</si>
  <si>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</si>
  <si>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</si>
  <si>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</si>
  <si>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</si>
  <si>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</si>
  <si>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</si>
  <si>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</si>
  <si>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</si>
  <si>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</si>
  <si>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</si>
  <si>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</si>
  <si>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</si>
  <si>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</si>
  <si>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</si>
  <si>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</si>
  <si>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</si>
  <si>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</si>
  <si>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</si>
  <si>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</si>
  <si>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</si>
  <si>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</si>
  <si>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</si>
  <si>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</si>
  <si>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</si>
  <si>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</si>
  <si>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</si>
  <si>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</si>
  <si>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</si>
  <si>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</si>
  <si>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</si>
  <si>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</si>
  <si>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</si>
  <si>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</si>
  <si>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</si>
  <si>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</si>
  <si>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</si>
  <si>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</si>
  <si>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</si>
  <si>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</si>
  <si>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</si>
  <si>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</si>
  <si>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</si>
  <si>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</si>
  <si>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</si>
  <si>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</si>
  <si>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</si>
  <si>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</si>
  <si>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</si>
  <si>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</si>
  <si>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</si>
  <si>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</si>
  <si>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</si>
  <si>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</si>
  <si>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</si>
  <si>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</si>
  <si>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</si>
  <si>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</si>
  <si>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</si>
  <si>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</si>
  <si>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</si>
  <si>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</si>
  <si>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</si>
  <si>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</si>
  <si>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</si>
  <si>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</si>
  <si>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</si>
  <si>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</si>
  <si>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</si>
  <si>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</si>
  <si>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</si>
  <si>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</si>
  <si>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</si>
  <si>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</si>
  <si>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</si>
  <si>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</si>
  <si>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</si>
  <si>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</si>
  <si>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</si>
  <si>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</si>
  <si>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</si>
  <si>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</si>
  <si>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</si>
  <si>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</si>
  <si>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</si>
  <si>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</si>
  <si>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</si>
  <si>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</si>
  <si>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</si>
  <si>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</si>
  <si>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</si>
  <si>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</si>
  <si>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</si>
  <si>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</si>
  <si>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</si>
  <si>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</si>
  <si>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</si>
  <si>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</si>
  <si>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</si>
  <si>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</si>
  <si>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</si>
  <si>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LV-069</t>
  </si>
  <si>
    <t>L</t>
  </si>
  <si>
    <t>Cx.</t>
  </si>
  <si>
    <t>F</t>
  </si>
  <si>
    <t>FC-036</t>
  </si>
  <si>
    <t>FC-066gr</t>
  </si>
  <si>
    <t>G</t>
  </si>
  <si>
    <t>FC-014</t>
  </si>
  <si>
    <t>LV-095</t>
  </si>
  <si>
    <t>FC-019</t>
  </si>
  <si>
    <t>FC-040</t>
  </si>
  <si>
    <t>FC-034</t>
  </si>
  <si>
    <t>FC-040gr</t>
  </si>
  <si>
    <t>FC-091gr</t>
  </si>
  <si>
    <t>FC-038</t>
  </si>
  <si>
    <t>FC-006</t>
  </si>
  <si>
    <t>FC-069</t>
  </si>
  <si>
    <t>FC-092gr</t>
  </si>
  <si>
    <t>FC-072</t>
  </si>
  <si>
    <t>FC-067</t>
  </si>
  <si>
    <t>FC-066</t>
  </si>
  <si>
    <t>LV-104</t>
  </si>
  <si>
    <t>LV-089</t>
  </si>
  <si>
    <t>LV-110</t>
  </si>
  <si>
    <t>FC-046</t>
  </si>
  <si>
    <t>FC-031</t>
  </si>
  <si>
    <t>FC-039</t>
  </si>
  <si>
    <t>FC-050</t>
  </si>
  <si>
    <t>FC-027</t>
  </si>
  <si>
    <t>FC-023</t>
  </si>
  <si>
    <t>FC-074</t>
  </si>
  <si>
    <t>FC-004</t>
  </si>
  <si>
    <t>FC-064</t>
  </si>
  <si>
    <t>FC-075gr</t>
  </si>
  <si>
    <t>FC-088gr</t>
  </si>
  <si>
    <t>LV-020</t>
  </si>
  <si>
    <t>FC-052</t>
  </si>
  <si>
    <t>FC-073</t>
  </si>
  <si>
    <t>FC-090gr</t>
  </si>
  <si>
    <t>FC-061</t>
  </si>
  <si>
    <t>FC-041</t>
  </si>
  <si>
    <t>FC-063</t>
  </si>
  <si>
    <t>FC-058</t>
  </si>
  <si>
    <t>FC-015</t>
  </si>
  <si>
    <t>FC-063gr</t>
  </si>
  <si>
    <t>FC-011</t>
  </si>
  <si>
    <t>FC-053</t>
  </si>
  <si>
    <t>FC-049</t>
  </si>
  <si>
    <t>FC-059</t>
  </si>
  <si>
    <t>Waterfront at Boyd Lake</t>
  </si>
  <si>
    <t>LIGHT</t>
  </si>
  <si>
    <t>NO</t>
  </si>
  <si>
    <t>Cattail Pond</t>
  </si>
  <si>
    <t>West Chase @ Kechter Farm</t>
  </si>
  <si>
    <t>Fossil Creek South (Greenstone)</t>
  </si>
  <si>
    <t>LC-050</t>
  </si>
  <si>
    <t>Timnath-Wildwing</t>
  </si>
  <si>
    <t>LC-046</t>
  </si>
  <si>
    <t>Eagle Ranch Estates</t>
  </si>
  <si>
    <t>Egret and Rookery</t>
  </si>
  <si>
    <t>Prospect Ponds @ Drake Water</t>
  </si>
  <si>
    <t>County Road 20C and County Road 9</t>
  </si>
  <si>
    <t>San Luis</t>
  </si>
  <si>
    <t>LV-042</t>
  </si>
  <si>
    <t>2001 South Douglas</t>
  </si>
  <si>
    <t>Poudre River Drive at bike trail</t>
  </si>
  <si>
    <t>Horseshoe Peninsula</t>
  </si>
  <si>
    <t>LV-078</t>
  </si>
  <si>
    <t>Seven Lakes Park</t>
  </si>
  <si>
    <t>LC-038</t>
  </si>
  <si>
    <t>Turman Bruns HOA</t>
  </si>
  <si>
    <t>Redwood</t>
  </si>
  <si>
    <t>422 Lake Drive Alley</t>
  </si>
  <si>
    <t>LC-017</t>
  </si>
  <si>
    <t>Bonnell West 2</t>
  </si>
  <si>
    <t>Lochside Lane</t>
  </si>
  <si>
    <t>LC-051</t>
  </si>
  <si>
    <t>Timnath-Saratoga Falls</t>
  </si>
  <si>
    <t>Holley Environ. Plant Research Ctr</t>
  </si>
  <si>
    <t>LC-022</t>
  </si>
  <si>
    <t>Timnath-Golf Course</t>
  </si>
  <si>
    <t>9th and Des Moines</t>
  </si>
  <si>
    <t>LV-066</t>
  </si>
  <si>
    <t>Outlet Mall Apartments</t>
  </si>
  <si>
    <t>North Linden</t>
  </si>
  <si>
    <t>LC-053</t>
  </si>
  <si>
    <t>Berthoud West</t>
  </si>
  <si>
    <t>Casa Grande and Downing</t>
  </si>
  <si>
    <t>Hemlock</t>
  </si>
  <si>
    <t>LV-117</t>
  </si>
  <si>
    <t>Centerra</t>
  </si>
  <si>
    <t>Boltz</t>
  </si>
  <si>
    <t>Bighorn Drive</t>
  </si>
  <si>
    <t>Red Fox Meadows FCNA</t>
  </si>
  <si>
    <t>LV-100</t>
  </si>
  <si>
    <t>Lynx Runoff @ Blue Tree Real Estate</t>
  </si>
  <si>
    <t>Willow Springs</t>
  </si>
  <si>
    <t>Linden Lake Rd</t>
  </si>
  <si>
    <t>Edora Park</t>
  </si>
  <si>
    <t>Fishback</t>
  </si>
  <si>
    <t>LV-097</t>
  </si>
  <si>
    <t>Farisita at Rist Benson Drainage</t>
  </si>
  <si>
    <t>LC-048</t>
  </si>
  <si>
    <t>Timnath-Summerfields</t>
  </si>
  <si>
    <t>LC-010</t>
  </si>
  <si>
    <t>Timnath-Downtown</t>
  </si>
  <si>
    <t>Rockcreek</t>
  </si>
  <si>
    <t>118 Grant</t>
  </si>
  <si>
    <t>Springwood and Lockwood</t>
  </si>
  <si>
    <t>Spring Creek Trail @ Michener Dr</t>
  </si>
  <si>
    <t>LV-099</t>
  </si>
  <si>
    <t>Cattails Golf Course</t>
  </si>
  <si>
    <t>Golden Meadows Ditch</t>
  </si>
  <si>
    <t>Country Club</t>
  </si>
  <si>
    <t>LC-032</t>
  </si>
  <si>
    <t>River Lakes Estates/Paradise Acres</t>
  </si>
  <si>
    <t>LC-049</t>
  </si>
  <si>
    <t>Berthoud North of Bunyan</t>
  </si>
  <si>
    <t>Stuart and Dorset</t>
  </si>
  <si>
    <t>Golden Currant</t>
  </si>
  <si>
    <t>603 Gilgalad Way</t>
  </si>
  <si>
    <t>LC-001</t>
  </si>
  <si>
    <t>Berthoud</t>
  </si>
  <si>
    <t>Big Thompson Natural Area</t>
  </si>
  <si>
    <t>LC-052</t>
  </si>
  <si>
    <t>Walmart East at Poudre River</t>
  </si>
  <si>
    <t>Fort Collins Vistors Center</t>
  </si>
  <si>
    <t>LV-112</t>
  </si>
  <si>
    <t>915 South Boise</t>
  </si>
  <si>
    <t>FC-060</t>
  </si>
  <si>
    <t>808 Pondersosa</t>
  </si>
  <si>
    <t>LV-014</t>
  </si>
  <si>
    <t>Estrella Park</t>
  </si>
  <si>
    <t>LV-121</t>
  </si>
  <si>
    <t>Bayfield and Windsor</t>
  </si>
  <si>
    <t>FC-075</t>
  </si>
  <si>
    <t>North Sage Creek</t>
  </si>
  <si>
    <t>FC-047</t>
  </si>
  <si>
    <t>Keenland &amp; Twin Oak</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</si>
  <si>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</si>
  <si>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</si>
  <si>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</si>
  <si>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</si>
  <si>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</si>
  <si>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</si>
  <si>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</si>
  <si>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</si>
  <si>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</si>
  <si>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</si>
  <si>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</si>
  <si>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</si>
  <si>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</si>
  <si>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</si>
  <si>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</si>
  <si>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</si>
  <si>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</si>
  <si>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</si>
  <si>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</si>
  <si>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</si>
  <si>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</si>
  <si>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FC-040-tars</t>
  </si>
  <si>
    <t>FC-040-pipi</t>
  </si>
  <si>
    <t>FC-034-tars</t>
  </si>
  <si>
    <t>FC-091-pipi</t>
  </si>
  <si>
    <t>FC-038-tars</t>
  </si>
  <si>
    <t>FC-038-pipi</t>
  </si>
  <si>
    <t>FC-006-tars</t>
  </si>
  <si>
    <t>FC-006-pipi</t>
  </si>
  <si>
    <t>FC-092-pipi</t>
  </si>
  <si>
    <t>FC-072-tars</t>
  </si>
  <si>
    <t>FC-072-pipi</t>
  </si>
  <si>
    <t>FC-067-tars</t>
  </si>
  <si>
    <t>FC-067-pipi</t>
  </si>
  <si>
    <t>LV-104-tars</t>
  </si>
  <si>
    <t>LV-089-tars</t>
  </si>
  <si>
    <t>LV-110-tars</t>
  </si>
  <si>
    <t>FC-046-tars</t>
  </si>
  <si>
    <t>FC-046-pipi</t>
  </si>
  <si>
    <t>FC-031-tars</t>
  </si>
  <si>
    <t>FC-039-tars</t>
  </si>
  <si>
    <t>FC-050-tars</t>
  </si>
  <si>
    <t>FC-050-pipi</t>
  </si>
  <si>
    <t>FC-023-tars</t>
  </si>
  <si>
    <t>FC-023-pipi</t>
  </si>
  <si>
    <t>FC-074-tars</t>
  </si>
  <si>
    <t>FC-004-tars</t>
  </si>
  <si>
    <t>FC-004-pipi</t>
  </si>
  <si>
    <t>FC-064-tars</t>
  </si>
  <si>
    <t>FC-075-pipi</t>
  </si>
  <si>
    <t>FC-088-pipi</t>
  </si>
  <si>
    <t>LV-020-tars</t>
  </si>
  <si>
    <t>FC-052-tars</t>
  </si>
  <si>
    <t>FC-052-pipi</t>
  </si>
  <si>
    <t>FC-073-tars</t>
  </si>
  <si>
    <t>FC-073-pipi</t>
  </si>
  <si>
    <t>FC-090-pipi</t>
  </si>
  <si>
    <t>FC-061-tars</t>
  </si>
  <si>
    <t>FC-061-pipi</t>
  </si>
  <si>
    <t>FC-041-tars</t>
  </si>
  <si>
    <t>FC-041-pipi</t>
  </si>
  <si>
    <t>FC-058-tars</t>
  </si>
  <si>
    <t>FC-058-pipi</t>
  </si>
  <si>
    <t>FC-015-tars</t>
  </si>
  <si>
    <t>FC-063-pipi</t>
  </si>
  <si>
    <t>FC-011-tars</t>
  </si>
  <si>
    <t>FC-011-pipi</t>
  </si>
  <si>
    <t>FC-053-tars</t>
  </si>
  <si>
    <t>FC-053-pipi</t>
  </si>
  <si>
    <t>FC-049-tars</t>
  </si>
  <si>
    <t>FC-049-pipi</t>
  </si>
  <si>
    <t>FC-059-tars</t>
  </si>
  <si>
    <t>FC-059-pipi</t>
  </si>
  <si>
    <t>Infection Rate</t>
  </si>
  <si>
    <t>07/07/2016</t>
  </si>
  <si>
    <t>07/06/2016</t>
  </si>
  <si>
    <t>725 Westshore Court</t>
  </si>
  <si>
    <t>CSU-9077</t>
  </si>
  <si>
    <t>CSU-9078</t>
  </si>
  <si>
    <t>CSU-9079</t>
  </si>
  <si>
    <t>CSU-9080</t>
  </si>
  <si>
    <t>CSU-9081</t>
  </si>
  <si>
    <t>CSU-9082</t>
  </si>
  <si>
    <t>CSU-9083</t>
  </si>
  <si>
    <t>CSU-9084</t>
  </si>
  <si>
    <t>CSU-9085</t>
  </si>
  <si>
    <t>CSU-9086</t>
  </si>
  <si>
    <t>CSU-9087</t>
  </si>
  <si>
    <t>CSU-9088</t>
  </si>
  <si>
    <t>CSU-9089</t>
  </si>
  <si>
    <t>CSU-9090</t>
  </si>
  <si>
    <t>CSU-9091</t>
  </si>
  <si>
    <t>CSU-9092</t>
  </si>
  <si>
    <t>CSU-9093</t>
  </si>
  <si>
    <t>CSU-9094</t>
  </si>
  <si>
    <t>CSU-9095</t>
  </si>
  <si>
    <t>CSU-9096</t>
  </si>
  <si>
    <t>CSU-9097</t>
  </si>
  <si>
    <t>CSU-9098</t>
  </si>
  <si>
    <t>CSU-9099</t>
  </si>
  <si>
    <t>CSU-9100</t>
  </si>
  <si>
    <t>CSU-9101</t>
  </si>
  <si>
    <t>CSU-9102</t>
  </si>
  <si>
    <t>CSU-9103</t>
  </si>
  <si>
    <t>CSU-9104</t>
  </si>
  <si>
    <t>CSU-9105</t>
  </si>
  <si>
    <t>CSU-9106</t>
  </si>
  <si>
    <t>CSU-9107</t>
  </si>
  <si>
    <t>CSU-9108</t>
  </si>
  <si>
    <t>CSU-9109</t>
  </si>
  <si>
    <t>CSU-9110</t>
  </si>
  <si>
    <t>CSU-9111</t>
  </si>
  <si>
    <t>CSU-9112</t>
  </si>
  <si>
    <t>CSU-9113</t>
  </si>
  <si>
    <t>CSU-9114</t>
  </si>
  <si>
    <t>CSU-9115</t>
  </si>
  <si>
    <t>CSU-9116</t>
  </si>
  <si>
    <t>CSU-9117</t>
  </si>
  <si>
    <t>CSU-9118</t>
  </si>
  <si>
    <t>CSU-9119</t>
  </si>
  <si>
    <t>CSU-9120</t>
  </si>
  <si>
    <t>CSU-9121</t>
  </si>
  <si>
    <t>CSU-9122</t>
  </si>
  <si>
    <t>CSU-9123</t>
  </si>
  <si>
    <t>CSU-9124</t>
  </si>
  <si>
    <t>CSU-9125</t>
  </si>
  <si>
    <t>CSU-9126</t>
  </si>
  <si>
    <t>CSU-9127</t>
  </si>
  <si>
    <t>CSU-9128</t>
  </si>
  <si>
    <t>CSU-9129</t>
  </si>
  <si>
    <t>CSU-9130</t>
  </si>
  <si>
    <t>CSU-9131</t>
  </si>
  <si>
    <t>CSU-9132</t>
  </si>
  <si>
    <t>CSU-9133</t>
  </si>
  <si>
    <t>CSU-9134</t>
  </si>
  <si>
    <t>CSU-9135</t>
  </si>
  <si>
    <t>CSU-9136</t>
  </si>
  <si>
    <t>CSU-9137</t>
  </si>
  <si>
    <t>CSU-9138</t>
  </si>
  <si>
    <t>CSU-9139</t>
  </si>
  <si>
    <t>CSU-9140</t>
  </si>
  <si>
    <t>CSU-9141</t>
  </si>
  <si>
    <t>CSU-9142</t>
  </si>
  <si>
    <t>CSU-9143</t>
  </si>
  <si>
    <t>CSU-9144</t>
  </si>
  <si>
    <t>CSU-9145</t>
  </si>
  <si>
    <t>CSU-9146</t>
  </si>
  <si>
    <t>CSU-9147</t>
  </si>
  <si>
    <t>CSU-9148</t>
  </si>
  <si>
    <t>CSU-9149</t>
  </si>
  <si>
    <t>CSU-9150</t>
  </si>
  <si>
    <t>CSU-9151</t>
  </si>
  <si>
    <t>CSU-9152</t>
  </si>
  <si>
    <t>CSU-9153</t>
  </si>
  <si>
    <t>CSU-9154</t>
  </si>
  <si>
    <t>CSU-9155</t>
  </si>
  <si>
    <t>CSU-9156</t>
  </si>
  <si>
    <t>CSU-9157</t>
  </si>
  <si>
    <t>CSU-9158</t>
  </si>
  <si>
    <t>CSU-9159</t>
  </si>
  <si>
    <t>CSU-9160</t>
  </si>
  <si>
    <t>CSU-9161</t>
  </si>
  <si>
    <t>CSU-9162</t>
  </si>
  <si>
    <t>CSU-9163</t>
  </si>
  <si>
    <t>CSU-9164</t>
  </si>
  <si>
    <t>CSU-9165</t>
  </si>
  <si>
    <t>LV-095-pipi</t>
  </si>
  <si>
    <t>LV-104-pipi</t>
  </si>
  <si>
    <t>LV-089-pipi</t>
  </si>
  <si>
    <t>LV-020-pipi</t>
  </si>
  <si>
    <t>FC-034-pipi</t>
  </si>
  <si>
    <t>FC-060-tars</t>
  </si>
  <si>
    <t>FC-060-pipi</t>
  </si>
  <si>
    <t>FC-036-pipi</t>
  </si>
  <si>
    <t>FC-039-pipi</t>
  </si>
  <si>
    <t>FC-047-tars</t>
  </si>
  <si>
    <t>FC-064-pipi</t>
  </si>
  <si>
    <t>FC-075-tars</t>
  </si>
  <si>
    <t>Positive</t>
  </si>
  <si>
    <t>Negative</t>
  </si>
  <si>
    <t>Change spp to pipiens</t>
  </si>
  <si>
    <t>Lower Limit</t>
  </si>
  <si>
    <t>Upper Limit</t>
  </si>
  <si>
    <t>Scale</t>
  </si>
  <si>
    <t>Point Est Method</t>
  </si>
  <si>
    <t>CI Method</t>
  </si>
  <si>
    <t>Num Pools</t>
  </si>
  <si>
    <t>Num Pos Pools</t>
  </si>
  <si>
    <t>Num Individuals</t>
  </si>
  <si>
    <t>Score</t>
  </si>
  <si>
    <t>Bias Corrected MLE</t>
  </si>
  <si>
    <t>Corrected Score</t>
  </si>
  <si>
    <t>When all pools are postive likelihood methods fail. Therrfore there are no likelihood estimates designated by #N/A</t>
  </si>
  <si>
    <t xml:space="preserve">Comments </t>
  </si>
  <si>
    <t>Changed to NW</t>
  </si>
  <si>
    <t>Not on CSU Weekly data sheet so removed 15 tar abd 7 pip from count</t>
  </si>
  <si>
    <t>Changed to 65 tar from 50  and 7 pip from 0</t>
  </si>
  <si>
    <t>Change to 6 tar from 22 and 4 pip from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</si>
</sst>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9"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rgb="FFFF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2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2" fontId="0" fillId="0" borderId="16" xfId="0" applyNumberFormat="1" applyBorder="1" applyAlignment="1">
      <alignment horizontal="center"/>
    </xf>
    <xf numFmtId="0" fontId="17" fillId="0" borderId="13" xfId="0" applyFont="1" applyBorder="1" applyAlignment="1">
      <alignment horizontal="left" vertical="center"/>
    </xf>
    <xf numFmtId="0" fontId="17" fillId="3" borderId="13" xfId="0" applyFont="1" applyFill="1" applyBorder="1" applyAlignment="1">
      <alignment horizontal="left" vertical="center"/>
    </xf>
    <xf numFmtId="0" fontId="0" fillId="5" borderId="0" xfId="0" applyFill="1" applyAlignment="1">
      <alignment wrapText="1"/>
    </xf>
    <xf numFmtId="0" fontId="0" fillId="5" borderId="0" xfId="0" applyFill="1"/>
    <xf numFmtId="0" fontId="18" fillId="0" borderId="15" xfId="0" applyFont="1" applyBorder="1" applyAlignment="1">
      <alignment horizontal="left" vertical="center"/>
    </xf>
    <xf numFmtId="0" fontId="18" fillId="0" borderId="13" xfId="0" applyFont="1" applyBorder="1" applyAlignment="1">
      <alignment horizontal="left" vertical="center"/>
    </xf>
    <xf numFmtId="164" fontId="18" fillId="0" borderId="13" xfId="0" applyNumberFormat="1" applyFont="1" applyBorder="1" applyAlignment="1">
      <alignment horizontal="left" vertical="center"/>
    </xf>
    <xf numFmtId="0" fontId="18" fillId="3" borderId="15" xfId="0" applyFont="1" applyFill="1" applyBorder="1" applyAlignment="1">
      <alignment horizontal="left" vertical="center"/>
    </xf>
    <xf numFmtId="0" fontId="18" fillId="3" borderId="13" xfId="0" applyFont="1" applyFill="1" applyBorder="1" applyAlignment="1">
      <alignment horizontal="left" vertical="center"/>
    </xf>
    <xf numFmtId="164" fontId="18" fillId="3" borderId="13" xfId="0" applyNumberFormat="1" applyFont="1" applyFill="1" applyBorder="1" applyAlignment="1">
      <alignment horizontal="left" vertical="center"/>
    </xf>
    <xf numFmtId="0" fontId="18" fillId="0" borderId="15" xfId="0" applyFont="1" applyFill="1" applyBorder="1" applyAlignment="1">
      <alignment horizontal="left" vertical="center"/>
    </xf>
    <xf numFmtId="0" fontId="18" fillId="0" borderId="13" xfId="0" applyFont="1" applyFill="1" applyBorder="1" applyAlignment="1">
      <alignment horizontal="left" vertical="center"/>
    </xf>
    <xf numFmtId="164" fontId="18" fillId="0"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2.317296412039" createdVersion="4" refreshedVersion="6" minRefreshableVersion="3" recordCount="63">
  <cacheSource type="worksheet">
    <worksheetSource ref="A1:K64" sheet="Weekly 009 input (- Grav, Mal)"/>
  </cacheSource>
  <cacheFields count="11">
    <cacheField name="Week" numFmtId="0">
      <sharedItems containsSemiMixedTypes="0" containsString="0" containsNumber="1" containsInteger="1" minValue="27" maxValue="27" count="1">
        <n v="27"/>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48"/>
    </cacheField>
    <cacheField name="Total CX" numFmtId="0">
      <sharedItems containsSemiMixedTypes="0" containsString="0" containsNumber="1" containsInteger="1" minValue="0" maxValue="147"/>
    </cacheField>
    <cacheField name="Total Females" numFmtId="0">
      <sharedItems containsSemiMixedTypes="0" containsString="0" containsNumber="1" containsInteger="1" minValue="0" maxValue="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317558564813" createdVersion="4" refreshedVersion="6" minRefreshableVersion="3" recordCount="89">
  <cacheSource type="worksheet">
    <worksheetSource ref="A1:R90"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624" maxValue="18712"/>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6-07-06T00:00:00" maxDate="2016-07-08T00:00:00" count="2">
        <d v="2016-07-06T00:00:00"/>
        <d v="2016-07-07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LV"/>
        <s v="SW"/>
      </sharedItems>
    </cacheField>
    <cacheField name="Method (Light or Gravid)" numFmtId="0">
      <sharedItems/>
    </cacheField>
    <cacheField name="Genus" numFmtId="0">
      <sharedItems/>
    </cacheField>
    <cacheField name="Spp" numFmtId="0">
      <sharedItems count="3">
        <s v="pipiens"/>
        <s v="tarsalis"/>
        <s v="Cx. spp" u="1"/>
      </sharedItems>
    </cacheField>
    <cacheField name="Sex" numFmtId="0">
      <sharedItems/>
    </cacheField>
    <cacheField name="No. Gravid" numFmtId="0">
      <sharedItems containsString="0" containsBlank="1" containsNumber="1" containsInteger="1" minValue="7"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s v="07/07/2016"/>
    <s v="LC-001"/>
    <x v="0"/>
    <s v="Berthoud"/>
    <s v="LIGHT"/>
    <s v="NO"/>
    <n v="14"/>
    <n v="2"/>
    <n v="16"/>
    <n v="111"/>
  </r>
  <r>
    <x v="0"/>
    <s v="07/06/2016"/>
    <s v="LC-010"/>
    <x v="0"/>
    <s v="Timnath-Downtown"/>
    <s v="LIGHT"/>
    <s v="NO"/>
    <n v="4"/>
    <n v="0"/>
    <n v="4"/>
    <n v="431"/>
  </r>
  <r>
    <x v="0"/>
    <s v="07/07/2016"/>
    <s v="LC-017"/>
    <x v="0"/>
    <s v="Bonnell West 2"/>
    <s v="LIGHT"/>
    <s v="NO"/>
    <n v="19"/>
    <n v="8"/>
    <n v="27"/>
    <n v="47"/>
  </r>
  <r>
    <x v="0"/>
    <s v="07/06/2016"/>
    <s v="LC-022"/>
    <x v="0"/>
    <s v="Timnath-Golf Course"/>
    <s v="LIGHT"/>
    <s v="NO"/>
    <n v="6"/>
    <n v="0"/>
    <n v="6"/>
    <n v="102"/>
  </r>
  <r>
    <x v="0"/>
    <s v="07/06/2016"/>
    <s v="LC-032"/>
    <x v="0"/>
    <s v="River Lakes Estates/Paradise Acres"/>
    <s v="LIGHT"/>
    <s v="NO"/>
    <n v="2"/>
    <n v="0"/>
    <n v="2"/>
    <n v="5"/>
  </r>
  <r>
    <x v="0"/>
    <s v="07/06/2016"/>
    <s v="LC-038"/>
    <x v="0"/>
    <s v="Turman Bruns HOA"/>
    <s v="LIGHT"/>
    <s v="NO"/>
    <n v="23"/>
    <n v="0"/>
    <n v="23"/>
    <n v="23"/>
  </r>
  <r>
    <x v="0"/>
    <s v="07/06/2016"/>
    <s v="LC-046"/>
    <x v="0"/>
    <s v="Eagle Ranch Estates"/>
    <s v="LIGHT"/>
    <s v="NO"/>
    <n v="80"/>
    <n v="6"/>
    <n v="86"/>
    <n v="147"/>
  </r>
  <r>
    <x v="0"/>
    <s v="07/06/2016"/>
    <s v="LC-048"/>
    <x v="0"/>
    <s v="Timnath-Summerfields"/>
    <s v="LIGHT"/>
    <s v="NO"/>
    <n v="10"/>
    <n v="0"/>
    <n v="10"/>
    <n v="35"/>
  </r>
  <r>
    <x v="0"/>
    <s v="07/07/2016"/>
    <s v="LC-049"/>
    <x v="0"/>
    <s v="Berthoud North of Bunyan"/>
    <s v="LIGHT"/>
    <s v="NO"/>
    <n v="0"/>
    <n v="0"/>
    <n v="0"/>
    <n v="0"/>
  </r>
  <r>
    <x v="0"/>
    <s v="07/06/2016"/>
    <s v="LC-050"/>
    <x v="0"/>
    <s v="Timnath-Wildwing"/>
    <s v="LIGHT"/>
    <s v="NO"/>
    <n v="16"/>
    <n v="0"/>
    <n v="16"/>
    <n v="38"/>
  </r>
  <r>
    <x v="0"/>
    <s v="07/06/2016"/>
    <s v="LC-051"/>
    <x v="0"/>
    <s v="Timnath-Saratoga Falls"/>
    <s v="LIGHT"/>
    <s v="NO"/>
    <n v="29"/>
    <n v="2"/>
    <n v="31"/>
    <n v="185"/>
  </r>
  <r>
    <x v="0"/>
    <s v="07/06/2016"/>
    <s v="LC-052"/>
    <x v="0"/>
    <s v="Walmart East at Poudre River"/>
    <s v="LIGHT"/>
    <s v="NO"/>
    <n v="16"/>
    <n v="0"/>
    <n v="16"/>
    <n v="692"/>
  </r>
  <r>
    <x v="0"/>
    <s v="07/07/2016"/>
    <s v="LC-053"/>
    <x v="0"/>
    <s v="Berthoud West"/>
    <s v="LIGHT"/>
    <s v="NO"/>
    <n v="73"/>
    <n v="9"/>
    <n v="82"/>
    <n v="146"/>
  </r>
  <r>
    <x v="0"/>
    <s v="07/07/2016"/>
    <s v="LV-014"/>
    <x v="1"/>
    <s v="Estrella Park"/>
    <s v="LIGHT"/>
    <s v="NO"/>
    <n v="9"/>
    <n v="1"/>
    <n v="10"/>
    <n v="13"/>
  </r>
  <r>
    <x v="0"/>
    <s v="07/07/2016"/>
    <s v="LV-020"/>
    <x v="1"/>
    <s v="Cattail Pond"/>
    <s v="LIGHT"/>
    <s v="NO"/>
    <n v="26"/>
    <n v="5"/>
    <n v="31"/>
    <n v="138"/>
  </r>
  <r>
    <x v="0"/>
    <s v="07/06/2016"/>
    <s v="LV-042"/>
    <x v="1"/>
    <s v="2001 South Douglas"/>
    <s v="LIGHT"/>
    <s v="NO"/>
    <n v="35"/>
    <n v="11"/>
    <n v="46"/>
    <n v="51"/>
  </r>
  <r>
    <x v="0"/>
    <s v="07/06/2016"/>
    <s v="LV-066"/>
    <x v="1"/>
    <s v="Outlet Mall Apartments"/>
    <s v="LIGHT"/>
    <s v="NO"/>
    <n v="15"/>
    <n v="0"/>
    <n v="15"/>
    <n v="40"/>
  </r>
  <r>
    <x v="0"/>
    <s v="07/06/2016"/>
    <s v="LV-069"/>
    <x v="1"/>
    <s v="Horseshoe Peninsula"/>
    <s v="LIGHT"/>
    <s v="NO"/>
    <n v="54"/>
    <n v="6"/>
    <n v="60"/>
    <n v="70"/>
  </r>
  <r>
    <x v="0"/>
    <s v="07/06/2016"/>
    <s v="LV-078"/>
    <x v="1"/>
    <s v="Seven Lakes Park"/>
    <s v="LIGHT"/>
    <s v="NO"/>
    <n v="33"/>
    <n v="0"/>
    <n v="33"/>
    <n v="55"/>
  </r>
  <r>
    <x v="0"/>
    <s v="07/06/2016"/>
    <s v="LV-089"/>
    <x v="1"/>
    <s v="9th and Des Moines"/>
    <s v="LIGHT"/>
    <s v="NO"/>
    <n v="8"/>
    <n v="2"/>
    <n v="10"/>
    <n v="25"/>
  </r>
  <r>
    <x v="0"/>
    <s v="07/06/2016"/>
    <s v="LV-095"/>
    <x v="1"/>
    <s v="Waterfront at Boyd Lake"/>
    <s v="LIGHT"/>
    <s v="NO"/>
    <n v="39"/>
    <n v="1"/>
    <n v="40"/>
    <n v="50"/>
  </r>
  <r>
    <x v="0"/>
    <s v="07/07/2016"/>
    <s v="LV-097"/>
    <x v="1"/>
    <s v="Farisita at Rist Benson Drainage"/>
    <s v="LIGHT"/>
    <s v="NO"/>
    <n v="9"/>
    <n v="0"/>
    <n v="9"/>
    <n v="17"/>
  </r>
  <r>
    <x v="0"/>
    <s v="07/07/2016"/>
    <s v="LV-099"/>
    <x v="1"/>
    <s v="Cattails Golf Course"/>
    <s v="LIGHT"/>
    <s v="NO"/>
    <n v="0"/>
    <n v="0"/>
    <n v="0"/>
    <n v="1"/>
  </r>
  <r>
    <x v="0"/>
    <s v="07/06/2016"/>
    <s v="LV-100"/>
    <x v="1"/>
    <s v="Lynx Runoff @ Blue Tree Real Estate"/>
    <s v="LIGHT"/>
    <s v="NO"/>
    <n v="0"/>
    <n v="0"/>
    <n v="0"/>
    <n v="0"/>
  </r>
  <r>
    <x v="0"/>
    <s v="07/06/2016"/>
    <s v="LV-104"/>
    <x v="1"/>
    <s v="County Road 20C and County Road 9"/>
    <s v="LIGHT"/>
    <s v="NO"/>
    <n v="42"/>
    <n v="3"/>
    <n v="45"/>
    <n v="72"/>
  </r>
  <r>
    <x v="0"/>
    <s v="07/06/2016"/>
    <s v="LV-110"/>
    <x v="1"/>
    <s v="Big Thompson Natural Area"/>
    <s v="LIGHT"/>
    <s v="NO"/>
    <n v="8"/>
    <n v="0"/>
    <n v="8"/>
    <n v="28"/>
  </r>
  <r>
    <x v="0"/>
    <s v="07/06/2016"/>
    <s v="LV-112"/>
    <x v="1"/>
    <s v="915 South Boise"/>
    <s v="LIGHT"/>
    <s v="NO"/>
    <n v="13"/>
    <n v="4"/>
    <n v="17"/>
    <n v="28"/>
  </r>
  <r>
    <x v="0"/>
    <s v="07/06/2016"/>
    <s v="LV-117"/>
    <x v="1"/>
    <s v="Centerra"/>
    <s v="LIGHT"/>
    <s v="NO"/>
    <n v="14"/>
    <n v="1"/>
    <n v="15"/>
    <n v="18"/>
  </r>
  <r>
    <x v="0"/>
    <s v="07/07/2016"/>
    <s v="LV-121"/>
    <x v="1"/>
    <s v="Bayfield and Windsor"/>
    <s v="LIGHT"/>
    <s v="NO"/>
    <n v="0"/>
    <n v="0"/>
    <n v="0"/>
    <n v="0"/>
  </r>
  <r>
    <x v="0"/>
    <s v="07/06/2016"/>
    <s v="FC-006"/>
    <x v="2"/>
    <s v="North Linden"/>
    <s v="LIGHT"/>
    <s v="NO"/>
    <n v="6"/>
    <n v="5"/>
    <n v="11"/>
    <n v="25"/>
  </r>
  <r>
    <x v="0"/>
    <s v="07/06/2016"/>
    <s v="FC-014"/>
    <x v="2"/>
    <s v="Fort Collins Vistors Center"/>
    <s v="LIGHT"/>
    <s v="NO"/>
    <n v="18"/>
    <n v="0"/>
    <n v="18"/>
    <n v="58"/>
  </r>
  <r>
    <x v="0"/>
    <s v="07/06/2016"/>
    <s v="FC-019"/>
    <x v="2"/>
    <s v="Edora Park"/>
    <s v="LIGHT"/>
    <s v="NO"/>
    <n v="3"/>
    <n v="0"/>
    <n v="3"/>
    <n v="34"/>
  </r>
  <r>
    <x v="0"/>
    <s v="07/06/2016"/>
    <s v="FC-034"/>
    <x v="2"/>
    <s v="Country Club"/>
    <s v="LIGHT"/>
    <s v="NO"/>
    <n v="6"/>
    <n v="1"/>
    <n v="7"/>
    <n v="44"/>
  </r>
  <r>
    <x v="0"/>
    <s v="07/06/2016"/>
    <s v="FC-038"/>
    <x v="2"/>
    <s v="Lochside Lane"/>
    <s v="LIGHT"/>
    <s v="NO"/>
    <n v="19"/>
    <n v="2"/>
    <n v="21"/>
    <n v="100"/>
  </r>
  <r>
    <x v="0"/>
    <s v="07/06/2016"/>
    <s v="FC-040"/>
    <x v="2"/>
    <s v="Redwood"/>
    <s v="LIGHT"/>
    <s v="NO"/>
    <n v="34"/>
    <n v="48"/>
    <n v="82"/>
    <n v="101"/>
  </r>
  <r>
    <x v="0"/>
    <s v="07/06/2016"/>
    <s v="FC-066"/>
    <x v="2"/>
    <s v="Prospect Ponds @ Drake Water"/>
    <s v="LIGHT"/>
    <s v="NO"/>
    <n v="63"/>
    <n v="28"/>
    <n v="91"/>
    <n v="287"/>
  </r>
  <r>
    <x v="0"/>
    <s v="07/06/2016"/>
    <s v="FC-067"/>
    <x v="2"/>
    <s v="Poudre River Drive at bike trail"/>
    <s v="LIGHT"/>
    <s v="NO"/>
    <n v="12"/>
    <n v="11"/>
    <n v="23"/>
    <n v="597"/>
  </r>
  <r>
    <x v="0"/>
    <s v="07/06/2016"/>
    <s v="FC-069"/>
    <x v="2"/>
    <s v="Linden Lake Rd"/>
    <s v="LIGHT"/>
    <s v="NO"/>
    <n v="0"/>
    <n v="0"/>
    <n v="0"/>
    <n v="63"/>
  </r>
  <r>
    <x v="0"/>
    <s v="07/06/2016"/>
    <s v="FC-072"/>
    <x v="2"/>
    <s v="422 Lake Drive Alley"/>
    <s v="LIGHT"/>
    <s v="NO"/>
    <n v="2"/>
    <n v="5"/>
    <n v="7"/>
    <n v="12"/>
  </r>
  <r>
    <x v="0"/>
    <s v="07/07/2016"/>
    <s v="FC-011"/>
    <x v="3"/>
    <s v="Golden Currant"/>
    <s v="LIGHT"/>
    <s v="NO"/>
    <n v="7"/>
    <n v="13"/>
    <n v="20"/>
    <n v="50"/>
  </r>
  <r>
    <x v="0"/>
    <s v="07/07/2016"/>
    <s v="FC-015"/>
    <x v="3"/>
    <s v="Stuart and Dorset"/>
    <s v="LIGHT"/>
    <s v="NO"/>
    <n v="2"/>
    <n v="0"/>
    <n v="2"/>
    <n v="6"/>
  </r>
  <r>
    <x v="0"/>
    <s v="07/06/2016"/>
    <s v="FC-036"/>
    <x v="3"/>
    <s v="Hemlock"/>
    <s v="LIGHT"/>
    <s v="NO"/>
    <n v="9"/>
    <n v="12"/>
    <n v="21"/>
    <n v="101"/>
  </r>
  <r>
    <x v="0"/>
    <s v="07/07/2016"/>
    <s v="FC-041"/>
    <x v="3"/>
    <s v="Fishback"/>
    <s v="LIGHT"/>
    <s v="NO"/>
    <n v="10"/>
    <n v="19"/>
    <n v="29"/>
    <n v="52"/>
  </r>
  <r>
    <x v="0"/>
    <s v="07/07/2016"/>
    <s v="FC-052"/>
    <x v="3"/>
    <s v="603 Gilgalad Way"/>
    <s v="LIGHT"/>
    <s v="NO"/>
    <n v="3"/>
    <n v="1"/>
    <n v="4"/>
    <n v="104"/>
  </r>
  <r>
    <x v="0"/>
    <s v="07/07/2016"/>
    <s v="FC-060"/>
    <x v="3"/>
    <s v="808 Pondersosa"/>
    <s v="LIGHT"/>
    <s v="NO"/>
    <n v="1"/>
    <n v="10"/>
    <n v="11"/>
    <n v="15"/>
  </r>
  <r>
    <x v="0"/>
    <s v="07/07/2016"/>
    <s v="FC-061"/>
    <x v="3"/>
    <s v="Holley Environ. Plant Research Ctr"/>
    <s v="LIGHT"/>
    <s v="NO"/>
    <n v="9"/>
    <n v="5"/>
    <n v="14"/>
    <n v="150"/>
  </r>
  <r>
    <x v="0"/>
    <s v="07/07/2016"/>
    <s v="FC-063"/>
    <x v="3"/>
    <s v="Red Fox Meadows FCNA"/>
    <s v="LIGHT"/>
    <s v="NO"/>
    <n v="0"/>
    <n v="1"/>
    <n v="1"/>
    <n v="74"/>
  </r>
  <r>
    <x v="0"/>
    <s v="07/07/2016"/>
    <s v="FC-073"/>
    <x v="3"/>
    <s v="118 Grant"/>
    <s v="LIGHT"/>
    <s v="NO"/>
    <n v="5"/>
    <n v="10"/>
    <n v="15"/>
    <n v="22"/>
  </r>
  <r>
    <x v="0"/>
    <s v="07/07/2016"/>
    <s v="FC-004"/>
    <x v="4"/>
    <s v="Bighorn Drive"/>
    <s v="LIGHT"/>
    <s v="NO"/>
    <n v="65"/>
    <n v="7"/>
    <n v="72"/>
    <n v="64"/>
  </r>
  <r>
    <x v="0"/>
    <s v="07/07/2016"/>
    <s v="FC-023"/>
    <x v="4"/>
    <s v="Boltz"/>
    <s v="LIGHT"/>
    <s v="NO"/>
    <n v="13"/>
    <n v="1"/>
    <n v="14"/>
    <n v="14"/>
  </r>
  <r>
    <x v="0"/>
    <s v="07/07/2016"/>
    <s v="FC-027"/>
    <x v="4"/>
    <s v="San Luis"/>
    <s v="LIGHT"/>
    <s v="NO"/>
    <n v="0"/>
    <n v="0"/>
    <n v="0"/>
    <n v="0"/>
  </r>
  <r>
    <x v="0"/>
    <s v="07/07/2016"/>
    <s v="FC-031"/>
    <x v="4"/>
    <s v="Willow Springs"/>
    <s v="LIGHT"/>
    <s v="NO"/>
    <n v="41"/>
    <n v="0"/>
    <n v="41"/>
    <n v="45"/>
  </r>
  <r>
    <x v="0"/>
    <s v="07/07/2016"/>
    <s v="FC-039"/>
    <x v="4"/>
    <s v="Fossil Creek South (Greenstone)"/>
    <s v="LIGHT"/>
    <s v="NO"/>
    <n v="115"/>
    <n v="31"/>
    <n v="146"/>
    <n v="185"/>
  </r>
  <r>
    <x v="0"/>
    <s v="07/07/2016"/>
    <s v="FC-046"/>
    <x v="4"/>
    <s v="725 Westshore Court"/>
    <s v="LIGHT"/>
    <s v="NO"/>
    <n v="6"/>
    <n v="4"/>
    <n v="10"/>
    <n v="10"/>
  </r>
  <r>
    <x v="0"/>
    <s v="07/07/2016"/>
    <s v="FC-047"/>
    <x v="4"/>
    <s v="Keenland &amp; Twin Oak"/>
    <s v="LIGHT"/>
    <s v="NO"/>
    <n v="5"/>
    <n v="0"/>
    <n v="5"/>
    <n v="8"/>
  </r>
  <r>
    <x v="0"/>
    <s v="07/07/2016"/>
    <s v="FC-050"/>
    <x v="4"/>
    <s v="Golden Meadows Ditch"/>
    <s v="LIGHT"/>
    <s v="NO"/>
    <n v="6"/>
    <n v="4"/>
    <n v="10"/>
    <n v="50"/>
  </r>
  <r>
    <x v="0"/>
    <s v="07/07/2016"/>
    <s v="FC-053"/>
    <x v="4"/>
    <s v="Egret and Rookery"/>
    <s v="LIGHT"/>
    <s v="NO"/>
    <n v="131"/>
    <n v="16"/>
    <n v="147"/>
    <n v="162"/>
  </r>
  <r>
    <x v="0"/>
    <s v="07/07/2016"/>
    <s v="FC-059"/>
    <x v="4"/>
    <s v="Springwood and Lockwood"/>
    <s v="LIGHT"/>
    <s v="NO"/>
    <n v="8"/>
    <n v="13"/>
    <n v="21"/>
    <n v="60"/>
  </r>
  <r>
    <x v="0"/>
    <s v="07/07/2016"/>
    <s v="FC-064"/>
    <x v="4"/>
    <s v="West Chase @ Kechter Farm"/>
    <s v="LIGHT"/>
    <s v="NO"/>
    <n v="100"/>
    <n v="5"/>
    <n v="105"/>
    <n v="133"/>
  </r>
  <r>
    <x v="0"/>
    <s v="07/07/2016"/>
    <s v="FC-074"/>
    <x v="4"/>
    <s v="Rockcreek"/>
    <s v="LIGHT"/>
    <s v="NO"/>
    <n v="30"/>
    <n v="0"/>
    <n v="30"/>
    <n v="63"/>
  </r>
  <r>
    <x v="0"/>
    <s v="07/07/2016"/>
    <s v="FC-075"/>
    <x v="4"/>
    <s v="North Sage Creek"/>
    <s v="LIGHT"/>
    <s v="NO"/>
    <n v="49"/>
    <n v="5"/>
    <n v="54"/>
    <n v="66"/>
  </r>
  <r>
    <x v="0"/>
    <s v="07/07/2016"/>
    <s v="FC-049"/>
    <x v="5"/>
    <s v="Casa Grande and Downing"/>
    <s v="LIGHT"/>
    <s v="NO"/>
    <n v="2"/>
    <n v="4"/>
    <n v="6"/>
    <n v="9"/>
  </r>
  <r>
    <x v="0"/>
    <s v="07/07/2016"/>
    <s v="FC-058"/>
    <x v="5"/>
    <s v="Spring Creek Trail @ Michener Dr"/>
    <s v="LIGHT"/>
    <s v="NO"/>
    <n v="3"/>
    <n v="2"/>
    <n v="5"/>
    <n v="32"/>
  </r>
</pivotCacheRecords>
</file>

<file path=xl/pivotCache/pivotCacheRecords2.xml><?xml version="1.0" encoding="utf-8"?>
<pivotCacheRecords xmlns="http://schemas.openxmlformats.org/spreadsheetml/2006/main" xmlns:r="http://schemas.openxmlformats.org/officeDocument/2006/relationships" count="89">
  <r>
    <n v="2016"/>
    <s v="CSU-9097"/>
    <n v="18644"/>
    <x v="0"/>
    <x v="0"/>
    <s v="LC"/>
    <s v="FC"/>
    <s v="FC-040gr"/>
    <x v="0"/>
    <s v="G"/>
    <s v="Cx."/>
    <x v="0"/>
    <s v="F"/>
    <n v="50"/>
    <m/>
    <n v="50"/>
    <n v="0"/>
    <s v="Negative"/>
  </r>
  <r>
    <n v="2016"/>
    <s v="CSU-9098"/>
    <n v="18645"/>
    <x v="0"/>
    <x v="0"/>
    <s v="LC"/>
    <s v="FC"/>
    <s v="FC-040gr"/>
    <x v="0"/>
    <s v="G"/>
    <s v="Cx."/>
    <x v="0"/>
    <s v="F"/>
    <n v="10"/>
    <m/>
    <n v="10"/>
    <n v="0"/>
    <s v="Negative"/>
  </r>
  <r>
    <n v="2016"/>
    <s v="CSU-9109"/>
    <n v="18656"/>
    <x v="0"/>
    <x v="0"/>
    <s v="LC"/>
    <s v="FC"/>
    <s v="FC-066gr"/>
    <x v="0"/>
    <s v="G"/>
    <s v="Cx."/>
    <x v="0"/>
    <s v="F"/>
    <n v="16"/>
    <m/>
    <n v="16"/>
    <n v="0"/>
    <s v="Negative"/>
  </r>
  <r>
    <n v="2016"/>
    <s v="CSU-9077"/>
    <n v="18624"/>
    <x v="0"/>
    <x v="0"/>
    <s v="LC"/>
    <s v="FC"/>
    <s v="FC-091gr"/>
    <x v="0"/>
    <s v="G"/>
    <s v="Cx."/>
    <x v="0"/>
    <s v="F"/>
    <n v="8"/>
    <m/>
    <n v="8"/>
    <n v="0"/>
    <s v="Negative"/>
  </r>
  <r>
    <n v="2016"/>
    <s v="CSU-9108"/>
    <n v="18655"/>
    <x v="0"/>
    <x v="0"/>
    <s v="LC"/>
    <s v="FC"/>
    <s v="FC-092gr"/>
    <x v="0"/>
    <s v="G"/>
    <s v="Cx."/>
    <x v="0"/>
    <s v="F"/>
    <n v="7"/>
    <m/>
    <n v="7"/>
    <n v="0"/>
    <s v="Negative"/>
  </r>
  <r>
    <n v="2016"/>
    <s v="CSU-9135"/>
    <n v="18682"/>
    <x v="0"/>
    <x v="1"/>
    <s v="LC"/>
    <s v="FC"/>
    <s v="FC-063gr"/>
    <x v="1"/>
    <s v="G"/>
    <s v="Cx."/>
    <x v="0"/>
    <s v="F"/>
    <n v="50"/>
    <m/>
    <n v="50"/>
    <n v="0"/>
    <s v="Negative"/>
  </r>
  <r>
    <n v="2016"/>
    <s v="CSU-9136"/>
    <n v="18683"/>
    <x v="0"/>
    <x v="1"/>
    <s v="LC"/>
    <s v="FC"/>
    <s v="FC-063gr"/>
    <x v="1"/>
    <s v="G"/>
    <s v="Cx."/>
    <x v="0"/>
    <s v="F"/>
    <n v="50"/>
    <m/>
    <n v="50"/>
    <n v="0"/>
    <s v="Negative"/>
  </r>
  <r>
    <n v="2016"/>
    <s v="CSU-9137"/>
    <n v="18684"/>
    <x v="0"/>
    <x v="1"/>
    <s v="LC"/>
    <s v="FC"/>
    <s v="FC-063gr"/>
    <x v="1"/>
    <s v="G"/>
    <s v="Cx."/>
    <x v="0"/>
    <s v="F"/>
    <n v="50"/>
    <m/>
    <n v="50"/>
    <n v="0"/>
    <s v="Negative"/>
  </r>
  <r>
    <n v="2016"/>
    <s v="CSU-9130"/>
    <n v="18677"/>
    <x v="0"/>
    <x v="1"/>
    <s v="LC"/>
    <s v="FC"/>
    <s v="FC-090gr"/>
    <x v="1"/>
    <s v="G"/>
    <s v="Cx."/>
    <x v="0"/>
    <s v="F"/>
    <n v="32"/>
    <m/>
    <n v="32"/>
    <n v="0"/>
    <s v="Negative"/>
  </r>
  <r>
    <n v="2016"/>
    <s v="CSU-9164"/>
    <n v="18711"/>
    <x v="0"/>
    <x v="1"/>
    <s v="LC"/>
    <s v="FC"/>
    <s v="FC-075gr"/>
    <x v="2"/>
    <s v="G"/>
    <s v="Cx."/>
    <x v="0"/>
    <s v="F"/>
    <n v="50"/>
    <m/>
    <n v="50"/>
    <n v="0"/>
    <s v="Negative"/>
  </r>
  <r>
    <n v="2016"/>
    <s v="CSU-9165"/>
    <n v="18712"/>
    <x v="0"/>
    <x v="1"/>
    <s v="LC"/>
    <s v="FC"/>
    <s v="FC-075gr"/>
    <x v="2"/>
    <s v="G"/>
    <s v="Cx."/>
    <x v="0"/>
    <s v="F"/>
    <n v="48"/>
    <m/>
    <n v="48"/>
    <n v="0"/>
    <s v="Negative"/>
  </r>
  <r>
    <n v="2016"/>
    <s v="CSU-9154"/>
    <n v="18701"/>
    <x v="0"/>
    <x v="1"/>
    <s v="LC"/>
    <s v="FC"/>
    <s v="FC-088gr"/>
    <x v="2"/>
    <s v="G"/>
    <s v="Cx."/>
    <x v="0"/>
    <s v="F"/>
    <n v="18"/>
    <m/>
    <n v="18"/>
    <n v="0"/>
    <s v="Negative"/>
  </r>
  <r>
    <n v="2016"/>
    <s v="CSU-9102"/>
    <n v="18649"/>
    <x v="0"/>
    <x v="0"/>
    <s v="LC"/>
    <s v="LV"/>
    <s v="LV-020"/>
    <x v="3"/>
    <s v="L"/>
    <s v="Cx."/>
    <x v="1"/>
    <s v="F"/>
    <m/>
    <n v="26"/>
    <n v="26"/>
    <n v="0"/>
    <s v="Negative"/>
  </r>
  <r>
    <n v="2016"/>
    <s v="CSU-9103"/>
    <n v="18650"/>
    <x v="0"/>
    <x v="0"/>
    <s v="LC"/>
    <s v="LV"/>
    <s v="LV-020"/>
    <x v="3"/>
    <s v="L"/>
    <s v="Cx."/>
    <x v="0"/>
    <s v="F"/>
    <m/>
    <n v="5"/>
    <n v="5"/>
    <n v="0"/>
    <s v="Negative"/>
  </r>
  <r>
    <n v="2016"/>
    <s v="CSU-9084"/>
    <n v="18631"/>
    <x v="0"/>
    <x v="0"/>
    <s v="LC"/>
    <s v="LV"/>
    <s v="LV-069"/>
    <x v="3"/>
    <s v="L"/>
    <s v="Cx."/>
    <x v="1"/>
    <s v="F"/>
    <m/>
    <n v="50"/>
    <n v="50"/>
    <n v="0"/>
    <s v="Negative"/>
  </r>
  <r>
    <n v="2016"/>
    <s v="CSU-9085"/>
    <n v="18632"/>
    <x v="0"/>
    <x v="0"/>
    <s v="LC"/>
    <s v="LV"/>
    <s v="LV-069"/>
    <x v="3"/>
    <s v="L"/>
    <s v="Cx."/>
    <x v="1"/>
    <s v="F"/>
    <m/>
    <n v="4"/>
    <n v="4"/>
    <n v="0"/>
    <s v="Negative"/>
  </r>
  <r>
    <n v="2016"/>
    <s v="CSU-9086"/>
    <n v="18633"/>
    <x v="0"/>
    <x v="0"/>
    <s v="LC"/>
    <s v="LV"/>
    <s v="LV-069"/>
    <x v="3"/>
    <s v="L"/>
    <s v="Cx."/>
    <x v="0"/>
    <s v="F"/>
    <m/>
    <n v="6"/>
    <n v="6"/>
    <n v="0"/>
    <s v="Negative"/>
  </r>
  <r>
    <n v="2016"/>
    <s v="CSU-9095"/>
    <n v="18642"/>
    <x v="0"/>
    <x v="0"/>
    <s v="LC"/>
    <s v="LV"/>
    <s v="LV-089"/>
    <x v="3"/>
    <s v="L"/>
    <s v="Cx."/>
    <x v="1"/>
    <s v="F"/>
    <m/>
    <n v="8"/>
    <n v="8"/>
    <n v="0"/>
    <s v="Negative"/>
  </r>
  <r>
    <n v="2016"/>
    <s v="CSU-9096"/>
    <n v="18643"/>
    <x v="0"/>
    <x v="0"/>
    <s v="LC"/>
    <s v="LV"/>
    <s v="LV-089"/>
    <x v="3"/>
    <s v="L"/>
    <s v="Cx."/>
    <x v="0"/>
    <s v="F"/>
    <m/>
    <n v="2"/>
    <n v="2"/>
    <n v="0"/>
    <s v="Negative"/>
  </r>
  <r>
    <n v="2016"/>
    <s v="CSU-9091"/>
    <n v="18638"/>
    <x v="0"/>
    <x v="0"/>
    <s v="LC"/>
    <s v="LV"/>
    <s v="LV-095"/>
    <x v="3"/>
    <s v="L"/>
    <s v="Cx."/>
    <x v="1"/>
    <s v="F"/>
    <m/>
    <n v="39"/>
    <n v="39"/>
    <n v="0"/>
    <s v="Negative"/>
  </r>
  <r>
    <n v="2016"/>
    <s v="CSU-9092"/>
    <n v="18639"/>
    <x v="0"/>
    <x v="0"/>
    <s v="LC"/>
    <s v="LV"/>
    <s v="LV-095"/>
    <x v="3"/>
    <s v="L"/>
    <s v="Cx."/>
    <x v="0"/>
    <s v="F"/>
    <m/>
    <n v="1"/>
    <n v="1"/>
    <n v="0"/>
    <s v="Negative"/>
  </r>
  <r>
    <n v="2016"/>
    <s v="CSU-9093"/>
    <n v="18640"/>
    <x v="0"/>
    <x v="0"/>
    <s v="LC"/>
    <s v="LV"/>
    <s v="LV-104"/>
    <x v="3"/>
    <s v="L"/>
    <s v="Cx."/>
    <x v="1"/>
    <s v="F"/>
    <m/>
    <n v="42"/>
    <n v="42"/>
    <n v="1"/>
    <s v="Positive"/>
  </r>
  <r>
    <n v="2016"/>
    <s v="CSU-9094"/>
    <n v="18641"/>
    <x v="0"/>
    <x v="0"/>
    <s v="LC"/>
    <s v="LV"/>
    <s v="LV-104"/>
    <x v="3"/>
    <s v="L"/>
    <s v="Cx."/>
    <x v="0"/>
    <s v="F"/>
    <m/>
    <n v="3"/>
    <n v="3"/>
    <n v="0"/>
    <s v="Negative"/>
  </r>
  <r>
    <n v="2016"/>
    <s v="CSU-9099"/>
    <n v="18646"/>
    <x v="0"/>
    <x v="0"/>
    <s v="LC"/>
    <s v="LV"/>
    <s v="LV-110"/>
    <x v="3"/>
    <s v="L"/>
    <s v="Cx."/>
    <x v="1"/>
    <s v="F"/>
    <m/>
    <n v="8"/>
    <n v="8"/>
    <n v="0"/>
    <s v="Negative"/>
  </r>
  <r>
    <n v="2016"/>
    <s v="CSU-9104"/>
    <n v="18651"/>
    <x v="0"/>
    <x v="0"/>
    <s v="LC"/>
    <s v="FC"/>
    <s v="FC-006"/>
    <x v="0"/>
    <s v="L"/>
    <s v="Cx."/>
    <x v="1"/>
    <s v="F"/>
    <m/>
    <n v="6"/>
    <n v="6"/>
    <n v="0"/>
    <s v="Negative"/>
  </r>
  <r>
    <n v="2016"/>
    <s v="CSU-9105"/>
    <n v="18652"/>
    <x v="0"/>
    <x v="0"/>
    <s v="LC"/>
    <s v="FC"/>
    <s v="FC-006"/>
    <x v="0"/>
    <s v="L"/>
    <s v="Cx."/>
    <x v="0"/>
    <s v="F"/>
    <m/>
    <n v="5"/>
    <n v="5"/>
    <n v="0"/>
    <s v="Negative"/>
  </r>
  <r>
    <n v="2016"/>
    <s v="CSU-9079"/>
    <n v="18626"/>
    <x v="0"/>
    <x v="0"/>
    <s v="LC"/>
    <s v="FC"/>
    <s v="FC-014"/>
    <x v="0"/>
    <s v="L"/>
    <s v="Cx."/>
    <x v="1"/>
    <s v="F"/>
    <m/>
    <n v="18"/>
    <n v="18"/>
    <n v="0"/>
    <s v="Negative"/>
  </r>
  <r>
    <n v="2016"/>
    <s v="CSU-9078"/>
    <n v="18625"/>
    <x v="0"/>
    <x v="0"/>
    <s v="LC"/>
    <s v="FC"/>
    <s v="FC-019"/>
    <x v="0"/>
    <s v="L"/>
    <s v="Cx."/>
    <x v="1"/>
    <s v="F"/>
    <m/>
    <n v="3"/>
    <n v="3"/>
    <n v="0"/>
    <s v="Negative"/>
  </r>
  <r>
    <n v="2016"/>
    <s v="CSU-9082"/>
    <n v="18629"/>
    <x v="0"/>
    <x v="0"/>
    <s v="LC"/>
    <s v="FC"/>
    <s v="FC-034"/>
    <x v="0"/>
    <s v="L"/>
    <s v="Cx."/>
    <x v="1"/>
    <s v="F"/>
    <m/>
    <n v="6"/>
    <n v="6"/>
    <n v="0"/>
    <s v="Negative"/>
  </r>
  <r>
    <n v="2016"/>
    <s v="CSU-9083"/>
    <n v="18630"/>
    <x v="0"/>
    <x v="0"/>
    <s v="LC"/>
    <s v="FC"/>
    <s v="FC-034"/>
    <x v="0"/>
    <s v="L"/>
    <s v="Cx."/>
    <x v="0"/>
    <s v="F"/>
    <m/>
    <n v="1"/>
    <n v="1"/>
    <n v="0"/>
    <s v="Negative"/>
  </r>
  <r>
    <n v="2016"/>
    <s v="CSU-9080"/>
    <n v="18627"/>
    <x v="0"/>
    <x v="0"/>
    <s v="LC"/>
    <s v="FC"/>
    <s v="FC-038"/>
    <x v="0"/>
    <s v="L"/>
    <s v="Cx."/>
    <x v="1"/>
    <s v="F"/>
    <m/>
    <n v="19"/>
    <n v="19"/>
    <n v="0"/>
    <s v="Negative"/>
  </r>
  <r>
    <n v="2016"/>
    <s v="CSU-9081"/>
    <n v="18628"/>
    <x v="0"/>
    <x v="0"/>
    <s v="LC"/>
    <s v="FC"/>
    <s v="FC-038"/>
    <x v="0"/>
    <s v="L"/>
    <s v="Cx."/>
    <x v="0"/>
    <s v="F"/>
    <m/>
    <n v="2"/>
    <n v="2"/>
    <n v="0"/>
    <s v="Negative"/>
  </r>
  <r>
    <n v="2016"/>
    <s v="CSU-9089"/>
    <n v="18636"/>
    <x v="0"/>
    <x v="0"/>
    <s v="LC"/>
    <s v="FC"/>
    <s v="FC-040"/>
    <x v="0"/>
    <s v="L"/>
    <s v="Cx."/>
    <x v="1"/>
    <s v="F"/>
    <m/>
    <n v="34"/>
    <n v="34"/>
    <n v="0"/>
    <s v="Negative"/>
  </r>
  <r>
    <n v="2016"/>
    <s v="CSU-9090"/>
    <n v="18637"/>
    <x v="0"/>
    <x v="0"/>
    <s v="LC"/>
    <s v="FC"/>
    <s v="FC-040"/>
    <x v="0"/>
    <s v="L"/>
    <s v="Cx."/>
    <x v="0"/>
    <s v="F"/>
    <m/>
    <n v="48"/>
    <n v="48"/>
    <n v="0"/>
    <s v="Negative"/>
  </r>
  <r>
    <n v="2016"/>
    <s v="CSU-9110"/>
    <n v="18657"/>
    <x v="0"/>
    <x v="0"/>
    <s v="LC"/>
    <s v="FC"/>
    <s v="FC-066"/>
    <x v="0"/>
    <s v="L"/>
    <s v="Cx."/>
    <x v="1"/>
    <s v="F"/>
    <m/>
    <n v="50"/>
    <n v="50"/>
    <n v="0"/>
    <s v="Negative"/>
  </r>
  <r>
    <n v="2016"/>
    <s v="CSU-9111"/>
    <n v="18658"/>
    <x v="0"/>
    <x v="0"/>
    <s v="LC"/>
    <s v="FC"/>
    <s v="FC-066"/>
    <x v="0"/>
    <s v="L"/>
    <s v="Cx."/>
    <x v="1"/>
    <s v="F"/>
    <m/>
    <n v="13"/>
    <n v="13"/>
    <n v="0"/>
    <s v="Negative"/>
  </r>
  <r>
    <n v="2016"/>
    <s v="CSU-9112"/>
    <n v="18659"/>
    <x v="0"/>
    <x v="0"/>
    <s v="LC"/>
    <s v="FC"/>
    <s v="FC-066"/>
    <x v="0"/>
    <s v="L"/>
    <s v="Cx."/>
    <x v="0"/>
    <s v="F"/>
    <m/>
    <n v="28"/>
    <n v="28"/>
    <n v="0"/>
    <s v="Negative"/>
  </r>
  <r>
    <n v="2016"/>
    <s v="CSU-9087"/>
    <n v="18634"/>
    <x v="0"/>
    <x v="0"/>
    <s v="LC"/>
    <s v="FC"/>
    <s v="FC-067"/>
    <x v="0"/>
    <s v="L"/>
    <s v="Cx."/>
    <x v="1"/>
    <s v="F"/>
    <m/>
    <n v="12"/>
    <n v="12"/>
    <n v="0"/>
    <s v="Negative"/>
  </r>
  <r>
    <n v="2016"/>
    <s v="CSU-9088"/>
    <n v="18635"/>
    <x v="0"/>
    <x v="0"/>
    <s v="LC"/>
    <s v="FC"/>
    <s v="FC-067"/>
    <x v="0"/>
    <s v="L"/>
    <s v="Cx."/>
    <x v="0"/>
    <s v="F"/>
    <m/>
    <n v="11"/>
    <n v="11"/>
    <n v="0"/>
    <s v="Negative"/>
  </r>
  <r>
    <n v="2016"/>
    <s v="CSU-9106"/>
    <n v="18653"/>
    <x v="0"/>
    <x v="0"/>
    <s v="LC"/>
    <s v="FC"/>
    <s v="FC-072"/>
    <x v="0"/>
    <s v="L"/>
    <s v="Cx."/>
    <x v="1"/>
    <s v="F"/>
    <m/>
    <n v="2"/>
    <n v="2"/>
    <n v="0"/>
    <s v="Negative"/>
  </r>
  <r>
    <n v="2016"/>
    <s v="CSU-9107"/>
    <n v="18654"/>
    <x v="0"/>
    <x v="0"/>
    <s v="LC"/>
    <s v="FC"/>
    <s v="FC-072"/>
    <x v="0"/>
    <s v="L"/>
    <s v="Cx."/>
    <x v="0"/>
    <s v="F"/>
    <m/>
    <n v="5"/>
    <n v="5"/>
    <n v="0"/>
    <s v="Negative"/>
  </r>
  <r>
    <n v="2016"/>
    <s v="CSU-9146"/>
    <n v="18693"/>
    <x v="0"/>
    <x v="1"/>
    <s v="LC"/>
    <s v="FC"/>
    <s v="FC-011"/>
    <x v="1"/>
    <s v="L"/>
    <s v="Cx."/>
    <x v="1"/>
    <s v="F"/>
    <m/>
    <n v="7"/>
    <n v="7"/>
    <n v="0"/>
    <s v="Negative"/>
  </r>
  <r>
    <n v="2016"/>
    <s v="CSU-9147"/>
    <n v="18694"/>
    <x v="0"/>
    <x v="1"/>
    <s v="LC"/>
    <s v="FC"/>
    <s v="FC-011"/>
    <x v="1"/>
    <s v="L"/>
    <s v="Cx."/>
    <x v="0"/>
    <s v="F"/>
    <m/>
    <n v="13"/>
    <n v="13"/>
    <n v="0"/>
    <s v="Negative"/>
  </r>
  <r>
    <n v="2016"/>
    <s v="CSU-9159"/>
    <n v="18706"/>
    <x v="0"/>
    <x v="1"/>
    <s v="LC"/>
    <s v="FC"/>
    <s v="FC-015"/>
    <x v="1"/>
    <s v="L"/>
    <s v="Cx."/>
    <x v="1"/>
    <s v="F"/>
    <m/>
    <n v="2"/>
    <n v="2"/>
    <n v="0"/>
    <s v="Negative"/>
  </r>
  <r>
    <n v="2016"/>
    <s v="CSU-9100"/>
    <n v="18647"/>
    <x v="0"/>
    <x v="0"/>
    <s v="LC"/>
    <s v="FC"/>
    <s v="FC-036"/>
    <x v="1"/>
    <s v="L"/>
    <s v="Cx."/>
    <x v="1"/>
    <s v="F"/>
    <m/>
    <n v="9"/>
    <n v="9"/>
    <n v="0"/>
    <s v="Negative"/>
  </r>
  <r>
    <n v="2016"/>
    <s v="CSU-9101"/>
    <n v="18648"/>
    <x v="0"/>
    <x v="0"/>
    <s v="LC"/>
    <s v="FC"/>
    <s v="FC-036"/>
    <x v="1"/>
    <s v="L"/>
    <s v="Cx."/>
    <x v="0"/>
    <s v="F"/>
    <m/>
    <n v="12"/>
    <n v="12"/>
    <n v="0"/>
    <s v="Negative"/>
  </r>
  <r>
    <n v="2016"/>
    <s v="CSU-9125"/>
    <n v="18672"/>
    <x v="0"/>
    <x v="1"/>
    <s v="LC"/>
    <s v="FC"/>
    <s v="FC-041"/>
    <x v="1"/>
    <s v="L"/>
    <s v="Cx."/>
    <x v="1"/>
    <s v="F"/>
    <m/>
    <n v="10"/>
    <n v="10"/>
    <n v="0"/>
    <s v="Negative"/>
  </r>
  <r>
    <n v="2016"/>
    <s v="CSU-9126"/>
    <n v="18673"/>
    <x v="0"/>
    <x v="1"/>
    <s v="LC"/>
    <s v="FC"/>
    <s v="FC-041"/>
    <x v="1"/>
    <s v="L"/>
    <s v="Cx."/>
    <x v="0"/>
    <s v="F"/>
    <m/>
    <n v="19"/>
    <n v="19"/>
    <n v="0"/>
    <s v="Negative"/>
  </r>
  <r>
    <n v="2016"/>
    <s v="CSU-9119"/>
    <n v="18666"/>
    <x v="0"/>
    <x v="1"/>
    <s v="LC"/>
    <s v="FC"/>
    <s v="FC-052"/>
    <x v="1"/>
    <s v="L"/>
    <s v="Cx."/>
    <x v="1"/>
    <s v="F"/>
    <m/>
    <n v="3"/>
    <n v="3"/>
    <n v="0"/>
    <s v="Negative"/>
  </r>
  <r>
    <n v="2016"/>
    <s v="CSU-9120"/>
    <n v="18667"/>
    <x v="0"/>
    <x v="1"/>
    <s v="LC"/>
    <s v="FC"/>
    <s v="FC-052"/>
    <x v="1"/>
    <s v="L"/>
    <s v="Cx."/>
    <x v="0"/>
    <s v="F"/>
    <m/>
    <n v="1"/>
    <n v="1"/>
    <n v="0"/>
    <s v="Negative"/>
  </r>
  <r>
    <n v="2016"/>
    <s v="CSU-9131"/>
    <n v="18678"/>
    <x v="0"/>
    <x v="1"/>
    <s v="LC"/>
    <s v="FC"/>
    <s v="FC-060"/>
    <x v="1"/>
    <s v="L"/>
    <s v="Cx."/>
    <x v="1"/>
    <s v="F"/>
    <m/>
    <n v="1"/>
    <n v="1"/>
    <n v="0"/>
    <s v="Negative"/>
  </r>
  <r>
    <n v="2016"/>
    <s v="CSU-9132"/>
    <n v="18679"/>
    <x v="0"/>
    <x v="1"/>
    <s v="LC"/>
    <s v="FC"/>
    <s v="FC-060"/>
    <x v="1"/>
    <s v="L"/>
    <s v="Cx."/>
    <x v="0"/>
    <s v="F"/>
    <m/>
    <n v="10"/>
    <n v="10"/>
    <n v="0"/>
    <s v="Negative"/>
  </r>
  <r>
    <n v="2016"/>
    <s v="CSU-9121"/>
    <n v="18668"/>
    <x v="0"/>
    <x v="1"/>
    <s v="LC"/>
    <s v="FC"/>
    <s v="FC-061"/>
    <x v="1"/>
    <s v="L"/>
    <s v="Cx."/>
    <x v="1"/>
    <s v="F"/>
    <m/>
    <n v="9"/>
    <n v="9"/>
    <n v="0"/>
    <s v="Negative"/>
  </r>
  <r>
    <n v="2016"/>
    <s v="CSU-9122"/>
    <n v="18669"/>
    <x v="0"/>
    <x v="1"/>
    <s v="LC"/>
    <s v="FC"/>
    <s v="FC-061"/>
    <x v="1"/>
    <s v="L"/>
    <s v="Cx."/>
    <x v="0"/>
    <s v="F"/>
    <m/>
    <n v="5"/>
    <n v="5"/>
    <n v="0"/>
    <s v="Negative"/>
  </r>
  <r>
    <n v="2016"/>
    <s v="CSU-9143"/>
    <n v="18690"/>
    <x v="0"/>
    <x v="1"/>
    <s v="LC"/>
    <s v="FC"/>
    <s v="FC-063"/>
    <x v="1"/>
    <s v="L"/>
    <s v="Cx."/>
    <x v="0"/>
    <s v="F"/>
    <m/>
    <n v="1"/>
    <n v="1"/>
    <n v="0"/>
    <s v="Negative"/>
  </r>
  <r>
    <n v="2016"/>
    <s v="CSU-9123"/>
    <n v="18670"/>
    <x v="0"/>
    <x v="1"/>
    <s v="LC"/>
    <s v="FC"/>
    <s v="FC-073"/>
    <x v="1"/>
    <s v="L"/>
    <s v="Cx."/>
    <x v="1"/>
    <s v="F"/>
    <m/>
    <n v="5"/>
    <n v="5"/>
    <n v="0"/>
    <s v="Negative"/>
  </r>
  <r>
    <n v="2016"/>
    <s v="CSU-9124"/>
    <n v="18671"/>
    <x v="0"/>
    <x v="1"/>
    <s v="LC"/>
    <s v="FC"/>
    <s v="FC-073"/>
    <x v="1"/>
    <s v="L"/>
    <s v="Cx."/>
    <x v="0"/>
    <s v="F"/>
    <m/>
    <n v="10"/>
    <n v="10"/>
    <n v="0"/>
    <s v="Negative"/>
  </r>
  <r>
    <n v="2016"/>
    <s v="CSU-9161"/>
    <n v="18708"/>
    <x v="0"/>
    <x v="1"/>
    <s v="LC"/>
    <s v="FC"/>
    <s v="FC-004"/>
    <x v="2"/>
    <s v="L"/>
    <s v="Cx."/>
    <x v="1"/>
    <s v="F"/>
    <m/>
    <n v="50"/>
    <n v="50"/>
    <n v="0"/>
    <s v="Negative"/>
  </r>
  <r>
    <n v="2016"/>
    <s v="CSU-9162"/>
    <n v="18709"/>
    <x v="0"/>
    <x v="1"/>
    <s v="LC"/>
    <s v="FC"/>
    <s v="FC-004"/>
    <x v="2"/>
    <s v="L"/>
    <s v="Cx."/>
    <x v="1"/>
    <s v="F"/>
    <m/>
    <n v="15"/>
    <n v="15"/>
    <n v="0"/>
    <s v="Negative"/>
  </r>
  <r>
    <n v="2016"/>
    <s v="CSU-9163"/>
    <n v="18710"/>
    <x v="0"/>
    <x v="1"/>
    <s v="LC"/>
    <s v="FC"/>
    <s v="FC-004"/>
    <x v="2"/>
    <s v="L"/>
    <s v="Cx."/>
    <x v="0"/>
    <s v="F"/>
    <m/>
    <n v="7"/>
    <n v="7"/>
    <n v="0"/>
    <s v="Negative"/>
  </r>
  <r>
    <n v="2016"/>
    <s v="CSU-9150"/>
    <n v="18697"/>
    <x v="0"/>
    <x v="1"/>
    <s v="LC"/>
    <s v="FC"/>
    <s v="FC-023"/>
    <x v="2"/>
    <s v="L"/>
    <s v="Cx."/>
    <x v="1"/>
    <s v="F"/>
    <m/>
    <n v="13"/>
    <n v="13"/>
    <n v="0"/>
    <s v="Negative"/>
  </r>
  <r>
    <n v="2016"/>
    <s v="CSU-9151"/>
    <n v="18698"/>
    <x v="0"/>
    <x v="1"/>
    <s v="LC"/>
    <s v="FC"/>
    <s v="FC-023"/>
    <x v="2"/>
    <s v="L"/>
    <s v="Cx."/>
    <x v="0"/>
    <s v="F"/>
    <m/>
    <n v="1"/>
    <n v="1"/>
    <n v="0"/>
    <s v="Negative"/>
  </r>
  <r>
    <n v="2016"/>
    <s v="CSU-9113"/>
    <n v="18660"/>
    <x v="0"/>
    <x v="1"/>
    <s v="LC"/>
    <s v="FC"/>
    <s v="FC-031"/>
    <x v="2"/>
    <s v="L"/>
    <s v="Cx."/>
    <x v="1"/>
    <s v="F"/>
    <m/>
    <n v="41"/>
    <n v="41"/>
    <n v="0"/>
    <s v="Negative"/>
  </r>
  <r>
    <n v="2016"/>
    <s v="CSU-9114"/>
    <n v="18661"/>
    <x v="0"/>
    <x v="1"/>
    <s v="LC"/>
    <s v="FC"/>
    <s v="FC-039"/>
    <x v="2"/>
    <s v="L"/>
    <s v="Cx."/>
    <x v="1"/>
    <s v="F"/>
    <m/>
    <n v="50"/>
    <n v="50"/>
    <n v="0"/>
    <s v="Negative"/>
  </r>
  <r>
    <n v="2016"/>
    <s v="CSU-9115"/>
    <n v="18662"/>
    <x v="0"/>
    <x v="1"/>
    <s v="LC"/>
    <s v="FC"/>
    <s v="FC-039"/>
    <x v="2"/>
    <s v="L"/>
    <s v="Cx."/>
    <x v="1"/>
    <s v="F"/>
    <m/>
    <n v="50"/>
    <n v="50"/>
    <n v="0"/>
    <s v="Negative"/>
  </r>
  <r>
    <n v="2016"/>
    <s v="CSU-9116"/>
    <n v="18663"/>
    <x v="0"/>
    <x v="1"/>
    <s v="LC"/>
    <s v="FC"/>
    <s v="FC-039"/>
    <x v="2"/>
    <s v="L"/>
    <s v="Cx."/>
    <x v="1"/>
    <s v="F"/>
    <m/>
    <n v="15"/>
    <n v="15"/>
    <n v="0"/>
    <s v="Negative"/>
  </r>
  <r>
    <n v="2016"/>
    <s v="CSU-9117"/>
    <n v="18664"/>
    <x v="0"/>
    <x v="1"/>
    <s v="LC"/>
    <s v="FC"/>
    <s v="FC-039"/>
    <x v="2"/>
    <s v="L"/>
    <s v="Cx."/>
    <x v="0"/>
    <s v="F"/>
    <m/>
    <n v="1"/>
    <n v="1"/>
    <n v="0"/>
    <s v="Negative"/>
  </r>
  <r>
    <n v="2016"/>
    <s v="CSU-9118"/>
    <n v="18665"/>
    <x v="0"/>
    <x v="1"/>
    <s v="LC"/>
    <s v="FC"/>
    <s v="FC-039"/>
    <x v="2"/>
    <s v="L"/>
    <s v="Cx."/>
    <x v="0"/>
    <s v="F"/>
    <m/>
    <n v="30"/>
    <n v="30"/>
    <n v="1"/>
    <s v="Positive"/>
  </r>
  <r>
    <n v="2016"/>
    <s v="CSU-9133"/>
    <n v="18680"/>
    <x v="0"/>
    <x v="1"/>
    <s v="LC"/>
    <s v="FC"/>
    <s v="FC-046"/>
    <x v="2"/>
    <s v="L"/>
    <s v="Cx."/>
    <x v="1"/>
    <s v="F"/>
    <m/>
    <n v="6"/>
    <n v="6"/>
    <n v="0"/>
    <s v="Negative"/>
  </r>
  <r>
    <n v="2016"/>
    <s v="CSU-9134"/>
    <n v="18681"/>
    <x v="0"/>
    <x v="1"/>
    <s v="LC"/>
    <s v="FC"/>
    <s v="FC-046"/>
    <x v="2"/>
    <s v="L"/>
    <s v="Cx."/>
    <x v="0"/>
    <s v="F"/>
    <m/>
    <n v="4"/>
    <n v="4"/>
    <n v="0"/>
    <s v="Negative"/>
  </r>
  <r>
    <n v="2016"/>
    <s v="CSU-9138"/>
    <n v="18685"/>
    <x v="0"/>
    <x v="1"/>
    <s v="LC"/>
    <s v="FC"/>
    <s v="FC-047"/>
    <x v="2"/>
    <s v="L"/>
    <s v="Cx."/>
    <x v="1"/>
    <s v="F"/>
    <m/>
    <n v="5"/>
    <n v="5"/>
    <n v="0"/>
    <s v="Negative"/>
  </r>
  <r>
    <n v="2016"/>
    <s v="CSU-9144"/>
    <n v="18691"/>
    <x v="0"/>
    <x v="1"/>
    <s v="LC"/>
    <s v="FC"/>
    <s v="FC-050"/>
    <x v="2"/>
    <s v="L"/>
    <s v="Cx."/>
    <x v="1"/>
    <s v="F"/>
    <m/>
    <n v="6"/>
    <n v="6"/>
    <n v="1"/>
    <s v="Positive"/>
  </r>
  <r>
    <n v="2016"/>
    <s v="CSU-9145"/>
    <n v="18692"/>
    <x v="0"/>
    <x v="1"/>
    <s v="LC"/>
    <s v="FC"/>
    <s v="FC-050"/>
    <x v="2"/>
    <s v="L"/>
    <s v="Cx."/>
    <x v="0"/>
    <s v="F"/>
    <m/>
    <n v="4"/>
    <n v="4"/>
    <n v="0"/>
    <s v="Negative"/>
  </r>
  <r>
    <n v="2016"/>
    <s v="CSU-9139"/>
    <n v="18686"/>
    <x v="0"/>
    <x v="1"/>
    <s v="LC"/>
    <s v="FC"/>
    <s v="FC-053"/>
    <x v="2"/>
    <s v="L"/>
    <s v="Cx."/>
    <x v="1"/>
    <s v="F"/>
    <m/>
    <n v="50"/>
    <n v="50"/>
    <n v="0"/>
    <s v="Negative"/>
  </r>
  <r>
    <n v="2016"/>
    <s v="CSU-9140"/>
    <n v="18687"/>
    <x v="0"/>
    <x v="1"/>
    <s v="LC"/>
    <s v="FC"/>
    <s v="FC-053"/>
    <x v="2"/>
    <s v="L"/>
    <s v="Cx."/>
    <x v="1"/>
    <s v="F"/>
    <m/>
    <n v="50"/>
    <n v="50"/>
    <n v="0"/>
    <s v="Negative"/>
  </r>
  <r>
    <n v="2016"/>
    <s v="CSU-9141"/>
    <n v="18688"/>
    <x v="0"/>
    <x v="1"/>
    <s v="LC"/>
    <s v="FC"/>
    <s v="FC-053"/>
    <x v="2"/>
    <s v="L"/>
    <s v="Cx."/>
    <x v="1"/>
    <s v="F"/>
    <m/>
    <n v="31"/>
    <n v="31"/>
    <n v="0"/>
    <s v="Negative"/>
  </r>
  <r>
    <n v="2016"/>
    <s v="CSU-9142"/>
    <n v="18689"/>
    <x v="0"/>
    <x v="1"/>
    <s v="LC"/>
    <s v="FC"/>
    <s v="FC-053"/>
    <x v="2"/>
    <s v="L"/>
    <s v="Cx."/>
    <x v="0"/>
    <s v="F"/>
    <m/>
    <n v="16"/>
    <n v="16"/>
    <n v="0"/>
    <s v="Negative"/>
  </r>
  <r>
    <n v="2016"/>
    <s v="CSU-9157"/>
    <n v="18704"/>
    <x v="0"/>
    <x v="1"/>
    <s v="LC"/>
    <s v="FC"/>
    <s v="FC-059"/>
    <x v="2"/>
    <s v="L"/>
    <s v="Cx."/>
    <x v="1"/>
    <s v="F"/>
    <m/>
    <n v="8"/>
    <n v="8"/>
    <n v="0"/>
    <s v="Negative"/>
  </r>
  <r>
    <n v="2016"/>
    <s v="CSU-9158"/>
    <n v="18705"/>
    <x v="0"/>
    <x v="1"/>
    <s v="LC"/>
    <s v="FC"/>
    <s v="FC-059"/>
    <x v="2"/>
    <s v="L"/>
    <s v="Cx."/>
    <x v="0"/>
    <s v="F"/>
    <m/>
    <n v="13"/>
    <n v="13"/>
    <n v="0"/>
    <s v="Negative"/>
  </r>
  <r>
    <n v="2016"/>
    <s v="CSU-9127"/>
    <n v="18674"/>
    <x v="0"/>
    <x v="1"/>
    <s v="LC"/>
    <s v="FC"/>
    <s v="FC-064"/>
    <x v="2"/>
    <s v="L"/>
    <s v="Cx."/>
    <x v="1"/>
    <s v="F"/>
    <m/>
    <n v="50"/>
    <n v="50"/>
    <n v="0"/>
    <s v="Negative"/>
  </r>
  <r>
    <n v="2016"/>
    <s v="CSU-9128"/>
    <n v="18675"/>
    <x v="0"/>
    <x v="1"/>
    <s v="LC"/>
    <s v="FC"/>
    <s v="FC-064"/>
    <x v="2"/>
    <s v="L"/>
    <s v="Cx."/>
    <x v="1"/>
    <s v="F"/>
    <m/>
    <n v="50"/>
    <n v="50"/>
    <n v="0"/>
    <s v="Negative"/>
  </r>
  <r>
    <n v="2016"/>
    <s v="CSU-9129"/>
    <n v="18676"/>
    <x v="0"/>
    <x v="1"/>
    <s v="LC"/>
    <s v="FC"/>
    <s v="FC-064"/>
    <x v="2"/>
    <s v="L"/>
    <s v="Cx."/>
    <x v="0"/>
    <s v="F"/>
    <m/>
    <n v="5"/>
    <n v="5"/>
    <n v="0"/>
    <s v="Negative"/>
  </r>
  <r>
    <n v="2016"/>
    <s v="CSU-9160"/>
    <n v="18707"/>
    <x v="0"/>
    <x v="1"/>
    <s v="LC"/>
    <s v="FC"/>
    <s v="FC-074"/>
    <x v="2"/>
    <s v="L"/>
    <s v="Cx."/>
    <x v="1"/>
    <s v="F"/>
    <m/>
    <n v="30"/>
    <n v="30"/>
    <n v="0"/>
    <s v="Negative"/>
  </r>
  <r>
    <n v="2016"/>
    <s v="CSU-9148"/>
    <n v="18695"/>
    <x v="0"/>
    <x v="1"/>
    <s v="LC"/>
    <s v="FC"/>
    <s v="FC-075"/>
    <x v="2"/>
    <s v="L"/>
    <s v="Cx."/>
    <x v="1"/>
    <s v="F"/>
    <m/>
    <n v="49"/>
    <n v="49"/>
    <n v="0"/>
    <s v="Negative"/>
  </r>
  <r>
    <n v="2016"/>
    <s v="CSU-9149"/>
    <n v="18696"/>
    <x v="0"/>
    <x v="1"/>
    <s v="LC"/>
    <s v="FC"/>
    <s v="FC-075"/>
    <x v="2"/>
    <s v="L"/>
    <s v="Cx."/>
    <x v="0"/>
    <s v="F"/>
    <m/>
    <n v="5"/>
    <n v="5"/>
    <n v="0"/>
    <s v="Negative"/>
  </r>
  <r>
    <n v="2016"/>
    <s v="CSU-9152"/>
    <n v="18699"/>
    <x v="0"/>
    <x v="1"/>
    <s v="LC"/>
    <s v="FC"/>
    <s v="FC-049"/>
    <x v="4"/>
    <s v="L"/>
    <s v="Cx."/>
    <x v="1"/>
    <s v="F"/>
    <m/>
    <n v="2"/>
    <n v="2"/>
    <n v="0"/>
    <s v="Negative"/>
  </r>
  <r>
    <n v="2016"/>
    <s v="CSU-9153"/>
    <n v="18700"/>
    <x v="0"/>
    <x v="1"/>
    <s v="LC"/>
    <s v="FC"/>
    <s v="FC-049"/>
    <x v="4"/>
    <s v="L"/>
    <s v="Cx."/>
    <x v="0"/>
    <s v="F"/>
    <m/>
    <n v="4"/>
    <n v="4"/>
    <n v="0"/>
    <s v="Negative"/>
  </r>
  <r>
    <n v="2016"/>
    <s v="CSU-9155"/>
    <n v="18702"/>
    <x v="0"/>
    <x v="1"/>
    <s v="LC"/>
    <s v="FC"/>
    <s v="FC-058"/>
    <x v="4"/>
    <s v="L"/>
    <s v="Cx."/>
    <x v="1"/>
    <s v="F"/>
    <m/>
    <n v="3"/>
    <n v="3"/>
    <n v="0"/>
    <s v="Negative"/>
  </r>
  <r>
    <n v="2016"/>
    <s v="CSU-9156"/>
    <n v="18703"/>
    <x v="0"/>
    <x v="1"/>
    <s v="LC"/>
    <s v="FC"/>
    <s v="FC-058"/>
    <x v="4"/>
    <s v="L"/>
    <s v="Cx."/>
    <x v="0"/>
    <s v="F"/>
    <m/>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3"/>
        <item x="0"/>
        <item x="1"/>
        <item x="2"/>
        <item x="4"/>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3"/>
        <item x="0"/>
        <item x="1"/>
        <item x="2"/>
        <item x="4"/>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6">
        <item x="1"/>
        <item x="0"/>
        <item x="2"/>
        <item x="4"/>
        <item x="3"/>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L23" sqref="L23"/>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34</v>
      </c>
      <c r="C5" s="2">
        <v>305</v>
      </c>
      <c r="D5" s="2">
        <v>339</v>
      </c>
      <c r="G5" s="1" t="s">
        <v>9</v>
      </c>
      <c r="H5" s="2">
        <f>GETPIVOTDATA("Sum of Cx pipiens",$A$4,"Zone","LV")</f>
        <v>34</v>
      </c>
      <c r="I5" s="2">
        <f>GETPIVOTDATA("Sum of Cx tarsalis",$A$4,"Zone","LV")</f>
        <v>305</v>
      </c>
      <c r="J5" s="2">
        <f>GETPIVOTDATA("Sum of Total CX",$A$4,"Zone","LV")</f>
        <v>339</v>
      </c>
    </row>
    <row r="6" spans="1:10" x14ac:dyDescent="0.25">
      <c r="A6" s="1" t="s">
        <v>61</v>
      </c>
      <c r="B6" s="2">
        <v>100</v>
      </c>
      <c r="C6" s="2">
        <v>163</v>
      </c>
      <c r="D6" s="2">
        <v>263</v>
      </c>
      <c r="G6" s="1" t="s">
        <v>61</v>
      </c>
      <c r="H6" s="2">
        <f>GETPIVOTDATA("Sum of Cx pipiens",$A$4,"Zone","NE")</f>
        <v>100</v>
      </c>
      <c r="I6" s="2">
        <f>GETPIVOTDATA("Sum of Cx tarsalis",$A$4,"Zone","NE")</f>
        <v>163</v>
      </c>
      <c r="J6" s="2">
        <f>GETPIVOTDATA("Sum of Total CX",$A$4,"Zone","NE")</f>
        <v>263</v>
      </c>
    </row>
    <row r="7" spans="1:10" x14ac:dyDescent="0.25">
      <c r="A7" s="1" t="s">
        <v>60</v>
      </c>
      <c r="B7" s="2">
        <v>71</v>
      </c>
      <c r="C7" s="2">
        <v>46</v>
      </c>
      <c r="D7" s="2">
        <v>117</v>
      </c>
      <c r="G7" s="1" t="s">
        <v>60</v>
      </c>
      <c r="H7" s="2">
        <f>GETPIVOTDATA("Sum of Cx pipiens",$A$4,"Zone","NW")</f>
        <v>71</v>
      </c>
      <c r="I7" s="2">
        <f>GETPIVOTDATA("Sum of Cx tarsalis",$A$4,"Zone","NW")</f>
        <v>46</v>
      </c>
      <c r="J7" s="2">
        <f>GETPIVOTDATA("Sum of Total CX",$A$4,"Zone","NW")</f>
        <v>117</v>
      </c>
    </row>
    <row r="8" spans="1:10" x14ac:dyDescent="0.25">
      <c r="A8" s="1" t="s">
        <v>62</v>
      </c>
      <c r="B8" s="2">
        <v>86</v>
      </c>
      <c r="C8" s="2">
        <v>569</v>
      </c>
      <c r="D8" s="2">
        <v>655</v>
      </c>
      <c r="G8" s="1" t="s">
        <v>62</v>
      </c>
      <c r="H8" s="2">
        <f>GETPIVOTDATA("Sum of Cx pipiens",$A$4,"Zone","SE")</f>
        <v>86</v>
      </c>
      <c r="I8" s="2">
        <f>GETPIVOTDATA("Sum of Cx tarsalis",$A$4,"Zone","SE")</f>
        <v>569</v>
      </c>
      <c r="J8" s="2">
        <f>GETPIVOTDATA("Sum of Total CX",$A$4,"Zone","SE")</f>
        <v>655</v>
      </c>
    </row>
    <row r="9" spans="1:10" x14ac:dyDescent="0.25">
      <c r="A9" s="1" t="s">
        <v>63</v>
      </c>
      <c r="B9" s="2">
        <v>6</v>
      </c>
      <c r="C9" s="2">
        <v>5</v>
      </c>
      <c r="D9" s="2">
        <v>11</v>
      </c>
      <c r="G9" s="1" t="s">
        <v>63</v>
      </c>
      <c r="H9" s="2">
        <f>GETPIVOTDATA("Sum of Cx pipiens",$A$4,"Zone","SW")</f>
        <v>6</v>
      </c>
      <c r="I9" s="2">
        <f>GETPIVOTDATA("Sum of Cx tarsalis",$A$4,"Zone","SW")</f>
        <v>5</v>
      </c>
      <c r="J9" s="2">
        <f>GETPIVOTDATA("Sum of Total CX",$A$4,"Zone","SW")</f>
        <v>11</v>
      </c>
    </row>
    <row r="10" spans="1:10" x14ac:dyDescent="0.25">
      <c r="A10" s="1" t="s">
        <v>105</v>
      </c>
      <c r="B10" s="2">
        <v>27</v>
      </c>
      <c r="C10" s="2">
        <v>292</v>
      </c>
      <c r="D10" s="2">
        <v>319</v>
      </c>
    </row>
    <row r="11" spans="1:10" x14ac:dyDescent="0.25">
      <c r="A11" s="1" t="s">
        <v>7</v>
      </c>
      <c r="B11" s="2">
        <v>324</v>
      </c>
      <c r="C11" s="2">
        <v>1380</v>
      </c>
      <c r="D11" s="2">
        <v>1704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7" sqref="A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89" t="s">
        <v>79</v>
      </c>
      <c r="B1" s="89"/>
      <c r="H1" s="89" t="s">
        <v>55</v>
      </c>
      <c r="I1" s="8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17</v>
      </c>
      <c r="C6" s="2">
        <v>177</v>
      </c>
      <c r="D6" s="2">
        <v>194</v>
      </c>
      <c r="H6" s="1" t="s">
        <v>9</v>
      </c>
      <c r="I6" s="2">
        <f>GETPIVOTDATA("Total",$A$4,"Zone","LV","Spp","pipiens")</f>
        <v>17</v>
      </c>
      <c r="J6" s="2">
        <f>GETPIVOTDATA("Total",$A$4,"Zone","LV","Spp","tarsalis")</f>
        <v>177</v>
      </c>
      <c r="K6" s="2">
        <f>GETPIVOTDATA("Total",$A$4,"Zone","LV")</f>
        <v>194</v>
      </c>
    </row>
    <row r="7" spans="1:11" x14ac:dyDescent="0.25">
      <c r="A7" s="1" t="s">
        <v>61</v>
      </c>
      <c r="B7" s="2">
        <v>191</v>
      </c>
      <c r="C7" s="2">
        <v>163</v>
      </c>
      <c r="D7" s="2">
        <v>354</v>
      </c>
      <c r="H7" s="1" t="s">
        <v>61</v>
      </c>
      <c r="I7" s="2">
        <f>GETPIVOTDATA("Total",$A$4,"Zone","NE","Spp","pipiens")</f>
        <v>191</v>
      </c>
      <c r="J7" s="2">
        <f>GETPIVOTDATA("Total",$A$4,"Zone","NE","Spp","tarsalis")</f>
        <v>163</v>
      </c>
      <c r="K7" s="2">
        <f>GETPIVOTDATA("Total",$A$4,"Zone","NE")</f>
        <v>354</v>
      </c>
    </row>
    <row r="8" spans="1:11" x14ac:dyDescent="0.25">
      <c r="A8" s="1" t="s">
        <v>60</v>
      </c>
      <c r="B8" s="2">
        <v>253</v>
      </c>
      <c r="C8" s="2">
        <v>46</v>
      </c>
      <c r="D8" s="2">
        <v>299</v>
      </c>
      <c r="H8" s="1" t="s">
        <v>60</v>
      </c>
      <c r="I8" s="2">
        <f>GETPIVOTDATA("Total",$A$4,"Zone","NW","Spp","pipiens")</f>
        <v>253</v>
      </c>
      <c r="J8" s="2">
        <f>GETPIVOTDATA("Total",$A$4,"Zone","NW","Spp","tarsalis")</f>
        <v>46</v>
      </c>
      <c r="K8" s="2">
        <f>GETPIVOTDATA("Total",$A$4,"Zone","NW")</f>
        <v>299</v>
      </c>
    </row>
    <row r="9" spans="1:11" x14ac:dyDescent="0.25">
      <c r="A9" s="1" t="s">
        <v>62</v>
      </c>
      <c r="B9" s="2">
        <v>202</v>
      </c>
      <c r="C9" s="2">
        <v>569</v>
      </c>
      <c r="D9" s="2">
        <v>771</v>
      </c>
      <c r="H9" s="1" t="s">
        <v>62</v>
      </c>
      <c r="I9" s="2">
        <f>GETPIVOTDATA("Total",$A$4,"Zone","SE","Spp","pipiens")</f>
        <v>202</v>
      </c>
      <c r="J9" s="2">
        <f>GETPIVOTDATA("Total",$A$4,"Zone","SE","Spp","tarsalis")</f>
        <v>569</v>
      </c>
      <c r="K9" s="2">
        <f>GETPIVOTDATA("Total",$A$4,"Zone","SE")</f>
        <v>771</v>
      </c>
    </row>
    <row r="10" spans="1:11" x14ac:dyDescent="0.25">
      <c r="A10" s="1" t="s">
        <v>63</v>
      </c>
      <c r="B10" s="2">
        <v>6</v>
      </c>
      <c r="C10" s="2">
        <v>5</v>
      </c>
      <c r="D10" s="2">
        <v>11</v>
      </c>
      <c r="H10" s="1" t="s">
        <v>63</v>
      </c>
      <c r="I10" s="2">
        <f>GETPIVOTDATA("Total",$A$4,"Zone","SW","Spp","pipiens")</f>
        <v>6</v>
      </c>
      <c r="J10" s="2">
        <f>GETPIVOTDATA("Total",$A$4,"Zone","SW","Spp","tarsalis")</f>
        <v>5</v>
      </c>
      <c r="K10" s="2">
        <f>GETPIVOTDATA("Total",$A$4,"Zone","SW")</f>
        <v>11</v>
      </c>
    </row>
    <row r="11" spans="1:11" x14ac:dyDescent="0.25">
      <c r="A11" s="1" t="s">
        <v>7</v>
      </c>
      <c r="B11" s="2">
        <v>669</v>
      </c>
      <c r="C11" s="2">
        <v>960</v>
      </c>
      <c r="D11" s="2">
        <v>1629</v>
      </c>
    </row>
  </sheetData>
  <mergeCells count="2">
    <mergeCell ref="A1:B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89" t="s">
        <v>55</v>
      </c>
      <c r="H1" s="89"/>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7</v>
      </c>
      <c r="D6" s="2">
        <v>12</v>
      </c>
      <c r="G6" s="1" t="s">
        <v>9</v>
      </c>
      <c r="H6" s="2">
        <f>GETPIVOTDATA("CSU Pool Number     (CMC enters)",$A$4,"Zone","LV","Spp","pipiens")</f>
        <v>5</v>
      </c>
      <c r="I6" s="2">
        <f>GETPIVOTDATA("CSU Pool Number     (CMC enters)",$A$4,"Zone","LV","Spp","tarsalis")</f>
        <v>7</v>
      </c>
      <c r="J6" s="2">
        <f>GETPIVOTDATA("CSU Pool Number     (CMC enters)",$A$4,"Zone","LV")</f>
        <v>12</v>
      </c>
    </row>
    <row r="7" spans="1:10" x14ac:dyDescent="0.25">
      <c r="A7" s="1" t="s">
        <v>61</v>
      </c>
      <c r="B7" s="2">
        <v>12</v>
      </c>
      <c r="C7" s="2">
        <v>10</v>
      </c>
      <c r="D7" s="2">
        <v>22</v>
      </c>
      <c r="G7" s="1" t="s">
        <v>61</v>
      </c>
      <c r="H7" s="2">
        <f>GETPIVOTDATA("CSU Pool Number     (CMC enters)",$A$4,"Zone","NE","Spp","pipiens")</f>
        <v>12</v>
      </c>
      <c r="I7" s="2">
        <f>GETPIVOTDATA("CSU Pool Number     (CMC enters)",$A$4,"Zone","NE","Spp","tarsalis")</f>
        <v>10</v>
      </c>
      <c r="J7" s="2">
        <f>GETPIVOTDATA("CSU Pool Number     (CMC enters)",$A$4,"Zone","NE")</f>
        <v>22</v>
      </c>
    </row>
    <row r="8" spans="1:10" x14ac:dyDescent="0.25">
      <c r="A8" s="1" t="s">
        <v>60</v>
      </c>
      <c r="B8" s="2">
        <v>12</v>
      </c>
      <c r="C8" s="2">
        <v>8</v>
      </c>
      <c r="D8" s="2">
        <v>20</v>
      </c>
      <c r="G8" s="1" t="s">
        <v>60</v>
      </c>
      <c r="H8" s="2">
        <f>GETPIVOTDATA("CSU Pool Number     (CMC enters)",$A$4,"Zone","NW","Spp","pipiens")</f>
        <v>12</v>
      </c>
      <c r="I8" s="2">
        <f>GETPIVOTDATA("CSU Pool Number     (CMC enters)",$A$4,"Zone","NW","Spp","tarsalis")</f>
        <v>8</v>
      </c>
      <c r="J8" s="2">
        <f>GETPIVOTDATA("CSU Pool Number     (CMC enters)",$A$4,"Zone","NW")</f>
        <v>20</v>
      </c>
    </row>
    <row r="9" spans="1:10" x14ac:dyDescent="0.25">
      <c r="A9" s="1" t="s">
        <v>62</v>
      </c>
      <c r="B9" s="2">
        <v>13</v>
      </c>
      <c r="C9" s="2">
        <v>18</v>
      </c>
      <c r="D9" s="2">
        <v>31</v>
      </c>
      <c r="G9" s="1" t="s">
        <v>62</v>
      </c>
      <c r="H9" s="2">
        <f>GETPIVOTDATA("CSU Pool Number     (CMC enters)",$A$4,"Zone","SE","Spp","pipiens")</f>
        <v>13</v>
      </c>
      <c r="I9" s="2">
        <f>GETPIVOTDATA("CSU Pool Number     (CMC enters)",$A$4,"Zone","SE","Spp","tarsalis")</f>
        <v>18</v>
      </c>
      <c r="J9" s="2">
        <f>GETPIVOTDATA("CSU Pool Number     (CMC enters)",$A$4,"Zone","SE")</f>
        <v>31</v>
      </c>
    </row>
    <row r="10" spans="1:10" x14ac:dyDescent="0.25">
      <c r="A10" s="1" t="s">
        <v>63</v>
      </c>
      <c r="B10" s="2">
        <v>2</v>
      </c>
      <c r="C10" s="2">
        <v>2</v>
      </c>
      <c r="D10" s="2">
        <v>4</v>
      </c>
      <c r="G10" s="1" t="s">
        <v>63</v>
      </c>
      <c r="H10" s="2">
        <f>GETPIVOTDATA("CSU Pool Number     (CMC enters)",$A$4,"Zone","SW","Spp","pipiens")</f>
        <v>2</v>
      </c>
      <c r="I10" s="2">
        <f>GETPIVOTDATA("CSU Pool Number     (CMC enters)",$A$4,"Zone","SW","Spp","tarsalis")</f>
        <v>2</v>
      </c>
      <c r="J10" s="2">
        <f>GETPIVOTDATA("CSU Pool Number     (CMC enters)",$A$4,"Zone","SW")</f>
        <v>4</v>
      </c>
    </row>
    <row r="11" spans="1:10" x14ac:dyDescent="0.25">
      <c r="A11" s="1" t="s">
        <v>7</v>
      </c>
      <c r="B11" s="2">
        <v>44</v>
      </c>
      <c r="C11" s="2">
        <v>45</v>
      </c>
      <c r="D11" s="2">
        <v>89</v>
      </c>
    </row>
  </sheetData>
  <mergeCells count="1">
    <mergeCell ref="G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9" sqref="B9"/>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89" t="s">
        <v>79</v>
      </c>
      <c r="B1" s="89"/>
      <c r="C1" s="89"/>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1</v>
      </c>
      <c r="C9" s="2">
        <v>1</v>
      </c>
      <c r="D9" s="2">
        <v>2</v>
      </c>
      <c r="F9" s="1" t="s">
        <v>62</v>
      </c>
      <c r="G9" s="2">
        <f>GETPIVOTDATA("Test code (CSU enters)",$A$5,"Zone","SE","Spp","pipiens")</f>
        <v>1</v>
      </c>
      <c r="H9" s="2">
        <f>GETPIVOTDATA("Test code (CSU enters)",$A$5,"Zone","SE","Spp","tarsalis")</f>
        <v>1</v>
      </c>
      <c r="I9" s="2">
        <f>GETPIVOTDATA("Test code (CSU enters)",$A$5,"Zone","SE")</f>
        <v>2</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1</v>
      </c>
      <c r="C12" s="2">
        <v>2</v>
      </c>
      <c r="D12" s="2">
        <v>3</v>
      </c>
    </row>
  </sheetData>
  <mergeCells count="1">
    <mergeCell ref="A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O37" sqref="O37"/>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1.5282837731349184</v>
      </c>
    </row>
    <row r="3" spans="1:6" x14ac:dyDescent="0.25">
      <c r="A3" t="s">
        <v>47</v>
      </c>
      <c r="B3" t="s">
        <v>16</v>
      </c>
      <c r="C3" s="31">
        <v>1.2508415931946046</v>
      </c>
      <c r="E3" s="62" t="s">
        <v>93</v>
      </c>
      <c r="F3" s="63" t="s">
        <v>318</v>
      </c>
    </row>
    <row r="4" spans="1:6" x14ac:dyDescent="0.25">
      <c r="A4" t="s">
        <v>9</v>
      </c>
      <c r="B4" t="s">
        <v>15</v>
      </c>
      <c r="C4" s="31">
        <v>0</v>
      </c>
      <c r="E4" t="s">
        <v>248</v>
      </c>
      <c r="F4" s="31">
        <v>1.5282837731349184</v>
      </c>
    </row>
    <row r="5" spans="1:6" x14ac:dyDescent="0.25">
      <c r="A5" t="s">
        <v>9</v>
      </c>
      <c r="B5" t="s">
        <v>16</v>
      </c>
      <c r="C5" s="31">
        <v>5.6979834303502548</v>
      </c>
      <c r="E5" t="s">
        <v>247</v>
      </c>
      <c r="F5" s="31">
        <v>1.2508415931946046</v>
      </c>
    </row>
    <row r="6" spans="1:6" x14ac:dyDescent="0.25">
      <c r="E6" t="s">
        <v>246</v>
      </c>
      <c r="F6" s="31">
        <v>0</v>
      </c>
    </row>
    <row r="7" spans="1:6" x14ac:dyDescent="0.25">
      <c r="E7" t="s">
        <v>245</v>
      </c>
      <c r="F7" s="31">
        <v>5.6979834303502548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0" sqref="C10"/>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2" t="s">
        <v>94</v>
      </c>
      <c r="G3" s="63" t="s">
        <v>318</v>
      </c>
    </row>
    <row r="4" spans="1:7" x14ac:dyDescent="0.25">
      <c r="A4" t="s">
        <v>61</v>
      </c>
      <c r="B4" t="s">
        <v>15</v>
      </c>
      <c r="C4" s="31">
        <v>0</v>
      </c>
      <c r="F4" t="s">
        <v>246</v>
      </c>
      <c r="G4" s="31">
        <v>0</v>
      </c>
    </row>
    <row r="5" spans="1:7" x14ac:dyDescent="0.25">
      <c r="A5" t="s">
        <v>61</v>
      </c>
      <c r="B5" t="s">
        <v>16</v>
      </c>
      <c r="C5" s="31">
        <v>0</v>
      </c>
      <c r="F5" t="s">
        <v>245</v>
      </c>
      <c r="G5" s="31">
        <v>5.6979834303502548</v>
      </c>
    </row>
    <row r="6" spans="1:7" x14ac:dyDescent="0.25">
      <c r="A6" t="s">
        <v>62</v>
      </c>
      <c r="B6" t="s">
        <v>15</v>
      </c>
      <c r="C6" s="31">
        <v>4.9014908317284842</v>
      </c>
      <c r="F6" t="s">
        <v>251</v>
      </c>
      <c r="G6" s="31">
        <v>0</v>
      </c>
    </row>
    <row r="7" spans="1:7" x14ac:dyDescent="0.25">
      <c r="A7" t="s">
        <v>62</v>
      </c>
      <c r="B7" t="s">
        <v>16</v>
      </c>
      <c r="C7" s="31">
        <v>1.6985465682506131</v>
      </c>
      <c r="F7" t="s">
        <v>250</v>
      </c>
      <c r="G7" s="31">
        <v>0</v>
      </c>
    </row>
    <row r="8" spans="1:7" x14ac:dyDescent="0.25">
      <c r="A8" t="s">
        <v>63</v>
      </c>
      <c r="B8" t="s">
        <v>15</v>
      </c>
      <c r="C8" s="31">
        <v>0</v>
      </c>
      <c r="F8" t="s">
        <v>254</v>
      </c>
      <c r="G8" s="31">
        <v>0</v>
      </c>
    </row>
    <row r="9" spans="1:7" x14ac:dyDescent="0.25">
      <c r="A9" t="s">
        <v>63</v>
      </c>
      <c r="B9" t="s">
        <v>16</v>
      </c>
      <c r="C9" s="31">
        <v>0</v>
      </c>
      <c r="F9" t="s">
        <v>249</v>
      </c>
      <c r="G9" s="31">
        <v>0</v>
      </c>
    </row>
    <row r="10" spans="1:7" x14ac:dyDescent="0.25">
      <c r="F10" t="s">
        <v>253</v>
      </c>
      <c r="G10" s="31">
        <v>4.9014908317284842</v>
      </c>
    </row>
    <row r="11" spans="1:7" x14ac:dyDescent="0.25">
      <c r="F11" t="s">
        <v>252</v>
      </c>
      <c r="G11" s="31">
        <v>1.6985465682506131</v>
      </c>
    </row>
    <row r="12" spans="1:7" x14ac:dyDescent="0.25">
      <c r="B12" s="31"/>
      <c r="F12" t="s">
        <v>256</v>
      </c>
      <c r="G12" s="31">
        <v>0</v>
      </c>
    </row>
    <row r="13" spans="1:7" x14ac:dyDescent="0.25">
      <c r="B13" s="31"/>
      <c r="F13" t="s">
        <v>255</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zoomScale="80" zoomScaleNormal="80" workbookViewId="0">
      <selection activeCell="K21" sqref="K2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94" t="s">
        <v>11</v>
      </c>
      <c r="D1" s="95"/>
      <c r="E1" s="94" t="s">
        <v>12</v>
      </c>
      <c r="F1" s="95"/>
      <c r="G1" s="102"/>
      <c r="H1" s="103"/>
      <c r="I1" s="104"/>
    </row>
    <row r="2" spans="1:13" ht="27" customHeight="1" x14ac:dyDescent="0.25">
      <c r="B2" s="5"/>
      <c r="C2" s="96"/>
      <c r="D2" s="97"/>
      <c r="E2" s="96" t="s">
        <v>13</v>
      </c>
      <c r="F2" s="97"/>
      <c r="G2" s="105" t="s">
        <v>14</v>
      </c>
      <c r="H2" s="106"/>
      <c r="I2" s="107"/>
    </row>
    <row r="3" spans="1:13" ht="15.75" thickBot="1" x14ac:dyDescent="0.3">
      <c r="B3" s="5"/>
      <c r="C3" s="98"/>
      <c r="D3" s="99"/>
      <c r="E3" s="100"/>
      <c r="F3" s="101"/>
      <c r="G3" s="100"/>
      <c r="H3" s="108"/>
      <c r="I3" s="101"/>
    </row>
    <row r="4" spans="1:13" ht="15.75" customHeight="1" x14ac:dyDescent="0.25">
      <c r="B4" s="5" t="s">
        <v>10</v>
      </c>
      <c r="C4" s="90" t="s">
        <v>15</v>
      </c>
      <c r="D4" s="90" t="s">
        <v>16</v>
      </c>
      <c r="E4" s="7" t="s">
        <v>17</v>
      </c>
      <c r="F4" s="7" t="s">
        <v>17</v>
      </c>
      <c r="G4" s="92" t="s">
        <v>18</v>
      </c>
      <c r="H4" s="92" t="s">
        <v>19</v>
      </c>
      <c r="I4" s="9" t="s">
        <v>20</v>
      </c>
    </row>
    <row r="5" spans="1:13" ht="15.75" thickBot="1" x14ac:dyDescent="0.3">
      <c r="B5" s="6"/>
      <c r="C5" s="91"/>
      <c r="D5" s="91"/>
      <c r="E5" s="8" t="s">
        <v>5</v>
      </c>
      <c r="F5" s="8" t="s">
        <v>6</v>
      </c>
      <c r="G5" s="93"/>
      <c r="H5" s="93"/>
      <c r="I5" s="10" t="s">
        <v>21</v>
      </c>
    </row>
    <row r="6" spans="1:13" ht="26.25" thickBot="1" x14ac:dyDescent="0.3">
      <c r="B6" s="11" t="s">
        <v>56</v>
      </c>
      <c r="C6" s="26">
        <f>G37</f>
        <v>7.8888888888888893</v>
      </c>
      <c r="D6" s="26">
        <f>H37</f>
        <v>5.1111111111111107</v>
      </c>
      <c r="E6" s="47">
        <f>L67/1000</f>
        <v>0</v>
      </c>
      <c r="F6" s="47">
        <f>M67/1000</f>
        <v>0</v>
      </c>
      <c r="G6" s="32">
        <f>C6*E6</f>
        <v>0</v>
      </c>
      <c r="H6" s="32">
        <f>D6*F6</f>
        <v>0</v>
      </c>
      <c r="I6" s="32">
        <f>G6+H6</f>
        <v>0</v>
      </c>
    </row>
    <row r="7" spans="1:13" ht="26.25" thickBot="1" x14ac:dyDescent="0.3">
      <c r="B7" s="11" t="s">
        <v>57</v>
      </c>
      <c r="C7" s="26">
        <f t="shared" ref="C7:C10" si="0">G38</f>
        <v>10</v>
      </c>
      <c r="D7" s="26">
        <f t="shared" ref="D7:D10" si="1">H38</f>
        <v>16.3</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7.166666666666667</v>
      </c>
      <c r="D8" s="26">
        <f t="shared" si="1"/>
        <v>47.416666666666664</v>
      </c>
      <c r="E8" s="47">
        <f t="shared" si="2"/>
        <v>4.9014908317284844E-3</v>
      </c>
      <c r="F8" s="47">
        <f t="shared" si="3"/>
        <v>1.6985465682506132E-3</v>
      </c>
      <c r="G8" s="32">
        <f t="shared" si="4"/>
        <v>3.5127350960720803E-2</v>
      </c>
      <c r="H8" s="32">
        <f t="shared" si="5"/>
        <v>8.0539416444549913E-2</v>
      </c>
      <c r="I8" s="32">
        <f t="shared" si="6"/>
        <v>0.11566676740527071</v>
      </c>
    </row>
    <row r="9" spans="1:13" ht="26.25" thickBot="1" x14ac:dyDescent="0.3">
      <c r="B9" s="11" t="s">
        <v>58</v>
      </c>
      <c r="C9" s="26">
        <f t="shared" si="0"/>
        <v>3</v>
      </c>
      <c r="D9" s="26">
        <f t="shared" si="1"/>
        <v>2.5</v>
      </c>
      <c r="E9" s="47">
        <f t="shared" si="2"/>
        <v>0</v>
      </c>
      <c r="F9" s="47">
        <f t="shared" si="3"/>
        <v>0</v>
      </c>
      <c r="G9" s="32">
        <f t="shared" si="4"/>
        <v>0</v>
      </c>
      <c r="H9" s="32">
        <f t="shared" si="5"/>
        <v>0</v>
      </c>
      <c r="I9" s="32">
        <f t="shared" si="6"/>
        <v>0</v>
      </c>
    </row>
    <row r="10" spans="1:13" ht="26.25" thickBot="1" x14ac:dyDescent="0.3">
      <c r="B10" s="11" t="s">
        <v>22</v>
      </c>
      <c r="C10" s="26">
        <f t="shared" si="0"/>
        <v>7.9696969696969697</v>
      </c>
      <c r="D10" s="26">
        <f t="shared" si="1"/>
        <v>23.727272727272727</v>
      </c>
      <c r="E10" s="47">
        <f t="shared" si="2"/>
        <v>1.5282837731349184E-3</v>
      </c>
      <c r="F10" s="47">
        <f t="shared" si="3"/>
        <v>1.2508415931946047E-3</v>
      </c>
      <c r="G10" s="32">
        <f>C10*E10</f>
        <v>1.217995855559041E-2</v>
      </c>
      <c r="H10" s="32">
        <f>D10*F10</f>
        <v>2.967905962034471E-2</v>
      </c>
      <c r="I10" s="32">
        <f t="shared" si="6"/>
        <v>4.1859018175935118E-2</v>
      </c>
    </row>
    <row r="11" spans="1:13" ht="15.75" thickBot="1" x14ac:dyDescent="0.3">
      <c r="B11" s="11"/>
      <c r="C11" s="12"/>
      <c r="D11" s="12"/>
      <c r="E11" s="47"/>
      <c r="F11" s="47"/>
      <c r="G11" s="32"/>
      <c r="H11" s="32"/>
      <c r="I11" s="32"/>
    </row>
    <row r="12" spans="1:13" ht="15.75" thickBot="1" x14ac:dyDescent="0.3">
      <c r="B12" s="11" t="s">
        <v>9</v>
      </c>
      <c r="C12" s="29">
        <f>G43</f>
        <v>2.125</v>
      </c>
      <c r="D12" s="29">
        <f>H43</f>
        <v>19.0625</v>
      </c>
      <c r="E12" s="47">
        <f>L73/1000</f>
        <v>0</v>
      </c>
      <c r="F12" s="47">
        <f>M73/1000</f>
        <v>5.6979834303502548E-3</v>
      </c>
      <c r="G12" s="32">
        <f>C12*E12</f>
        <v>0</v>
      </c>
      <c r="H12" s="32">
        <f>D12*F12</f>
        <v>0.10861780914105174</v>
      </c>
      <c r="I12" s="32">
        <f>G12+H12</f>
        <v>0.10861780914105174</v>
      </c>
    </row>
    <row r="13" spans="1:13" ht="15.75" thickBot="1" x14ac:dyDescent="0.3"/>
    <row r="14" spans="1:13" ht="15" customHeight="1" x14ac:dyDescent="0.25">
      <c r="A14" t="s">
        <v>54</v>
      </c>
      <c r="B14" s="16"/>
      <c r="C14" s="109" t="s">
        <v>56</v>
      </c>
      <c r="D14" s="110"/>
      <c r="E14" s="109" t="s">
        <v>57</v>
      </c>
      <c r="F14" s="110"/>
      <c r="G14" s="109" t="s">
        <v>59</v>
      </c>
      <c r="H14" s="110"/>
      <c r="I14" s="109" t="s">
        <v>58</v>
      </c>
      <c r="J14" s="110"/>
      <c r="K14" s="109" t="s">
        <v>22</v>
      </c>
      <c r="L14" s="110"/>
      <c r="M14" s="19"/>
    </row>
    <row r="15" spans="1:13" ht="15.75" thickBot="1" x14ac:dyDescent="0.3">
      <c r="B15" s="17"/>
      <c r="C15" s="111"/>
      <c r="D15" s="112"/>
      <c r="E15" s="111"/>
      <c r="F15" s="112"/>
      <c r="G15" s="111"/>
      <c r="H15" s="112"/>
      <c r="I15" s="111"/>
      <c r="J15" s="112"/>
      <c r="K15" s="111"/>
      <c r="L15" s="112"/>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v>0</v>
      </c>
      <c r="D20" s="51">
        <v>0</v>
      </c>
      <c r="E20" s="55">
        <v>0</v>
      </c>
      <c r="F20" s="51">
        <v>4.0647552933751996E-2</v>
      </c>
      <c r="G20" s="54">
        <v>0.11566676740527071</v>
      </c>
      <c r="H20" s="51">
        <v>7.1589000000000002E-3</v>
      </c>
      <c r="I20" s="54">
        <v>0</v>
      </c>
      <c r="J20" s="51">
        <v>0</v>
      </c>
      <c r="K20" s="54">
        <v>4.166599714789182E-2</v>
      </c>
      <c r="L20" s="51">
        <v>1.2877096216512543E-2</v>
      </c>
      <c r="M20" s="54">
        <v>0.10861780914105174</v>
      </c>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94" t="s">
        <v>25</v>
      </c>
      <c r="D32" s="113"/>
      <c r="E32" s="95"/>
      <c r="F32" s="15"/>
      <c r="G32" s="94" t="s">
        <v>28</v>
      </c>
      <c r="H32" s="113"/>
      <c r="I32" s="95"/>
    </row>
    <row r="33" spans="1:13" ht="38.25" x14ac:dyDescent="0.25">
      <c r="B33" s="5"/>
      <c r="C33" s="96" t="s">
        <v>26</v>
      </c>
      <c r="D33" s="114"/>
      <c r="E33" s="97"/>
      <c r="F33" s="14" t="s">
        <v>27</v>
      </c>
      <c r="G33" s="96"/>
      <c r="H33" s="115"/>
      <c r="I33" s="97"/>
    </row>
    <row r="34" spans="1:13" ht="15.75" thickBot="1" x14ac:dyDescent="0.3">
      <c r="B34" s="5"/>
      <c r="C34" s="100"/>
      <c r="D34" s="108"/>
      <c r="E34" s="101"/>
      <c r="F34" s="22"/>
      <c r="G34" s="98"/>
      <c r="H34" s="116"/>
      <c r="I34" s="99"/>
    </row>
    <row r="35" spans="1:13" x14ac:dyDescent="0.25">
      <c r="B35" s="5" t="s">
        <v>10</v>
      </c>
      <c r="C35" s="90" t="s">
        <v>15</v>
      </c>
      <c r="D35" s="90" t="s">
        <v>16</v>
      </c>
      <c r="E35" s="117" t="s">
        <v>29</v>
      </c>
      <c r="F35" s="22"/>
      <c r="G35" s="119" t="s">
        <v>30</v>
      </c>
      <c r="H35" s="119" t="s">
        <v>31</v>
      </c>
      <c r="I35" s="27" t="s">
        <v>20</v>
      </c>
    </row>
    <row r="36" spans="1:13" ht="15.75" thickBot="1" x14ac:dyDescent="0.3">
      <c r="B36" s="6"/>
      <c r="C36" s="91"/>
      <c r="D36" s="91"/>
      <c r="E36" s="118"/>
      <c r="F36" s="13"/>
      <c r="G36" s="120"/>
      <c r="H36" s="120"/>
      <c r="I36" s="28" t="s">
        <v>32</v>
      </c>
    </row>
    <row r="37" spans="1:13" ht="26.25" thickBot="1" x14ac:dyDescent="0.3">
      <c r="B37" s="11" t="s">
        <v>56</v>
      </c>
      <c r="C37" s="60">
        <f>'Total Number Of Ind'!H7</f>
        <v>71</v>
      </c>
      <c r="D37" s="60">
        <f>'Total Number Of Ind'!I7</f>
        <v>46</v>
      </c>
      <c r="E37" s="60">
        <f>C37+D37</f>
        <v>117</v>
      </c>
      <c r="F37" s="60">
        <v>9</v>
      </c>
      <c r="G37" s="26">
        <f>C37/F37</f>
        <v>7.8888888888888893</v>
      </c>
      <c r="H37" s="26">
        <f>D37/F37</f>
        <v>5.1111111111111107</v>
      </c>
      <c r="I37" s="26">
        <f>E37/F37</f>
        <v>13</v>
      </c>
    </row>
    <row r="38" spans="1:13" ht="26.25" thickBot="1" x14ac:dyDescent="0.3">
      <c r="B38" s="11" t="s">
        <v>57</v>
      </c>
      <c r="C38" s="60">
        <f>'Total Number Of Ind'!H6</f>
        <v>100</v>
      </c>
      <c r="D38" s="60">
        <f>'Total Number Of Ind'!I6</f>
        <v>163</v>
      </c>
      <c r="E38" s="60">
        <f t="shared" ref="E38:E40" si="7">C38+D38</f>
        <v>263</v>
      </c>
      <c r="F38" s="60">
        <v>10</v>
      </c>
      <c r="G38" s="26">
        <f t="shared" ref="G38:G43" si="8">C38/F38</f>
        <v>10</v>
      </c>
      <c r="H38" s="26">
        <f t="shared" ref="H38:H41" si="9">D38/F38</f>
        <v>16.3</v>
      </c>
      <c r="I38" s="26">
        <f t="shared" ref="I38:I43" si="10">E38/F38</f>
        <v>26.3</v>
      </c>
    </row>
    <row r="39" spans="1:13" ht="26.25" thickBot="1" x14ac:dyDescent="0.3">
      <c r="B39" s="11" t="s">
        <v>59</v>
      </c>
      <c r="C39" s="60">
        <f>'Total Number Of Ind'!H8</f>
        <v>86</v>
      </c>
      <c r="D39" s="60">
        <f>'Total Number Of Ind'!I8</f>
        <v>569</v>
      </c>
      <c r="E39" s="60">
        <f t="shared" si="7"/>
        <v>655</v>
      </c>
      <c r="F39" s="60">
        <v>12</v>
      </c>
      <c r="G39" s="26">
        <f t="shared" si="8"/>
        <v>7.166666666666667</v>
      </c>
      <c r="H39" s="26">
        <f>D39/F39</f>
        <v>47.416666666666664</v>
      </c>
      <c r="I39" s="26">
        <f t="shared" si="10"/>
        <v>54.583333333333336</v>
      </c>
    </row>
    <row r="40" spans="1:13" ht="26.25" thickBot="1" x14ac:dyDescent="0.3">
      <c r="B40" s="11" t="s">
        <v>58</v>
      </c>
      <c r="C40" s="60">
        <f>'Total Number Of Ind'!H9</f>
        <v>6</v>
      </c>
      <c r="D40" s="60">
        <f>'Total Number Of Ind'!I9</f>
        <v>5</v>
      </c>
      <c r="E40" s="60">
        <f t="shared" si="7"/>
        <v>11</v>
      </c>
      <c r="F40" s="60">
        <v>2</v>
      </c>
      <c r="G40" s="26">
        <f t="shared" si="8"/>
        <v>3</v>
      </c>
      <c r="H40" s="26">
        <f t="shared" si="9"/>
        <v>2.5</v>
      </c>
      <c r="I40" s="26">
        <f t="shared" si="10"/>
        <v>5.5</v>
      </c>
    </row>
    <row r="41" spans="1:13" ht="26.25" thickBot="1" x14ac:dyDescent="0.3">
      <c r="B41" s="11" t="s">
        <v>22</v>
      </c>
      <c r="C41" s="60">
        <f>SUM(C37:C40)</f>
        <v>263</v>
      </c>
      <c r="D41" s="60">
        <f>SUM(D37:D40)</f>
        <v>783</v>
      </c>
      <c r="E41" s="60">
        <f>SUM(E37:E40)</f>
        <v>1046</v>
      </c>
      <c r="F41" s="60">
        <f>SUM(F37:F40)</f>
        <v>33</v>
      </c>
      <c r="G41" s="26">
        <f t="shared" si="8"/>
        <v>7.9696969696969697</v>
      </c>
      <c r="H41" s="26">
        <f t="shared" si="9"/>
        <v>23.727272727272727</v>
      </c>
      <c r="I41" s="26">
        <f>E41/F41</f>
        <v>31.696969696969695</v>
      </c>
    </row>
    <row r="42" spans="1:13" ht="15.75" thickBot="1" x14ac:dyDescent="0.3">
      <c r="B42" s="11"/>
      <c r="C42" s="60"/>
      <c r="D42" s="60"/>
      <c r="E42" s="60"/>
      <c r="F42" s="60"/>
      <c r="G42" s="26"/>
      <c r="H42" s="26"/>
      <c r="I42" s="26"/>
    </row>
    <row r="43" spans="1:13" ht="15.75" thickBot="1" x14ac:dyDescent="0.3">
      <c r="B43" s="11" t="s">
        <v>9</v>
      </c>
      <c r="C43" s="60">
        <f>'Total Number Of Ind'!H5</f>
        <v>34</v>
      </c>
      <c r="D43" s="60">
        <f>'Total Number Of Ind'!I5</f>
        <v>305</v>
      </c>
      <c r="E43" s="60">
        <f>C43+D43</f>
        <v>339</v>
      </c>
      <c r="F43" s="60">
        <v>16</v>
      </c>
      <c r="G43" s="26">
        <f t="shared" si="8"/>
        <v>2.125</v>
      </c>
      <c r="H43" s="26">
        <f>D43/F43</f>
        <v>19.0625</v>
      </c>
      <c r="I43" s="26">
        <f t="shared" si="10"/>
        <v>21.1875</v>
      </c>
    </row>
    <row r="44" spans="1:13" ht="15.75" thickBot="1" x14ac:dyDescent="0.3"/>
    <row r="45" spans="1:13" x14ac:dyDescent="0.25">
      <c r="A45" t="s">
        <v>51</v>
      </c>
      <c r="B45" s="16"/>
      <c r="C45" s="109" t="s">
        <v>56</v>
      </c>
      <c r="D45" s="110"/>
      <c r="E45" s="109" t="s">
        <v>57</v>
      </c>
      <c r="F45" s="110"/>
      <c r="G45" s="109" t="s">
        <v>59</v>
      </c>
      <c r="H45" s="110"/>
      <c r="I45" s="109" t="s">
        <v>58</v>
      </c>
      <c r="J45" s="110"/>
      <c r="K45" s="109" t="s">
        <v>22</v>
      </c>
      <c r="L45" s="110"/>
      <c r="M45" s="19"/>
    </row>
    <row r="46" spans="1:13" ht="15.75" thickBot="1" x14ac:dyDescent="0.3">
      <c r="B46" s="17"/>
      <c r="C46" s="111"/>
      <c r="D46" s="112"/>
      <c r="E46" s="111"/>
      <c r="F46" s="112"/>
      <c r="G46" s="111"/>
      <c r="H46" s="112"/>
      <c r="I46" s="111"/>
      <c r="J46" s="112"/>
      <c r="K46" s="111"/>
      <c r="L46" s="11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v>13</v>
      </c>
      <c r="D51" s="56">
        <v>29.192307692307693</v>
      </c>
      <c r="E51" s="30">
        <v>26.3</v>
      </c>
      <c r="F51" s="56">
        <v>67.744897959183675</v>
      </c>
      <c r="G51" s="30">
        <v>54.583333333333336</v>
      </c>
      <c r="H51" s="56">
        <v>44.028571428571432</v>
      </c>
      <c r="I51" s="30">
        <v>5.5</v>
      </c>
      <c r="J51" s="56">
        <v>11.838709677419354</v>
      </c>
      <c r="K51" s="30">
        <v>31.696969696969695</v>
      </c>
      <c r="L51" s="56">
        <v>41.835978835978835</v>
      </c>
      <c r="M51" s="30">
        <v>21.1875</v>
      </c>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109" t="s">
        <v>34</v>
      </c>
      <c r="D63" s="121"/>
      <c r="E63" s="110"/>
      <c r="F63" s="109" t="s">
        <v>35</v>
      </c>
      <c r="G63" s="121"/>
      <c r="H63" s="110"/>
      <c r="I63" s="109" t="s">
        <v>33</v>
      </c>
      <c r="J63" s="121"/>
      <c r="K63" s="110"/>
      <c r="L63" s="109" t="s">
        <v>37</v>
      </c>
      <c r="M63" s="121"/>
      <c r="N63" s="110"/>
    </row>
    <row r="64" spans="1:14" x14ac:dyDescent="0.25">
      <c r="B64" s="17"/>
      <c r="C64" s="122"/>
      <c r="D64" s="123"/>
      <c r="E64" s="124"/>
      <c r="F64" s="122"/>
      <c r="G64" s="123"/>
      <c r="H64" s="124"/>
      <c r="I64" s="122" t="s">
        <v>36</v>
      </c>
      <c r="J64" s="126"/>
      <c r="K64" s="124"/>
      <c r="L64" s="122"/>
      <c r="M64" s="123"/>
      <c r="N64" s="124"/>
    </row>
    <row r="65" spans="1:20" ht="15.75" thickBot="1" x14ac:dyDescent="0.3">
      <c r="B65" s="17"/>
      <c r="C65" s="111"/>
      <c r="D65" s="125"/>
      <c r="E65" s="112"/>
      <c r="F65" s="111"/>
      <c r="G65" s="125"/>
      <c r="H65" s="112"/>
      <c r="I65" s="100"/>
      <c r="J65" s="108"/>
      <c r="K65" s="101"/>
      <c r="L65" s="111"/>
      <c r="M65" s="125"/>
      <c r="N65" s="112"/>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0" ht="24.75" thickBot="1" x14ac:dyDescent="0.3">
      <c r="B67" s="18" t="s">
        <v>56</v>
      </c>
      <c r="C67" s="60">
        <f>'Total Number Ind Examined '!I8</f>
        <v>253</v>
      </c>
      <c r="D67" s="60">
        <f>'Total Number Ind Examined '!J8</f>
        <v>46</v>
      </c>
      <c r="E67" s="60">
        <f>C67+D67</f>
        <v>299</v>
      </c>
      <c r="F67" s="61">
        <f>'Total Number of Pools Examined'!H8</f>
        <v>12</v>
      </c>
      <c r="G67" s="61">
        <f>'Total Number of Pools Examined'!I8</f>
        <v>8</v>
      </c>
      <c r="H67" s="61">
        <f>F67+G67</f>
        <v>20</v>
      </c>
      <c r="I67" s="61">
        <f>'Total Number of WNV + Pools'!G7</f>
        <v>0</v>
      </c>
      <c r="J67" s="61">
        <f>'Total Number of WNV + Pools'!H7</f>
        <v>0</v>
      </c>
      <c r="K67" s="61">
        <f>'Total Number of WNV + Pools'!I7</f>
        <v>0</v>
      </c>
      <c r="L67" s="30">
        <f>ZONEINFRATE!C2</f>
        <v>0</v>
      </c>
      <c r="M67" s="30">
        <f>ZONEINFRATE!C3</f>
        <v>0</v>
      </c>
      <c r="N67" s="30">
        <f>AVERAGE(L67:M67)</f>
        <v>0</v>
      </c>
      <c r="S67" s="62"/>
      <c r="T67" s="63"/>
    </row>
    <row r="68" spans="1:20" ht="24.75" thickBot="1" x14ac:dyDescent="0.3">
      <c r="B68" s="18" t="s">
        <v>57</v>
      </c>
      <c r="C68" s="60">
        <f>'Total Number Ind Examined '!I7</f>
        <v>191</v>
      </c>
      <c r="D68" s="60">
        <f>'Total Number Ind Examined '!J7</f>
        <v>163</v>
      </c>
      <c r="E68" s="60">
        <f t="shared" ref="E68:E71" si="11">C68+D68</f>
        <v>354</v>
      </c>
      <c r="F68" s="61">
        <f>'Total Number of Pools Examined'!H7</f>
        <v>12</v>
      </c>
      <c r="G68" s="61">
        <f>'Total Number of Pools Examined'!I7</f>
        <v>10</v>
      </c>
      <c r="H68" s="61">
        <f t="shared" ref="H68:H71" si="12">F68+G68</f>
        <v>22</v>
      </c>
      <c r="I68" s="61">
        <f>'Total Number of WNV + Pools'!G8</f>
        <v>0</v>
      </c>
      <c r="J68" s="61">
        <f>'Total Number of WNV + Pools'!H8</f>
        <v>0</v>
      </c>
      <c r="K68" s="61">
        <f>'Total Number of WNV + Pools'!I8</f>
        <v>0</v>
      </c>
      <c r="L68" s="30">
        <f>ZONEINFRATE!C4</f>
        <v>0</v>
      </c>
      <c r="M68" s="30">
        <f>ZONEINFRATE!C5</f>
        <v>0</v>
      </c>
      <c r="N68" s="30">
        <v>0</v>
      </c>
      <c r="Q68" s="62"/>
      <c r="R68" s="63"/>
      <c r="T68" s="31"/>
    </row>
    <row r="69" spans="1:20" ht="24.75" thickBot="1" x14ac:dyDescent="0.3">
      <c r="B69" s="18" t="s">
        <v>59</v>
      </c>
      <c r="C69" s="60">
        <f>'Total Number Ind Examined '!I9</f>
        <v>202</v>
      </c>
      <c r="D69" s="60">
        <f>'Total Number Ind Examined '!J9</f>
        <v>569</v>
      </c>
      <c r="E69" s="60">
        <f t="shared" si="11"/>
        <v>771</v>
      </c>
      <c r="F69" s="61">
        <f>'Total Number of Pools Examined'!H9</f>
        <v>13</v>
      </c>
      <c r="G69" s="61">
        <f>'Total Number of Pools Examined'!I9</f>
        <v>18</v>
      </c>
      <c r="H69" s="61">
        <f t="shared" si="12"/>
        <v>31</v>
      </c>
      <c r="I69" s="61">
        <f>'Total Number of WNV + Pools'!G9</f>
        <v>1</v>
      </c>
      <c r="J69" s="61">
        <f>'Total Number of WNV + Pools'!H9</f>
        <v>1</v>
      </c>
      <c r="K69" s="61">
        <f>'Total Number of WNV + Pools'!I9</f>
        <v>2</v>
      </c>
      <c r="L69" s="30">
        <f>ZONEINFRATE!C6</f>
        <v>4.9014908317284842</v>
      </c>
      <c r="M69" s="30">
        <f>ZONEINFRATE!C7</f>
        <v>1.6985465682506131</v>
      </c>
      <c r="N69" s="30">
        <v>2.5831798379439577</v>
      </c>
      <c r="R69" s="31"/>
      <c r="T69" s="31"/>
    </row>
    <row r="70" spans="1:20" ht="24.75" thickBot="1" x14ac:dyDescent="0.3">
      <c r="B70" s="18" t="s">
        <v>58</v>
      </c>
      <c r="C70" s="60">
        <f>'Total Number Ind Examined '!I10</f>
        <v>6</v>
      </c>
      <c r="D70" s="60">
        <f>'Total Number Ind Examined '!J10</f>
        <v>5</v>
      </c>
      <c r="E70" s="60">
        <f t="shared" si="11"/>
        <v>11</v>
      </c>
      <c r="F70" s="61">
        <f>'Total Number of Pools Examined'!H10</f>
        <v>2</v>
      </c>
      <c r="G70" s="61">
        <f>'Total Number of Pools Examined'!I10</f>
        <v>2</v>
      </c>
      <c r="H70" s="61">
        <f t="shared" si="12"/>
        <v>4</v>
      </c>
      <c r="I70" s="61">
        <f>'Total Number of WNV + Pools'!G10</f>
        <v>0</v>
      </c>
      <c r="J70" s="61">
        <f>'Total Number of WNV + Pools'!H10</f>
        <v>0</v>
      </c>
      <c r="K70" s="61">
        <f>'Total Number of WNV + Pools'!I10</f>
        <v>0</v>
      </c>
      <c r="L70" s="30">
        <f>ZONEINFRATE!C8</f>
        <v>0</v>
      </c>
      <c r="M70" s="30">
        <f>ZONEINFRATE!C9</f>
        <v>0</v>
      </c>
      <c r="N70" s="30">
        <v>0</v>
      </c>
      <c r="R70" s="31"/>
      <c r="T70" s="31"/>
    </row>
    <row r="71" spans="1:20" ht="24.75" thickBot="1" x14ac:dyDescent="0.3">
      <c r="B71" s="18" t="s">
        <v>22</v>
      </c>
      <c r="C71" s="60">
        <f>SUM(C67:C70)</f>
        <v>652</v>
      </c>
      <c r="D71" s="60">
        <f>SUM(D67:D70)</f>
        <v>783</v>
      </c>
      <c r="E71" s="60">
        <f t="shared" si="11"/>
        <v>1435</v>
      </c>
      <c r="F71" s="61">
        <f t="shared" ref="F71:K71" si="13">SUM(F67:F70)</f>
        <v>39</v>
      </c>
      <c r="G71" s="61">
        <f t="shared" si="13"/>
        <v>38</v>
      </c>
      <c r="H71" s="61">
        <f t="shared" si="12"/>
        <v>77</v>
      </c>
      <c r="I71" s="61">
        <f t="shared" si="13"/>
        <v>1</v>
      </c>
      <c r="J71" s="61">
        <f t="shared" si="13"/>
        <v>1</v>
      </c>
      <c r="K71" s="61">
        <f t="shared" si="13"/>
        <v>2</v>
      </c>
      <c r="L71" s="30">
        <f>CITYINFRATE!C2</f>
        <v>1.5282837731349184</v>
      </c>
      <c r="M71" s="30">
        <f>CITYINFRATE!C3</f>
        <v>1.2508415931946046</v>
      </c>
      <c r="N71" s="30">
        <v>1.3930441060912353</v>
      </c>
      <c r="T71" s="31"/>
    </row>
    <row r="72" spans="1:20" ht="15.75" thickBot="1" x14ac:dyDescent="0.3">
      <c r="B72" s="18"/>
      <c r="C72" s="61"/>
      <c r="D72" s="61"/>
      <c r="E72" s="61"/>
      <c r="F72" s="61"/>
      <c r="G72" s="61"/>
      <c r="H72" s="61"/>
      <c r="I72" s="61"/>
      <c r="J72" s="61"/>
      <c r="K72" s="61"/>
      <c r="L72" s="30"/>
      <c r="M72" s="30"/>
      <c r="N72" s="30"/>
      <c r="T72" s="31"/>
    </row>
    <row r="73" spans="1:20" ht="15.75" thickBot="1" x14ac:dyDescent="0.3">
      <c r="B73" s="18" t="s">
        <v>9</v>
      </c>
      <c r="C73" s="61">
        <f>'Total Number Ind Examined '!I6</f>
        <v>17</v>
      </c>
      <c r="D73" s="61">
        <f>'Total Number Ind Examined '!J6</f>
        <v>177</v>
      </c>
      <c r="E73" s="61">
        <f>C73+D73</f>
        <v>194</v>
      </c>
      <c r="F73" s="61">
        <f>'Total Number of Pools Examined'!H6</f>
        <v>5</v>
      </c>
      <c r="G73" s="61">
        <f>'Total Number of Pools Examined'!I6</f>
        <v>7</v>
      </c>
      <c r="H73" s="61">
        <f>F73+G73</f>
        <v>12</v>
      </c>
      <c r="I73" s="61">
        <f>'Total Number of WNV + Pools'!G11</f>
        <v>0</v>
      </c>
      <c r="J73" s="61">
        <f>'Total Number of WNV + Pools'!H11</f>
        <v>1</v>
      </c>
      <c r="K73" s="61">
        <f>I73+J73</f>
        <v>1</v>
      </c>
      <c r="L73" s="30">
        <f>CITYINFRATE!C4</f>
        <v>0</v>
      </c>
      <c r="M73" s="30">
        <f>CITYINFRATE!C5</f>
        <v>5.6979834303502548</v>
      </c>
      <c r="N73" s="72">
        <v>5.253913926958397</v>
      </c>
    </row>
    <row r="74" spans="1:20" ht="15.75" thickBot="1" x14ac:dyDescent="0.3"/>
    <row r="75" spans="1:20" x14ac:dyDescent="0.25">
      <c r="A75" t="s">
        <v>53</v>
      </c>
      <c r="B75" s="16"/>
      <c r="C75" s="109" t="s">
        <v>56</v>
      </c>
      <c r="D75" s="110"/>
      <c r="E75" s="109" t="s">
        <v>57</v>
      </c>
      <c r="F75" s="110"/>
      <c r="G75" s="109" t="s">
        <v>59</v>
      </c>
      <c r="H75" s="110"/>
      <c r="I75" s="109" t="s">
        <v>58</v>
      </c>
      <c r="J75" s="110"/>
      <c r="K75" s="109" t="s">
        <v>22</v>
      </c>
      <c r="L75" s="110"/>
      <c r="M75" s="19"/>
    </row>
    <row r="76" spans="1:20" ht="15.75" thickBot="1" x14ac:dyDescent="0.3">
      <c r="B76" s="17"/>
      <c r="C76" s="111"/>
      <c r="D76" s="112"/>
      <c r="E76" s="111"/>
      <c r="F76" s="112"/>
      <c r="G76" s="111"/>
      <c r="H76" s="112"/>
      <c r="I76" s="111"/>
      <c r="J76" s="112"/>
      <c r="K76" s="111"/>
      <c r="L76" s="112"/>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20"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20"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64">
        <v>2.7088887530027521</v>
      </c>
    </row>
    <row r="81" spans="2:13" ht="15.75" thickBot="1" x14ac:dyDescent="0.3">
      <c r="B81" s="18">
        <v>27</v>
      </c>
      <c r="C81" s="54">
        <v>0</v>
      </c>
      <c r="D81" s="51">
        <v>0</v>
      </c>
      <c r="E81" s="54">
        <v>0</v>
      </c>
      <c r="F81" s="51">
        <v>0.242731298767248</v>
      </c>
      <c r="G81" s="54">
        <v>2.5831798379439577</v>
      </c>
      <c r="H81" s="51">
        <v>0.22275287749498812</v>
      </c>
      <c r="I81" s="54">
        <v>0</v>
      </c>
      <c r="J81" s="51">
        <v>0</v>
      </c>
      <c r="K81" s="54">
        <v>1.3930441060912353</v>
      </c>
      <c r="L81" s="51">
        <v>0.20642105669107452</v>
      </c>
      <c r="M81" s="54">
        <v>5.253913926958397</v>
      </c>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05"/>
  <sheetViews>
    <sheetView tabSelected="1" topLeftCell="A2" workbookViewId="0">
      <selection activeCell="C2" sqref="C2:C90"/>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3"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257</v>
      </c>
    </row>
    <row r="2" spans="1:23" x14ac:dyDescent="0.25">
      <c r="A2" s="39">
        <v>2016</v>
      </c>
      <c r="B2" s="37" t="s">
        <v>322</v>
      </c>
      <c r="C2" s="37">
        <v>18683</v>
      </c>
      <c r="D2" s="37">
        <v>27</v>
      </c>
      <c r="E2" s="38">
        <v>42557</v>
      </c>
      <c r="F2" s="37" t="s">
        <v>105</v>
      </c>
      <c r="G2" s="37" t="s">
        <v>47</v>
      </c>
      <c r="H2" s="37" t="s">
        <v>119</v>
      </c>
      <c r="I2" s="37" t="s">
        <v>61</v>
      </c>
      <c r="J2" s="37" t="s">
        <v>112</v>
      </c>
      <c r="K2" s="37" t="s">
        <v>108</v>
      </c>
      <c r="L2" s="37" t="s">
        <v>5</v>
      </c>
      <c r="M2" s="37" t="s">
        <v>109</v>
      </c>
      <c r="N2" s="37">
        <v>8</v>
      </c>
      <c r="P2" s="37">
        <v>8</v>
      </c>
      <c r="Q2" s="37">
        <v>0</v>
      </c>
      <c r="R2" s="37" t="s">
        <v>424</v>
      </c>
      <c r="T2" s="37" t="s">
        <v>248</v>
      </c>
      <c r="U2" s="37" t="s">
        <v>251</v>
      </c>
      <c r="V2" s="37" t="s">
        <v>269</v>
      </c>
    </row>
    <row r="3" spans="1:23" x14ac:dyDescent="0.25">
      <c r="A3" s="65">
        <v>2016</v>
      </c>
      <c r="B3" s="36" t="s">
        <v>323</v>
      </c>
      <c r="C3" s="37">
        <v>18684</v>
      </c>
      <c r="D3" s="36">
        <v>27</v>
      </c>
      <c r="E3" s="66">
        <v>42557</v>
      </c>
      <c r="F3" s="36" t="s">
        <v>105</v>
      </c>
      <c r="G3" s="36" t="s">
        <v>47</v>
      </c>
      <c r="H3" s="36" t="s">
        <v>115</v>
      </c>
      <c r="I3" s="36" t="s">
        <v>61</v>
      </c>
      <c r="J3" s="36" t="s">
        <v>107</v>
      </c>
      <c r="K3" s="36" t="s">
        <v>108</v>
      </c>
      <c r="L3" s="36" t="s">
        <v>6</v>
      </c>
      <c r="M3" s="36" t="s">
        <v>109</v>
      </c>
      <c r="N3" s="36"/>
      <c r="O3" s="36">
        <v>3</v>
      </c>
      <c r="P3" s="36">
        <v>3</v>
      </c>
      <c r="Q3" s="36">
        <v>0</v>
      </c>
      <c r="R3" s="36" t="s">
        <v>424</v>
      </c>
      <c r="S3" s="36"/>
      <c r="T3" s="36" t="s">
        <v>247</v>
      </c>
      <c r="U3" s="36" t="s">
        <v>250</v>
      </c>
      <c r="V3" s="36" t="s">
        <v>265</v>
      </c>
      <c r="W3" s="36"/>
    </row>
    <row r="4" spans="1:23" x14ac:dyDescent="0.25">
      <c r="A4" s="65">
        <v>2016</v>
      </c>
      <c r="B4" s="36" t="s">
        <v>324</v>
      </c>
      <c r="C4" s="37">
        <v>18685</v>
      </c>
      <c r="D4" s="36">
        <v>27</v>
      </c>
      <c r="E4" s="66">
        <v>42557</v>
      </c>
      <c r="F4" s="36" t="s">
        <v>105</v>
      </c>
      <c r="G4" s="36" t="s">
        <v>47</v>
      </c>
      <c r="H4" s="36" t="s">
        <v>113</v>
      </c>
      <c r="I4" s="36" t="s">
        <v>61</v>
      </c>
      <c r="J4" s="36" t="s">
        <v>107</v>
      </c>
      <c r="K4" s="36" t="s">
        <v>108</v>
      </c>
      <c r="L4" s="36" t="s">
        <v>6</v>
      </c>
      <c r="M4" s="36" t="s">
        <v>109</v>
      </c>
      <c r="N4" s="36"/>
      <c r="O4" s="36">
        <v>18</v>
      </c>
      <c r="P4" s="36">
        <v>18</v>
      </c>
      <c r="Q4" s="36">
        <v>0</v>
      </c>
      <c r="R4" s="36" t="s">
        <v>424</v>
      </c>
      <c r="S4" s="36"/>
      <c r="T4" s="36" t="s">
        <v>247</v>
      </c>
      <c r="U4" s="36" t="s">
        <v>250</v>
      </c>
      <c r="V4" s="36" t="s">
        <v>263</v>
      </c>
      <c r="W4" s="36"/>
    </row>
    <row r="5" spans="1:23" x14ac:dyDescent="0.25">
      <c r="A5" s="65">
        <v>2016</v>
      </c>
      <c r="B5" s="36" t="s">
        <v>325</v>
      </c>
      <c r="C5" s="37">
        <v>18686</v>
      </c>
      <c r="D5" s="36">
        <v>27</v>
      </c>
      <c r="E5" s="66">
        <v>42557</v>
      </c>
      <c r="F5" s="36" t="s">
        <v>105</v>
      </c>
      <c r="G5" s="36" t="s">
        <v>47</v>
      </c>
      <c r="H5" s="36" t="s">
        <v>120</v>
      </c>
      <c r="I5" s="36" t="s">
        <v>61</v>
      </c>
      <c r="J5" s="36" t="s">
        <v>107</v>
      </c>
      <c r="K5" s="36" t="s">
        <v>108</v>
      </c>
      <c r="L5" s="36" t="s">
        <v>6</v>
      </c>
      <c r="M5" s="36" t="s">
        <v>109</v>
      </c>
      <c r="N5" s="36"/>
      <c r="O5" s="36">
        <v>19</v>
      </c>
      <c r="P5" s="36">
        <v>19</v>
      </c>
      <c r="Q5" s="36">
        <v>0</v>
      </c>
      <c r="R5" s="36" t="s">
        <v>424</v>
      </c>
      <c r="S5" s="36"/>
      <c r="T5" s="36" t="s">
        <v>247</v>
      </c>
      <c r="U5" s="36" t="s">
        <v>250</v>
      </c>
      <c r="V5" s="36" t="s">
        <v>270</v>
      </c>
      <c r="W5" s="36"/>
    </row>
    <row r="6" spans="1:23" x14ac:dyDescent="0.25">
      <c r="A6" s="65">
        <v>2016</v>
      </c>
      <c r="B6" s="36" t="s">
        <v>326</v>
      </c>
      <c r="C6" s="37">
        <v>18687</v>
      </c>
      <c r="D6" s="36">
        <v>27</v>
      </c>
      <c r="E6" s="66">
        <v>42557</v>
      </c>
      <c r="F6" s="36" t="s">
        <v>105</v>
      </c>
      <c r="G6" s="36" t="s">
        <v>47</v>
      </c>
      <c r="H6" s="36" t="s">
        <v>120</v>
      </c>
      <c r="I6" s="36" t="s">
        <v>61</v>
      </c>
      <c r="J6" s="36" t="s">
        <v>107</v>
      </c>
      <c r="K6" s="36" t="s">
        <v>108</v>
      </c>
      <c r="L6" s="36" t="s">
        <v>5</v>
      </c>
      <c r="M6" s="36" t="s">
        <v>109</v>
      </c>
      <c r="N6" s="36"/>
      <c r="O6" s="36">
        <v>2</v>
      </c>
      <c r="P6" s="36">
        <v>2</v>
      </c>
      <c r="Q6" s="36">
        <v>0</v>
      </c>
      <c r="R6" s="36" t="s">
        <v>424</v>
      </c>
      <c r="S6" s="36"/>
      <c r="T6" s="36" t="s">
        <v>248</v>
      </c>
      <c r="U6" s="36" t="s">
        <v>251</v>
      </c>
      <c r="V6" s="36" t="s">
        <v>271</v>
      </c>
      <c r="W6" s="36"/>
    </row>
    <row r="7" spans="1:23" x14ac:dyDescent="0.25">
      <c r="A7" s="65">
        <v>2016</v>
      </c>
      <c r="B7" s="36" t="s">
        <v>327</v>
      </c>
      <c r="C7" s="37">
        <v>18688</v>
      </c>
      <c r="D7" s="36">
        <v>27</v>
      </c>
      <c r="E7" s="66">
        <v>42557</v>
      </c>
      <c r="F7" s="36" t="s">
        <v>105</v>
      </c>
      <c r="G7" s="36" t="s">
        <v>47</v>
      </c>
      <c r="H7" s="36" t="s">
        <v>117</v>
      </c>
      <c r="I7" s="36" t="s">
        <v>61</v>
      </c>
      <c r="J7" s="36" t="s">
        <v>107</v>
      </c>
      <c r="K7" s="36" t="s">
        <v>108</v>
      </c>
      <c r="L7" s="36" t="s">
        <v>6</v>
      </c>
      <c r="M7" s="36" t="s">
        <v>109</v>
      </c>
      <c r="N7" s="36"/>
      <c r="O7" s="36">
        <v>6</v>
      </c>
      <c r="P7" s="36">
        <v>6</v>
      </c>
      <c r="Q7" s="36">
        <v>0</v>
      </c>
      <c r="R7" s="36" t="s">
        <v>424</v>
      </c>
      <c r="S7" s="36"/>
      <c r="T7" s="36" t="s">
        <v>247</v>
      </c>
      <c r="U7" s="36" t="s">
        <v>250</v>
      </c>
      <c r="V7" s="36" t="s">
        <v>268</v>
      </c>
      <c r="W7" s="36"/>
    </row>
    <row r="8" spans="1:23" x14ac:dyDescent="0.25">
      <c r="A8" s="65">
        <v>2016</v>
      </c>
      <c r="B8" s="36" t="s">
        <v>328</v>
      </c>
      <c r="C8" s="37">
        <v>18689</v>
      </c>
      <c r="D8" s="36">
        <v>27</v>
      </c>
      <c r="E8" s="66">
        <v>42557</v>
      </c>
      <c r="F8" s="36" t="s">
        <v>105</v>
      </c>
      <c r="G8" s="36" t="s">
        <v>47</v>
      </c>
      <c r="H8" s="36" t="s">
        <v>117</v>
      </c>
      <c r="I8" s="36" t="s">
        <v>61</v>
      </c>
      <c r="J8" s="36" t="s">
        <v>107</v>
      </c>
      <c r="K8" s="36" t="s">
        <v>108</v>
      </c>
      <c r="L8" s="36" t="s">
        <v>5</v>
      </c>
      <c r="M8" s="36" t="s">
        <v>109</v>
      </c>
      <c r="N8" s="36"/>
      <c r="O8" s="36">
        <v>1</v>
      </c>
      <c r="P8" s="36">
        <v>1</v>
      </c>
      <c r="Q8" s="36">
        <v>0</v>
      </c>
      <c r="R8" s="36" t="s">
        <v>424</v>
      </c>
      <c r="S8" s="36"/>
      <c r="T8" s="36" t="s">
        <v>248</v>
      </c>
      <c r="U8" s="36" t="s">
        <v>251</v>
      </c>
      <c r="V8" s="36" t="s">
        <v>415</v>
      </c>
      <c r="W8" s="36"/>
    </row>
    <row r="9" spans="1:23" x14ac:dyDescent="0.25">
      <c r="A9" s="39">
        <v>2016</v>
      </c>
      <c r="B9" s="37" t="s">
        <v>329</v>
      </c>
      <c r="C9" s="37">
        <v>18690</v>
      </c>
      <c r="D9" s="37">
        <v>27</v>
      </c>
      <c r="E9" s="38">
        <v>42557</v>
      </c>
      <c r="F9" s="37" t="s">
        <v>105</v>
      </c>
      <c r="G9" s="37" t="s">
        <v>9</v>
      </c>
      <c r="H9" s="37" t="s">
        <v>106</v>
      </c>
      <c r="I9" s="37" t="s">
        <v>9</v>
      </c>
      <c r="J9" s="37" t="s">
        <v>107</v>
      </c>
      <c r="K9" s="37" t="s">
        <v>108</v>
      </c>
      <c r="L9" s="37" t="s">
        <v>6</v>
      </c>
      <c r="M9" s="37" t="s">
        <v>109</v>
      </c>
      <c r="O9" s="37">
        <v>50</v>
      </c>
      <c r="P9" s="37">
        <v>50</v>
      </c>
      <c r="Q9" s="37">
        <v>0</v>
      </c>
      <c r="R9" s="37" t="s">
        <v>424</v>
      </c>
      <c r="T9" s="37" t="s">
        <v>245</v>
      </c>
      <c r="U9" s="37" t="s">
        <v>245</v>
      </c>
      <c r="V9" s="37" t="s">
        <v>258</v>
      </c>
    </row>
    <row r="10" spans="1:23" x14ac:dyDescent="0.25">
      <c r="A10" s="39">
        <v>2016</v>
      </c>
      <c r="B10" s="37" t="s">
        <v>330</v>
      </c>
      <c r="C10" s="37">
        <v>18691</v>
      </c>
      <c r="D10" s="37">
        <v>27</v>
      </c>
      <c r="E10" s="38">
        <v>42557</v>
      </c>
      <c r="F10" s="37" t="s">
        <v>105</v>
      </c>
      <c r="G10" s="37" t="s">
        <v>9</v>
      </c>
      <c r="H10" s="37" t="s">
        <v>106</v>
      </c>
      <c r="I10" s="37" t="s">
        <v>9</v>
      </c>
      <c r="J10" s="37" t="s">
        <v>107</v>
      </c>
      <c r="K10" s="37" t="s">
        <v>108</v>
      </c>
      <c r="L10" s="37" t="s">
        <v>6</v>
      </c>
      <c r="M10" s="37" t="s">
        <v>109</v>
      </c>
      <c r="O10" s="37">
        <v>4</v>
      </c>
      <c r="P10" s="37">
        <v>4</v>
      </c>
      <c r="Q10" s="37">
        <v>0</v>
      </c>
      <c r="R10" s="37" t="s">
        <v>424</v>
      </c>
      <c r="T10" s="37" t="s">
        <v>245</v>
      </c>
      <c r="U10" s="37" t="s">
        <v>245</v>
      </c>
      <c r="V10" s="37" t="s">
        <v>258</v>
      </c>
    </row>
    <row r="11" spans="1:23" x14ac:dyDescent="0.25">
      <c r="A11" s="39">
        <v>2016</v>
      </c>
      <c r="B11" s="37" t="s">
        <v>331</v>
      </c>
      <c r="C11" s="37">
        <v>18692</v>
      </c>
      <c r="D11" s="37">
        <v>27</v>
      </c>
      <c r="E11" s="38">
        <v>42557</v>
      </c>
      <c r="F11" s="37" t="s">
        <v>105</v>
      </c>
      <c r="G11" s="37" t="s">
        <v>9</v>
      </c>
      <c r="H11" s="37" t="s">
        <v>106</v>
      </c>
      <c r="I11" s="37" t="s">
        <v>9</v>
      </c>
      <c r="J11" s="37" t="s">
        <v>107</v>
      </c>
      <c r="K11" s="37" t="s">
        <v>108</v>
      </c>
      <c r="L11" s="37" t="s">
        <v>5</v>
      </c>
      <c r="M11" s="37" t="s">
        <v>109</v>
      </c>
      <c r="O11" s="37">
        <v>6</v>
      </c>
      <c r="P11" s="37">
        <v>6</v>
      </c>
      <c r="Q11" s="37">
        <v>0</v>
      </c>
      <c r="R11" s="37" t="s">
        <v>424</v>
      </c>
      <c r="T11" s="37" t="s">
        <v>246</v>
      </c>
      <c r="U11" s="37" t="s">
        <v>246</v>
      </c>
      <c r="V11" s="37" t="s">
        <v>259</v>
      </c>
    </row>
    <row r="12" spans="1:23" x14ac:dyDescent="0.25">
      <c r="A12" s="65">
        <v>2016</v>
      </c>
      <c r="B12" s="36" t="s">
        <v>332</v>
      </c>
      <c r="C12" s="37">
        <v>18693</v>
      </c>
      <c r="D12" s="36">
        <v>27</v>
      </c>
      <c r="E12" s="66">
        <v>42557</v>
      </c>
      <c r="F12" s="36" t="s">
        <v>105</v>
      </c>
      <c r="G12" s="36" t="s">
        <v>47</v>
      </c>
      <c r="H12" s="36" t="s">
        <v>125</v>
      </c>
      <c r="I12" s="36" t="s">
        <v>61</v>
      </c>
      <c r="J12" s="36" t="s">
        <v>107</v>
      </c>
      <c r="K12" s="36" t="s">
        <v>108</v>
      </c>
      <c r="L12" s="36" t="s">
        <v>6</v>
      </c>
      <c r="M12" s="36" t="s">
        <v>109</v>
      </c>
      <c r="N12" s="36"/>
      <c r="O12" s="36">
        <v>12</v>
      </c>
      <c r="P12" s="36">
        <v>12</v>
      </c>
      <c r="Q12" s="36">
        <v>0</v>
      </c>
      <c r="R12" s="36" t="s">
        <v>424</v>
      </c>
      <c r="S12" s="36"/>
      <c r="T12" s="36" t="s">
        <v>247</v>
      </c>
      <c r="U12" s="36" t="s">
        <v>250</v>
      </c>
      <c r="V12" s="36" t="s">
        <v>277</v>
      </c>
      <c r="W12" s="36"/>
    </row>
    <row r="13" spans="1:23" x14ac:dyDescent="0.25">
      <c r="A13" s="65">
        <v>2016</v>
      </c>
      <c r="B13" s="36" t="s">
        <v>333</v>
      </c>
      <c r="C13" s="37">
        <v>18694</v>
      </c>
      <c r="D13" s="36">
        <v>27</v>
      </c>
      <c r="E13" s="66">
        <v>42557</v>
      </c>
      <c r="F13" s="36" t="s">
        <v>105</v>
      </c>
      <c r="G13" s="36" t="s">
        <v>47</v>
      </c>
      <c r="H13" s="36" t="s">
        <v>125</v>
      </c>
      <c r="I13" s="36" t="s">
        <v>61</v>
      </c>
      <c r="J13" s="36" t="s">
        <v>107</v>
      </c>
      <c r="K13" s="36" t="s">
        <v>108</v>
      </c>
      <c r="L13" s="36" t="s">
        <v>5</v>
      </c>
      <c r="M13" s="36" t="s">
        <v>109</v>
      </c>
      <c r="N13" s="36"/>
      <c r="O13" s="36">
        <v>11</v>
      </c>
      <c r="P13" s="36">
        <v>11</v>
      </c>
      <c r="Q13" s="36">
        <v>0</v>
      </c>
      <c r="R13" s="36" t="s">
        <v>424</v>
      </c>
      <c r="S13" s="36"/>
      <c r="T13" s="36" t="s">
        <v>248</v>
      </c>
      <c r="U13" s="36" t="s">
        <v>251</v>
      </c>
      <c r="V13" s="36" t="s">
        <v>278</v>
      </c>
      <c r="W13" s="36"/>
    </row>
    <row r="14" spans="1:23" x14ac:dyDescent="0.25">
      <c r="A14" s="65">
        <v>2016</v>
      </c>
      <c r="B14" s="36" t="s">
        <v>334</v>
      </c>
      <c r="C14" s="37">
        <v>18695</v>
      </c>
      <c r="D14" s="36">
        <v>27</v>
      </c>
      <c r="E14" s="66">
        <v>42557</v>
      </c>
      <c r="F14" s="36" t="s">
        <v>105</v>
      </c>
      <c r="G14" s="36" t="s">
        <v>47</v>
      </c>
      <c r="H14" s="36" t="s">
        <v>116</v>
      </c>
      <c r="I14" s="36" t="s">
        <v>61</v>
      </c>
      <c r="J14" s="36" t="s">
        <v>107</v>
      </c>
      <c r="K14" s="36" t="s">
        <v>108</v>
      </c>
      <c r="L14" s="36" t="s">
        <v>6</v>
      </c>
      <c r="M14" s="36" t="s">
        <v>109</v>
      </c>
      <c r="N14" s="36"/>
      <c r="O14" s="36">
        <v>34</v>
      </c>
      <c r="P14" s="36">
        <v>34</v>
      </c>
      <c r="Q14" s="36">
        <v>0</v>
      </c>
      <c r="R14" s="36" t="s">
        <v>424</v>
      </c>
      <c r="S14" s="36"/>
      <c r="T14" s="36" t="s">
        <v>247</v>
      </c>
      <c r="U14" s="36" t="s">
        <v>250</v>
      </c>
      <c r="V14" s="36" t="s">
        <v>266</v>
      </c>
      <c r="W14" s="36"/>
    </row>
    <row r="15" spans="1:23" x14ac:dyDescent="0.25">
      <c r="A15" s="65">
        <v>2016</v>
      </c>
      <c r="B15" s="36" t="s">
        <v>335</v>
      </c>
      <c r="C15" s="37">
        <v>18696</v>
      </c>
      <c r="D15" s="36">
        <v>27</v>
      </c>
      <c r="E15" s="66">
        <v>42557</v>
      </c>
      <c r="F15" s="36" t="s">
        <v>105</v>
      </c>
      <c r="G15" s="36" t="s">
        <v>47</v>
      </c>
      <c r="H15" s="36" t="s">
        <v>116</v>
      </c>
      <c r="I15" s="36" t="s">
        <v>61</v>
      </c>
      <c r="J15" s="36" t="s">
        <v>107</v>
      </c>
      <c r="K15" s="36" t="s">
        <v>108</v>
      </c>
      <c r="L15" s="36" t="s">
        <v>5</v>
      </c>
      <c r="M15" s="36" t="s">
        <v>109</v>
      </c>
      <c r="N15" s="36"/>
      <c r="O15" s="36">
        <v>48</v>
      </c>
      <c r="P15" s="36">
        <v>48</v>
      </c>
      <c r="Q15" s="36">
        <v>0</v>
      </c>
      <c r="R15" s="36" t="s">
        <v>424</v>
      </c>
      <c r="S15" s="36"/>
      <c r="T15" s="36" t="s">
        <v>248</v>
      </c>
      <c r="U15" s="36" t="s">
        <v>251</v>
      </c>
      <c r="V15" s="36" t="s">
        <v>267</v>
      </c>
      <c r="W15" s="36"/>
    </row>
    <row r="16" spans="1:23" x14ac:dyDescent="0.25">
      <c r="A16" s="39">
        <v>2016</v>
      </c>
      <c r="B16" s="37" t="s">
        <v>336</v>
      </c>
      <c r="C16" s="37">
        <v>18697</v>
      </c>
      <c r="D16" s="37">
        <v>27</v>
      </c>
      <c r="E16" s="38">
        <v>42557</v>
      </c>
      <c r="F16" s="37" t="s">
        <v>105</v>
      </c>
      <c r="G16" s="37" t="s">
        <v>9</v>
      </c>
      <c r="H16" s="37" t="s">
        <v>114</v>
      </c>
      <c r="I16" s="37" t="s">
        <v>9</v>
      </c>
      <c r="J16" s="37" t="s">
        <v>107</v>
      </c>
      <c r="K16" s="37" t="s">
        <v>108</v>
      </c>
      <c r="L16" s="37" t="s">
        <v>6</v>
      </c>
      <c r="M16" s="37" t="s">
        <v>109</v>
      </c>
      <c r="O16" s="37">
        <v>39</v>
      </c>
      <c r="P16" s="37">
        <v>39</v>
      </c>
      <c r="Q16" s="37">
        <v>0</v>
      </c>
      <c r="R16" s="37" t="s">
        <v>424</v>
      </c>
      <c r="T16" s="37" t="s">
        <v>245</v>
      </c>
      <c r="U16" s="37" t="s">
        <v>245</v>
      </c>
      <c r="V16" s="37" t="s">
        <v>264</v>
      </c>
    </row>
    <row r="17" spans="1:23" x14ac:dyDescent="0.25">
      <c r="A17" s="39">
        <v>2016</v>
      </c>
      <c r="B17" s="37" t="s">
        <v>337</v>
      </c>
      <c r="C17" s="37">
        <v>18698</v>
      </c>
      <c r="D17" s="37">
        <v>27</v>
      </c>
      <c r="E17" s="38">
        <v>42557</v>
      </c>
      <c r="F17" s="37" t="s">
        <v>105</v>
      </c>
      <c r="G17" s="37" t="s">
        <v>9</v>
      </c>
      <c r="H17" s="37" t="s">
        <v>114</v>
      </c>
      <c r="I17" s="37" t="s">
        <v>9</v>
      </c>
      <c r="J17" s="37" t="s">
        <v>107</v>
      </c>
      <c r="K17" s="37" t="s">
        <v>108</v>
      </c>
      <c r="L17" s="37" t="s">
        <v>5</v>
      </c>
      <c r="M17" s="37" t="s">
        <v>109</v>
      </c>
      <c r="O17" s="37">
        <v>1</v>
      </c>
      <c r="P17" s="37">
        <v>1</v>
      </c>
      <c r="Q17" s="37">
        <v>0</v>
      </c>
      <c r="R17" s="37" t="s">
        <v>424</v>
      </c>
      <c r="T17" s="37" t="s">
        <v>246</v>
      </c>
      <c r="U17" s="37" t="s">
        <v>246</v>
      </c>
      <c r="V17" s="37" t="s">
        <v>411</v>
      </c>
    </row>
    <row r="18" spans="1:23" s="68" customFormat="1" x14ac:dyDescent="0.25">
      <c r="A18" s="67">
        <v>2016</v>
      </c>
      <c r="B18" s="68" t="s">
        <v>338</v>
      </c>
      <c r="C18" s="37">
        <v>18699</v>
      </c>
      <c r="D18" s="68">
        <v>27</v>
      </c>
      <c r="E18" s="69">
        <v>42557</v>
      </c>
      <c r="F18" s="68" t="s">
        <v>105</v>
      </c>
      <c r="G18" s="68" t="s">
        <v>9</v>
      </c>
      <c r="H18" s="68" t="s">
        <v>127</v>
      </c>
      <c r="I18" s="68" t="s">
        <v>9</v>
      </c>
      <c r="J18" s="68" t="s">
        <v>107</v>
      </c>
      <c r="K18" s="68" t="s">
        <v>108</v>
      </c>
      <c r="L18" s="68" t="s">
        <v>6</v>
      </c>
      <c r="M18" s="68" t="s">
        <v>109</v>
      </c>
      <c r="O18" s="68">
        <v>42</v>
      </c>
      <c r="P18" s="68">
        <v>42</v>
      </c>
      <c r="Q18" s="68">
        <v>1</v>
      </c>
      <c r="R18" s="68" t="s">
        <v>423</v>
      </c>
      <c r="T18" s="68" t="s">
        <v>245</v>
      </c>
      <c r="U18" s="68" t="s">
        <v>245</v>
      </c>
      <c r="V18" s="68" t="s">
        <v>279</v>
      </c>
      <c r="W18" s="37"/>
    </row>
    <row r="19" spans="1:23" x14ac:dyDescent="0.25">
      <c r="A19" s="39">
        <v>2016</v>
      </c>
      <c r="B19" s="37" t="s">
        <v>339</v>
      </c>
      <c r="C19" s="37">
        <v>18700</v>
      </c>
      <c r="D19" s="37">
        <v>27</v>
      </c>
      <c r="E19" s="38">
        <v>42557</v>
      </c>
      <c r="F19" s="37" t="s">
        <v>105</v>
      </c>
      <c r="G19" s="37" t="s">
        <v>9</v>
      </c>
      <c r="H19" s="37" t="s">
        <v>127</v>
      </c>
      <c r="I19" s="37" t="s">
        <v>9</v>
      </c>
      <c r="J19" s="37" t="s">
        <v>107</v>
      </c>
      <c r="K19" s="37" t="s">
        <v>108</v>
      </c>
      <c r="L19" s="37" t="s">
        <v>5</v>
      </c>
      <c r="M19" s="37" t="s">
        <v>109</v>
      </c>
      <c r="O19" s="37">
        <v>3</v>
      </c>
      <c r="P19" s="37">
        <v>3</v>
      </c>
      <c r="Q19" s="37">
        <v>0</v>
      </c>
      <c r="R19" s="37" t="s">
        <v>424</v>
      </c>
      <c r="T19" s="37" t="s">
        <v>246</v>
      </c>
      <c r="U19" s="37" t="s">
        <v>246</v>
      </c>
      <c r="V19" s="37" t="s">
        <v>412</v>
      </c>
    </row>
    <row r="20" spans="1:23" x14ac:dyDescent="0.25">
      <c r="A20" s="39">
        <v>2016</v>
      </c>
      <c r="B20" s="37" t="s">
        <v>340</v>
      </c>
      <c r="C20" s="37">
        <v>18701</v>
      </c>
      <c r="D20" s="37">
        <v>27</v>
      </c>
      <c r="E20" s="38">
        <v>42557</v>
      </c>
      <c r="F20" s="37" t="s">
        <v>105</v>
      </c>
      <c r="G20" s="37" t="s">
        <v>9</v>
      </c>
      <c r="H20" s="37" t="s">
        <v>128</v>
      </c>
      <c r="I20" s="37" t="s">
        <v>9</v>
      </c>
      <c r="J20" s="37" t="s">
        <v>107</v>
      </c>
      <c r="K20" s="37" t="s">
        <v>108</v>
      </c>
      <c r="L20" s="37" t="s">
        <v>6</v>
      </c>
      <c r="M20" s="37" t="s">
        <v>109</v>
      </c>
      <c r="O20" s="37">
        <v>8</v>
      </c>
      <c r="P20" s="37">
        <v>8</v>
      </c>
      <c r="Q20" s="37">
        <v>0</v>
      </c>
      <c r="R20" s="37" t="s">
        <v>424</v>
      </c>
      <c r="T20" s="37" t="s">
        <v>245</v>
      </c>
      <c r="U20" s="37" t="s">
        <v>245</v>
      </c>
      <c r="V20" s="37" t="s">
        <v>280</v>
      </c>
    </row>
    <row r="21" spans="1:23" x14ac:dyDescent="0.25">
      <c r="A21" s="39">
        <v>2016</v>
      </c>
      <c r="B21" s="37" t="s">
        <v>341</v>
      </c>
      <c r="C21" s="37">
        <v>18702</v>
      </c>
      <c r="D21" s="37">
        <v>27</v>
      </c>
      <c r="E21" s="38">
        <v>42557</v>
      </c>
      <c r="F21" s="37" t="s">
        <v>105</v>
      </c>
      <c r="G21" s="37" t="s">
        <v>9</v>
      </c>
      <c r="H21" s="37" t="s">
        <v>128</v>
      </c>
      <c r="I21" s="37" t="s">
        <v>9</v>
      </c>
      <c r="J21" s="37" t="s">
        <v>107</v>
      </c>
      <c r="K21" s="37" t="s">
        <v>108</v>
      </c>
      <c r="L21" s="37" t="s">
        <v>5</v>
      </c>
      <c r="M21" s="37" t="s">
        <v>109</v>
      </c>
      <c r="O21" s="37">
        <v>2</v>
      </c>
      <c r="P21" s="37">
        <v>2</v>
      </c>
      <c r="Q21" s="37">
        <v>0</v>
      </c>
      <c r="R21" s="37" t="s">
        <v>424</v>
      </c>
      <c r="T21" s="37" t="s">
        <v>246</v>
      </c>
      <c r="U21" s="37" t="s">
        <v>246</v>
      </c>
      <c r="V21" s="37" t="s">
        <v>413</v>
      </c>
    </row>
    <row r="22" spans="1:23" x14ac:dyDescent="0.25">
      <c r="A22" s="39">
        <v>2016</v>
      </c>
      <c r="B22" s="37" t="s">
        <v>342</v>
      </c>
      <c r="C22" s="37">
        <v>18703</v>
      </c>
      <c r="D22" s="37">
        <v>27</v>
      </c>
      <c r="E22" s="38">
        <v>42557</v>
      </c>
      <c r="F22" s="37" t="s">
        <v>105</v>
      </c>
      <c r="G22" s="37" t="s">
        <v>47</v>
      </c>
      <c r="H22" s="37" t="s">
        <v>118</v>
      </c>
      <c r="I22" s="37" t="s">
        <v>61</v>
      </c>
      <c r="J22" s="37" t="s">
        <v>112</v>
      </c>
      <c r="K22" s="37" t="s">
        <v>108</v>
      </c>
      <c r="L22" s="37" t="s">
        <v>5</v>
      </c>
      <c r="M22" s="37" t="s">
        <v>109</v>
      </c>
      <c r="N22" s="37">
        <v>50</v>
      </c>
      <c r="P22" s="37">
        <v>50</v>
      </c>
      <c r="Q22" s="37">
        <v>0</v>
      </c>
      <c r="R22" s="37" t="s">
        <v>424</v>
      </c>
      <c r="T22" s="37" t="s">
        <v>248</v>
      </c>
      <c r="U22" s="37" t="s">
        <v>251</v>
      </c>
      <c r="V22" s="37" t="s">
        <v>267</v>
      </c>
    </row>
    <row r="23" spans="1:23" x14ac:dyDescent="0.25">
      <c r="A23" s="39">
        <v>2016</v>
      </c>
      <c r="B23" s="37" t="s">
        <v>343</v>
      </c>
      <c r="C23" s="37">
        <v>18704</v>
      </c>
      <c r="D23" s="37">
        <v>27</v>
      </c>
      <c r="E23" s="38">
        <v>42557</v>
      </c>
      <c r="F23" s="37" t="s">
        <v>105</v>
      </c>
      <c r="G23" s="37" t="s">
        <v>47</v>
      </c>
      <c r="H23" s="37" t="s">
        <v>118</v>
      </c>
      <c r="I23" s="37" t="s">
        <v>61</v>
      </c>
      <c r="J23" s="37" t="s">
        <v>112</v>
      </c>
      <c r="K23" s="37" t="s">
        <v>108</v>
      </c>
      <c r="L23" s="37" t="s">
        <v>5</v>
      </c>
      <c r="M23" s="37" t="s">
        <v>109</v>
      </c>
      <c r="N23" s="37">
        <v>10</v>
      </c>
      <c r="P23" s="37">
        <v>10</v>
      </c>
      <c r="Q23" s="37">
        <v>0</v>
      </c>
      <c r="R23" s="37" t="s">
        <v>424</v>
      </c>
      <c r="T23" s="37" t="s">
        <v>248</v>
      </c>
      <c r="U23" s="37" t="s">
        <v>251</v>
      </c>
      <c r="V23" s="37" t="s">
        <v>267</v>
      </c>
    </row>
    <row r="24" spans="1:23" x14ac:dyDescent="0.25">
      <c r="A24" s="65">
        <v>2016</v>
      </c>
      <c r="B24" s="36" t="s">
        <v>344</v>
      </c>
      <c r="C24" s="37">
        <v>18705</v>
      </c>
      <c r="D24" s="36">
        <v>27</v>
      </c>
      <c r="E24" s="66">
        <v>42557</v>
      </c>
      <c r="F24" s="36" t="s">
        <v>105</v>
      </c>
      <c r="G24" s="36" t="s">
        <v>9</v>
      </c>
      <c r="H24" s="36" t="s">
        <v>129</v>
      </c>
      <c r="I24" s="36" t="s">
        <v>9</v>
      </c>
      <c r="J24" s="36" t="s">
        <v>107</v>
      </c>
      <c r="K24" s="36" t="s">
        <v>108</v>
      </c>
      <c r="L24" s="36" t="s">
        <v>6</v>
      </c>
      <c r="M24" s="36" t="s">
        <v>109</v>
      </c>
      <c r="N24" s="36"/>
      <c r="O24" s="36">
        <v>8</v>
      </c>
      <c r="P24" s="36">
        <v>8</v>
      </c>
      <c r="Q24" s="36">
        <v>0</v>
      </c>
      <c r="R24" s="36" t="s">
        <v>424</v>
      </c>
      <c r="S24" s="36"/>
      <c r="T24" s="36" t="s">
        <v>245</v>
      </c>
      <c r="U24" s="36" t="s">
        <v>245</v>
      </c>
      <c r="V24" s="36" t="s">
        <v>281</v>
      </c>
      <c r="W24" s="36"/>
    </row>
    <row r="25" spans="1:23" s="36" customFormat="1" x14ac:dyDescent="0.25">
      <c r="A25" s="65">
        <v>2016</v>
      </c>
      <c r="B25" s="36" t="s">
        <v>345</v>
      </c>
      <c r="C25" s="37">
        <v>18706</v>
      </c>
      <c r="D25" s="36">
        <v>27</v>
      </c>
      <c r="E25" s="66">
        <v>42557</v>
      </c>
      <c r="F25" s="36" t="s">
        <v>105</v>
      </c>
      <c r="G25" s="36" t="s">
        <v>47</v>
      </c>
      <c r="H25" s="36" t="s">
        <v>110</v>
      </c>
      <c r="I25" s="36" t="s">
        <v>60</v>
      </c>
      <c r="J25" s="36" t="s">
        <v>107</v>
      </c>
      <c r="K25" s="36" t="s">
        <v>108</v>
      </c>
      <c r="L25" s="36" t="s">
        <v>6</v>
      </c>
      <c r="M25" s="36" t="s">
        <v>109</v>
      </c>
      <c r="O25" s="36">
        <v>9</v>
      </c>
      <c r="P25" s="36">
        <v>9</v>
      </c>
      <c r="Q25" s="36">
        <v>0</v>
      </c>
      <c r="R25" s="36" t="s">
        <v>424</v>
      </c>
      <c r="T25" s="36" t="s">
        <v>247</v>
      </c>
      <c r="U25" s="36" t="s">
        <v>249</v>
      </c>
      <c r="V25" s="36" t="s">
        <v>260</v>
      </c>
    </row>
    <row r="26" spans="1:23" s="36" customFormat="1" x14ac:dyDescent="0.25">
      <c r="A26" s="65">
        <v>2016</v>
      </c>
      <c r="B26" s="36" t="s">
        <v>346</v>
      </c>
      <c r="C26" s="37">
        <v>18707</v>
      </c>
      <c r="D26" s="36">
        <v>27</v>
      </c>
      <c r="E26" s="66">
        <v>42557</v>
      </c>
      <c r="F26" s="36" t="s">
        <v>105</v>
      </c>
      <c r="G26" s="36" t="s">
        <v>47</v>
      </c>
      <c r="H26" s="36" t="s">
        <v>110</v>
      </c>
      <c r="I26" s="36" t="s">
        <v>60</v>
      </c>
      <c r="J26" s="36" t="s">
        <v>107</v>
      </c>
      <c r="K26" s="36" t="s">
        <v>108</v>
      </c>
      <c r="L26" s="36" t="s">
        <v>5</v>
      </c>
      <c r="M26" s="36" t="s">
        <v>109</v>
      </c>
      <c r="O26" s="36">
        <v>12</v>
      </c>
      <c r="P26" s="36">
        <v>12</v>
      </c>
      <c r="Q26" s="36">
        <v>0</v>
      </c>
      <c r="R26" s="36" t="s">
        <v>424</v>
      </c>
      <c r="T26" s="36" t="s">
        <v>248</v>
      </c>
      <c r="U26" s="36" t="s">
        <v>254</v>
      </c>
      <c r="V26" s="36" t="s">
        <v>418</v>
      </c>
    </row>
    <row r="27" spans="1:23" s="36" customFormat="1" x14ac:dyDescent="0.25">
      <c r="A27" s="39">
        <v>2016</v>
      </c>
      <c r="B27" s="37" t="s">
        <v>347</v>
      </c>
      <c r="C27" s="37">
        <v>18708</v>
      </c>
      <c r="D27" s="37">
        <v>27</v>
      </c>
      <c r="E27" s="38">
        <v>42557</v>
      </c>
      <c r="F27" s="37" t="s">
        <v>105</v>
      </c>
      <c r="G27" s="37" t="s">
        <v>9</v>
      </c>
      <c r="H27" s="37" t="s">
        <v>141</v>
      </c>
      <c r="I27" s="37" t="s">
        <v>9</v>
      </c>
      <c r="J27" s="37" t="s">
        <v>107</v>
      </c>
      <c r="K27" s="37" t="s">
        <v>108</v>
      </c>
      <c r="L27" s="37" t="s">
        <v>6</v>
      </c>
      <c r="M27" s="37" t="s">
        <v>109</v>
      </c>
      <c r="N27" s="37"/>
      <c r="O27" s="37">
        <v>26</v>
      </c>
      <c r="P27" s="37">
        <v>26</v>
      </c>
      <c r="Q27" s="37">
        <v>0</v>
      </c>
      <c r="R27" s="37" t="s">
        <v>424</v>
      </c>
      <c r="S27" s="37"/>
      <c r="T27" s="37" t="s">
        <v>245</v>
      </c>
      <c r="U27" s="37" t="s">
        <v>245</v>
      </c>
      <c r="V27" s="37" t="s">
        <v>296</v>
      </c>
      <c r="W27" s="37"/>
    </row>
    <row r="28" spans="1:23" s="36" customFormat="1" x14ac:dyDescent="0.25">
      <c r="A28" s="39">
        <v>2016</v>
      </c>
      <c r="B28" s="37" t="s">
        <v>348</v>
      </c>
      <c r="C28" s="37">
        <v>18709</v>
      </c>
      <c r="D28" s="37">
        <v>27</v>
      </c>
      <c r="E28" s="38">
        <v>42557</v>
      </c>
      <c r="F28" s="37" t="s">
        <v>105</v>
      </c>
      <c r="G28" s="37" t="s">
        <v>9</v>
      </c>
      <c r="H28" s="37" t="s">
        <v>141</v>
      </c>
      <c r="I28" s="37" t="s">
        <v>9</v>
      </c>
      <c r="J28" s="37" t="s">
        <v>107</v>
      </c>
      <c r="K28" s="37" t="s">
        <v>108</v>
      </c>
      <c r="L28" s="37" t="s">
        <v>5</v>
      </c>
      <c r="M28" s="37" t="s">
        <v>109</v>
      </c>
      <c r="N28" s="37"/>
      <c r="O28" s="37">
        <v>5</v>
      </c>
      <c r="P28" s="37">
        <v>5</v>
      </c>
      <c r="Q28" s="37">
        <v>0</v>
      </c>
      <c r="R28" s="37" t="s">
        <v>424</v>
      </c>
      <c r="S28" s="37"/>
      <c r="T28" s="37" t="s">
        <v>246</v>
      </c>
      <c r="U28" s="37" t="s">
        <v>246</v>
      </c>
      <c r="V28" s="37" t="s">
        <v>414</v>
      </c>
      <c r="W28" s="37"/>
    </row>
    <row r="29" spans="1:23" s="36" customFormat="1" x14ac:dyDescent="0.25">
      <c r="A29" s="65">
        <v>2016</v>
      </c>
      <c r="B29" s="36" t="s">
        <v>349</v>
      </c>
      <c r="C29" s="37">
        <v>18710</v>
      </c>
      <c r="D29" s="36">
        <v>27</v>
      </c>
      <c r="E29" s="66">
        <v>42557</v>
      </c>
      <c r="F29" s="36" t="s">
        <v>105</v>
      </c>
      <c r="G29" s="36" t="s">
        <v>47</v>
      </c>
      <c r="H29" s="36" t="s">
        <v>121</v>
      </c>
      <c r="I29" s="36" t="s">
        <v>61</v>
      </c>
      <c r="J29" s="36" t="s">
        <v>107</v>
      </c>
      <c r="K29" s="36" t="s">
        <v>108</v>
      </c>
      <c r="L29" s="36" t="s">
        <v>6</v>
      </c>
      <c r="M29" s="36" t="s">
        <v>109</v>
      </c>
      <c r="O29" s="36">
        <v>6</v>
      </c>
      <c r="P29" s="36">
        <v>6</v>
      </c>
      <c r="Q29" s="36">
        <v>0</v>
      </c>
      <c r="R29" s="36" t="s">
        <v>424</v>
      </c>
      <c r="T29" s="36" t="s">
        <v>247</v>
      </c>
      <c r="U29" s="36" t="s">
        <v>250</v>
      </c>
      <c r="V29" s="36" t="s">
        <v>272</v>
      </c>
      <c r="W29" s="36">
        <f>SUM(P29:P45)</f>
        <v>323</v>
      </c>
    </row>
    <row r="30" spans="1:23" s="36" customFormat="1" x14ac:dyDescent="0.25">
      <c r="A30" s="65">
        <v>2016</v>
      </c>
      <c r="B30" s="36" t="s">
        <v>350</v>
      </c>
      <c r="C30" s="37">
        <v>18711</v>
      </c>
      <c r="D30" s="36">
        <v>27</v>
      </c>
      <c r="E30" s="66">
        <v>42557</v>
      </c>
      <c r="F30" s="36" t="s">
        <v>105</v>
      </c>
      <c r="G30" s="36" t="s">
        <v>47</v>
      </c>
      <c r="H30" s="36" t="s">
        <v>121</v>
      </c>
      <c r="I30" s="36" t="s">
        <v>61</v>
      </c>
      <c r="J30" s="36" t="s">
        <v>107</v>
      </c>
      <c r="K30" s="36" t="s">
        <v>108</v>
      </c>
      <c r="L30" s="36" t="s">
        <v>5</v>
      </c>
      <c r="M30" s="36" t="s">
        <v>109</v>
      </c>
      <c r="O30" s="36">
        <v>5</v>
      </c>
      <c r="P30" s="36">
        <v>5</v>
      </c>
      <c r="Q30" s="36">
        <v>0</v>
      </c>
      <c r="R30" s="36" t="s">
        <v>424</v>
      </c>
      <c r="T30" s="36" t="s">
        <v>248</v>
      </c>
      <c r="U30" s="36" t="s">
        <v>251</v>
      </c>
      <c r="V30" s="36" t="s">
        <v>273</v>
      </c>
    </row>
    <row r="31" spans="1:23" s="36" customFormat="1" x14ac:dyDescent="0.25">
      <c r="A31" s="65">
        <v>2016</v>
      </c>
      <c r="B31" s="36" t="s">
        <v>351</v>
      </c>
      <c r="C31" s="37">
        <v>18712</v>
      </c>
      <c r="D31" s="36">
        <v>27</v>
      </c>
      <c r="E31" s="66">
        <v>42557</v>
      </c>
      <c r="F31" s="36" t="s">
        <v>105</v>
      </c>
      <c r="G31" s="36" t="s">
        <v>47</v>
      </c>
      <c r="H31" s="36" t="s">
        <v>124</v>
      </c>
      <c r="I31" s="36" t="s">
        <v>61</v>
      </c>
      <c r="J31" s="36" t="s">
        <v>107</v>
      </c>
      <c r="K31" s="36" t="s">
        <v>108</v>
      </c>
      <c r="L31" s="36" t="s">
        <v>6</v>
      </c>
      <c r="M31" s="36" t="s">
        <v>109</v>
      </c>
      <c r="O31" s="36">
        <v>2</v>
      </c>
      <c r="P31" s="36">
        <v>2</v>
      </c>
      <c r="Q31" s="36">
        <v>0</v>
      </c>
      <c r="R31" s="36" t="s">
        <v>424</v>
      </c>
      <c r="T31" s="36" t="s">
        <v>247</v>
      </c>
      <c r="U31" s="36" t="s">
        <v>250</v>
      </c>
      <c r="V31" s="36" t="s">
        <v>275</v>
      </c>
    </row>
    <row r="32" spans="1:23" s="36" customFormat="1" x14ac:dyDescent="0.25">
      <c r="A32" s="65">
        <v>2016</v>
      </c>
      <c r="B32" s="36" t="s">
        <v>352</v>
      </c>
      <c r="C32" s="37">
        <v>18713</v>
      </c>
      <c r="D32" s="36">
        <v>27</v>
      </c>
      <c r="E32" s="66">
        <v>42557</v>
      </c>
      <c r="F32" s="36" t="s">
        <v>105</v>
      </c>
      <c r="G32" s="36" t="s">
        <v>47</v>
      </c>
      <c r="H32" s="36" t="s">
        <v>124</v>
      </c>
      <c r="I32" s="36" t="s">
        <v>61</v>
      </c>
      <c r="J32" s="36" t="s">
        <v>107</v>
      </c>
      <c r="K32" s="36" t="s">
        <v>108</v>
      </c>
      <c r="L32" s="36" t="s">
        <v>5</v>
      </c>
      <c r="M32" s="36" t="s">
        <v>109</v>
      </c>
      <c r="O32" s="36">
        <v>5</v>
      </c>
      <c r="P32" s="36">
        <v>5</v>
      </c>
      <c r="Q32" s="36">
        <v>0</v>
      </c>
      <c r="R32" s="36" t="s">
        <v>424</v>
      </c>
      <c r="T32" s="36" t="s">
        <v>248</v>
      </c>
      <c r="U32" s="36" t="s">
        <v>251</v>
      </c>
      <c r="V32" s="36" t="s">
        <v>276</v>
      </c>
    </row>
    <row r="33" spans="1:23" s="36" customFormat="1" x14ac:dyDescent="0.25">
      <c r="A33" s="39">
        <v>2016</v>
      </c>
      <c r="B33" s="37" t="s">
        <v>353</v>
      </c>
      <c r="C33" s="37">
        <v>18714</v>
      </c>
      <c r="D33" s="37">
        <v>27</v>
      </c>
      <c r="E33" s="38">
        <v>42557</v>
      </c>
      <c r="F33" s="37" t="s">
        <v>105</v>
      </c>
      <c r="G33" s="37" t="s">
        <v>47</v>
      </c>
      <c r="H33" s="37" t="s">
        <v>123</v>
      </c>
      <c r="I33" s="37" t="s">
        <v>61</v>
      </c>
      <c r="J33" s="37" t="s">
        <v>112</v>
      </c>
      <c r="K33" s="37" t="s">
        <v>108</v>
      </c>
      <c r="L33" s="37" t="s">
        <v>5</v>
      </c>
      <c r="M33" s="37" t="s">
        <v>109</v>
      </c>
      <c r="N33" s="37">
        <v>7</v>
      </c>
      <c r="O33" s="37"/>
      <c r="P33" s="37">
        <v>7</v>
      </c>
      <c r="Q33" s="37">
        <v>0</v>
      </c>
      <c r="R33" s="37" t="s">
        <v>424</v>
      </c>
      <c r="S33" s="37"/>
      <c r="T33" s="37" t="s">
        <v>248</v>
      </c>
      <c r="U33" s="37" t="s">
        <v>251</v>
      </c>
      <c r="V33" s="37" t="s">
        <v>274</v>
      </c>
      <c r="W33" s="37"/>
    </row>
    <row r="34" spans="1:23" s="36" customFormat="1" x14ac:dyDescent="0.25">
      <c r="A34" s="39">
        <v>2016</v>
      </c>
      <c r="B34" s="37" t="s">
        <v>354</v>
      </c>
      <c r="C34" s="37">
        <v>18715</v>
      </c>
      <c r="D34" s="37">
        <v>27</v>
      </c>
      <c r="E34" s="38">
        <v>42557</v>
      </c>
      <c r="F34" s="37" t="s">
        <v>105</v>
      </c>
      <c r="G34" s="37" t="s">
        <v>47</v>
      </c>
      <c r="H34" s="37" t="s">
        <v>111</v>
      </c>
      <c r="I34" s="37" t="s">
        <v>61</v>
      </c>
      <c r="J34" s="37" t="s">
        <v>112</v>
      </c>
      <c r="K34" s="37" t="s">
        <v>108</v>
      </c>
      <c r="L34" s="37" t="s">
        <v>5</v>
      </c>
      <c r="M34" s="37" t="s">
        <v>109</v>
      </c>
      <c r="N34" s="37">
        <v>16</v>
      </c>
      <c r="O34" s="37"/>
      <c r="P34" s="37">
        <v>16</v>
      </c>
      <c r="Q34" s="37">
        <v>0</v>
      </c>
      <c r="R34" s="37" t="s">
        <v>424</v>
      </c>
      <c r="S34" s="37"/>
      <c r="T34" s="37" t="s">
        <v>248</v>
      </c>
      <c r="U34" s="37" t="s">
        <v>251</v>
      </c>
      <c r="V34" s="37" t="s">
        <v>262</v>
      </c>
      <c r="W34" s="68"/>
    </row>
    <row r="35" spans="1:23" s="36" customFormat="1" x14ac:dyDescent="0.25">
      <c r="A35" s="65">
        <v>2016</v>
      </c>
      <c r="B35" s="36" t="s">
        <v>355</v>
      </c>
      <c r="C35" s="37">
        <v>18716</v>
      </c>
      <c r="D35" s="36">
        <v>27</v>
      </c>
      <c r="E35" s="66">
        <v>42557</v>
      </c>
      <c r="F35" s="36" t="s">
        <v>105</v>
      </c>
      <c r="G35" s="36" t="s">
        <v>47</v>
      </c>
      <c r="H35" s="36" t="s">
        <v>126</v>
      </c>
      <c r="I35" s="36" t="s">
        <v>61</v>
      </c>
      <c r="J35" s="36" t="s">
        <v>107</v>
      </c>
      <c r="K35" s="36" t="s">
        <v>108</v>
      </c>
      <c r="L35" s="36" t="s">
        <v>6</v>
      </c>
      <c r="M35" s="36" t="s">
        <v>109</v>
      </c>
      <c r="O35" s="36">
        <v>50</v>
      </c>
      <c r="P35" s="36">
        <v>50</v>
      </c>
      <c r="Q35" s="36">
        <v>0</v>
      </c>
      <c r="R35" s="36" t="s">
        <v>424</v>
      </c>
      <c r="T35" s="36" t="s">
        <v>247</v>
      </c>
      <c r="U35" s="36" t="s">
        <v>250</v>
      </c>
      <c r="V35" s="36" t="s">
        <v>261</v>
      </c>
    </row>
    <row r="36" spans="1:23" s="36" customFormat="1" x14ac:dyDescent="0.25">
      <c r="A36" s="65">
        <v>2016</v>
      </c>
      <c r="B36" s="36" t="s">
        <v>356</v>
      </c>
      <c r="C36" s="37">
        <v>18717</v>
      </c>
      <c r="D36" s="36">
        <v>27</v>
      </c>
      <c r="E36" s="66">
        <v>42557</v>
      </c>
      <c r="F36" s="36" t="s">
        <v>105</v>
      </c>
      <c r="G36" s="36" t="s">
        <v>47</v>
      </c>
      <c r="H36" s="36" t="s">
        <v>126</v>
      </c>
      <c r="I36" s="36" t="s">
        <v>61</v>
      </c>
      <c r="J36" s="36" t="s">
        <v>107</v>
      </c>
      <c r="K36" s="36" t="s">
        <v>108</v>
      </c>
      <c r="L36" s="36" t="s">
        <v>6</v>
      </c>
      <c r="M36" s="36" t="s">
        <v>109</v>
      </c>
      <c r="O36" s="36">
        <v>13</v>
      </c>
      <c r="P36" s="36">
        <v>13</v>
      </c>
      <c r="Q36" s="36">
        <v>0</v>
      </c>
      <c r="R36" s="36" t="s">
        <v>424</v>
      </c>
      <c r="T36" s="36" t="s">
        <v>247</v>
      </c>
      <c r="U36" s="36" t="s">
        <v>250</v>
      </c>
      <c r="V36" s="36" t="s">
        <v>261</v>
      </c>
    </row>
    <row r="37" spans="1:23" s="36" customFormat="1" x14ac:dyDescent="0.25">
      <c r="A37" s="65">
        <v>2016</v>
      </c>
      <c r="B37" s="36" t="s">
        <v>357</v>
      </c>
      <c r="C37" s="37">
        <v>18718</v>
      </c>
      <c r="D37" s="36">
        <v>27</v>
      </c>
      <c r="E37" s="66">
        <v>42557</v>
      </c>
      <c r="F37" s="36" t="s">
        <v>105</v>
      </c>
      <c r="G37" s="36" t="s">
        <v>47</v>
      </c>
      <c r="H37" s="36" t="s">
        <v>126</v>
      </c>
      <c r="I37" s="36" t="s">
        <v>61</v>
      </c>
      <c r="J37" s="36" t="s">
        <v>107</v>
      </c>
      <c r="K37" s="36" t="s">
        <v>108</v>
      </c>
      <c r="L37" s="36" t="s">
        <v>5</v>
      </c>
      <c r="M37" s="36" t="s">
        <v>109</v>
      </c>
      <c r="O37" s="36">
        <v>28</v>
      </c>
      <c r="P37" s="36">
        <v>28</v>
      </c>
      <c r="Q37" s="36">
        <v>0</v>
      </c>
      <c r="R37" s="36" t="s">
        <v>424</v>
      </c>
      <c r="T37" s="36" t="s">
        <v>248</v>
      </c>
      <c r="U37" s="36" t="s">
        <v>251</v>
      </c>
      <c r="V37" s="36" t="s">
        <v>262</v>
      </c>
    </row>
    <row r="38" spans="1:23" s="36" customFormat="1" x14ac:dyDescent="0.25">
      <c r="A38" s="77">
        <v>2016</v>
      </c>
      <c r="B38" s="78" t="s">
        <v>358</v>
      </c>
      <c r="C38" s="37">
        <v>18719</v>
      </c>
      <c r="D38" s="78">
        <v>27</v>
      </c>
      <c r="E38" s="79">
        <v>42558</v>
      </c>
      <c r="F38" s="78" t="s">
        <v>105</v>
      </c>
      <c r="G38" s="78" t="s">
        <v>47</v>
      </c>
      <c r="H38" s="78" t="s">
        <v>131</v>
      </c>
      <c r="I38" s="78" t="s">
        <v>62</v>
      </c>
      <c r="J38" s="78" t="s">
        <v>107</v>
      </c>
      <c r="K38" s="78" t="s">
        <v>108</v>
      </c>
      <c r="L38" s="78" t="s">
        <v>6</v>
      </c>
      <c r="M38" s="78" t="s">
        <v>109</v>
      </c>
      <c r="N38" s="78"/>
      <c r="O38" s="78">
        <v>41</v>
      </c>
      <c r="P38" s="78">
        <v>41</v>
      </c>
      <c r="Q38" s="78">
        <v>0</v>
      </c>
      <c r="R38" s="78" t="s">
        <v>424</v>
      </c>
      <c r="S38" s="78"/>
      <c r="T38" s="78" t="s">
        <v>247</v>
      </c>
      <c r="U38" s="78" t="s">
        <v>252</v>
      </c>
      <c r="V38" s="78" t="s">
        <v>284</v>
      </c>
      <c r="W38" s="78"/>
    </row>
    <row r="39" spans="1:23" s="36" customFormat="1" x14ac:dyDescent="0.25">
      <c r="A39" s="77">
        <v>2016</v>
      </c>
      <c r="B39" s="78" t="s">
        <v>359</v>
      </c>
      <c r="C39" s="37">
        <v>18720</v>
      </c>
      <c r="D39" s="78">
        <v>27</v>
      </c>
      <c r="E39" s="79">
        <v>42558</v>
      </c>
      <c r="F39" s="78" t="s">
        <v>105</v>
      </c>
      <c r="G39" s="78" t="s">
        <v>47</v>
      </c>
      <c r="H39" s="78" t="s">
        <v>132</v>
      </c>
      <c r="I39" s="78" t="s">
        <v>62</v>
      </c>
      <c r="J39" s="78" t="s">
        <v>107</v>
      </c>
      <c r="K39" s="78" t="s">
        <v>108</v>
      </c>
      <c r="L39" s="78" t="s">
        <v>6</v>
      </c>
      <c r="M39" s="78" t="s">
        <v>109</v>
      </c>
      <c r="N39" s="78"/>
      <c r="O39" s="78">
        <v>50</v>
      </c>
      <c r="P39" s="78">
        <v>50</v>
      </c>
      <c r="Q39" s="78">
        <v>0</v>
      </c>
      <c r="R39" s="78" t="s">
        <v>424</v>
      </c>
      <c r="S39" s="78"/>
      <c r="T39" s="78" t="s">
        <v>247</v>
      </c>
      <c r="U39" s="78" t="s">
        <v>252</v>
      </c>
      <c r="V39" s="78" t="s">
        <v>285</v>
      </c>
      <c r="W39" s="78"/>
    </row>
    <row r="40" spans="1:23" s="36" customFormat="1" x14ac:dyDescent="0.25">
      <c r="A40" s="77">
        <v>2016</v>
      </c>
      <c r="B40" s="78" t="s">
        <v>360</v>
      </c>
      <c r="C40" s="37">
        <v>18721</v>
      </c>
      <c r="D40" s="78">
        <v>27</v>
      </c>
      <c r="E40" s="79">
        <v>42558</v>
      </c>
      <c r="F40" s="78" t="s">
        <v>105</v>
      </c>
      <c r="G40" s="78" t="s">
        <v>47</v>
      </c>
      <c r="H40" s="78" t="s">
        <v>132</v>
      </c>
      <c r="I40" s="78" t="s">
        <v>62</v>
      </c>
      <c r="J40" s="78" t="s">
        <v>107</v>
      </c>
      <c r="K40" s="78" t="s">
        <v>108</v>
      </c>
      <c r="L40" s="78" t="s">
        <v>6</v>
      </c>
      <c r="M40" s="78" t="s">
        <v>109</v>
      </c>
      <c r="N40" s="78"/>
      <c r="O40" s="78">
        <v>50</v>
      </c>
      <c r="P40" s="78">
        <v>50</v>
      </c>
      <c r="Q40" s="78">
        <v>0</v>
      </c>
      <c r="R40" s="78" t="s">
        <v>424</v>
      </c>
      <c r="S40" s="78"/>
      <c r="T40" s="78" t="s">
        <v>247</v>
      </c>
      <c r="U40" s="78" t="s">
        <v>252</v>
      </c>
      <c r="V40" s="78" t="s">
        <v>285</v>
      </c>
      <c r="W40" s="78"/>
    </row>
    <row r="41" spans="1:23" s="36" customFormat="1" x14ac:dyDescent="0.25">
      <c r="A41" s="77">
        <v>2016</v>
      </c>
      <c r="B41" s="78" t="s">
        <v>361</v>
      </c>
      <c r="C41" s="37">
        <v>18722</v>
      </c>
      <c r="D41" s="78">
        <v>27</v>
      </c>
      <c r="E41" s="79">
        <v>42558</v>
      </c>
      <c r="F41" s="78" t="s">
        <v>105</v>
      </c>
      <c r="G41" s="78" t="s">
        <v>47</v>
      </c>
      <c r="H41" s="78" t="s">
        <v>132</v>
      </c>
      <c r="I41" s="78" t="s">
        <v>62</v>
      </c>
      <c r="J41" s="78" t="s">
        <v>107</v>
      </c>
      <c r="K41" s="78" t="s">
        <v>108</v>
      </c>
      <c r="L41" s="78" t="s">
        <v>6</v>
      </c>
      <c r="M41" s="78" t="s">
        <v>109</v>
      </c>
      <c r="N41" s="78"/>
      <c r="O41" s="78">
        <v>15</v>
      </c>
      <c r="P41" s="78">
        <v>15</v>
      </c>
      <c r="Q41" s="78">
        <v>0</v>
      </c>
      <c r="R41" s="78" t="s">
        <v>424</v>
      </c>
      <c r="S41" s="78"/>
      <c r="T41" s="78" t="s">
        <v>247</v>
      </c>
      <c r="U41" s="78" t="s">
        <v>252</v>
      </c>
      <c r="V41" s="78" t="s">
        <v>285</v>
      </c>
      <c r="W41" s="78"/>
    </row>
    <row r="42" spans="1:23" s="36" customFormat="1" x14ac:dyDescent="0.25">
      <c r="A42" s="77">
        <v>2016</v>
      </c>
      <c r="B42" s="78" t="s">
        <v>362</v>
      </c>
      <c r="C42" s="37">
        <v>18723</v>
      </c>
      <c r="D42" s="78">
        <v>27</v>
      </c>
      <c r="E42" s="79">
        <v>42558</v>
      </c>
      <c r="F42" s="78" t="s">
        <v>105</v>
      </c>
      <c r="G42" s="78" t="s">
        <v>47</v>
      </c>
      <c r="H42" s="78" t="s">
        <v>132</v>
      </c>
      <c r="I42" s="78" t="s">
        <v>62</v>
      </c>
      <c r="J42" s="78" t="s">
        <v>107</v>
      </c>
      <c r="K42" s="78" t="s">
        <v>108</v>
      </c>
      <c r="L42" s="78" t="s">
        <v>5</v>
      </c>
      <c r="M42" s="78" t="s">
        <v>109</v>
      </c>
      <c r="N42" s="78"/>
      <c r="O42" s="78">
        <v>1</v>
      </c>
      <c r="P42" s="78">
        <v>1</v>
      </c>
      <c r="Q42" s="78">
        <v>0</v>
      </c>
      <c r="R42" s="78" t="s">
        <v>424</v>
      </c>
      <c r="S42" s="78"/>
      <c r="T42" s="78" t="s">
        <v>248</v>
      </c>
      <c r="U42" s="78" t="s">
        <v>253</v>
      </c>
      <c r="V42" s="78" t="s">
        <v>419</v>
      </c>
      <c r="W42" s="78"/>
    </row>
    <row r="43" spans="1:23" s="36" customFormat="1" x14ac:dyDescent="0.25">
      <c r="A43" s="80">
        <v>2016</v>
      </c>
      <c r="B43" s="81" t="s">
        <v>363</v>
      </c>
      <c r="C43" s="37">
        <v>18724</v>
      </c>
      <c r="D43" s="81">
        <v>27</v>
      </c>
      <c r="E43" s="82">
        <v>42558</v>
      </c>
      <c r="F43" s="81" t="s">
        <v>105</v>
      </c>
      <c r="G43" s="81" t="s">
        <v>47</v>
      </c>
      <c r="H43" s="81" t="s">
        <v>132</v>
      </c>
      <c r="I43" s="81" t="s">
        <v>62</v>
      </c>
      <c r="J43" s="81" t="s">
        <v>107</v>
      </c>
      <c r="K43" s="81" t="s">
        <v>108</v>
      </c>
      <c r="L43" s="81" t="s">
        <v>5</v>
      </c>
      <c r="M43" s="81" t="s">
        <v>109</v>
      </c>
      <c r="N43" s="81"/>
      <c r="O43" s="81">
        <v>30</v>
      </c>
      <c r="P43" s="81">
        <v>30</v>
      </c>
      <c r="Q43" s="81">
        <v>1</v>
      </c>
      <c r="R43" s="81" t="s">
        <v>423</v>
      </c>
      <c r="S43" s="81" t="s">
        <v>425</v>
      </c>
      <c r="T43" s="81" t="s">
        <v>248</v>
      </c>
      <c r="U43" s="81" t="s">
        <v>253</v>
      </c>
      <c r="V43" s="81" t="s">
        <v>419</v>
      </c>
      <c r="W43" s="78"/>
    </row>
    <row r="44" spans="1:23" s="36" customFormat="1" x14ac:dyDescent="0.25">
      <c r="A44" s="65">
        <v>2016</v>
      </c>
      <c r="B44" s="36" t="s">
        <v>364</v>
      </c>
      <c r="C44" s="37">
        <v>18725</v>
      </c>
      <c r="D44" s="36">
        <v>27</v>
      </c>
      <c r="E44" s="66">
        <v>42558</v>
      </c>
      <c r="F44" s="36" t="s">
        <v>105</v>
      </c>
      <c r="G44" s="36" t="s">
        <v>47</v>
      </c>
      <c r="H44" s="36" t="s">
        <v>142</v>
      </c>
      <c r="I44" s="36" t="s">
        <v>60</v>
      </c>
      <c r="J44" s="36" t="s">
        <v>107</v>
      </c>
      <c r="K44" s="36" t="s">
        <v>108</v>
      </c>
      <c r="L44" s="36" t="s">
        <v>6</v>
      </c>
      <c r="M44" s="36" t="s">
        <v>109</v>
      </c>
      <c r="O44" s="36">
        <v>3</v>
      </c>
      <c r="P44" s="36">
        <v>3</v>
      </c>
      <c r="Q44" s="36">
        <v>0</v>
      </c>
      <c r="R44" s="36" t="s">
        <v>424</v>
      </c>
      <c r="T44" s="36" t="s">
        <v>247</v>
      </c>
      <c r="U44" s="36" t="s">
        <v>249</v>
      </c>
      <c r="V44" s="36" t="s">
        <v>297</v>
      </c>
    </row>
    <row r="45" spans="1:23" s="36" customFormat="1" x14ac:dyDescent="0.25">
      <c r="A45" s="65">
        <v>2016</v>
      </c>
      <c r="B45" s="36" t="s">
        <v>365</v>
      </c>
      <c r="C45" s="37">
        <v>18726</v>
      </c>
      <c r="D45" s="36">
        <v>27</v>
      </c>
      <c r="E45" s="66">
        <v>42558</v>
      </c>
      <c r="F45" s="36" t="s">
        <v>105</v>
      </c>
      <c r="G45" s="36" t="s">
        <v>47</v>
      </c>
      <c r="H45" s="36" t="s">
        <v>142</v>
      </c>
      <c r="I45" s="36" t="s">
        <v>60</v>
      </c>
      <c r="J45" s="36" t="s">
        <v>107</v>
      </c>
      <c r="K45" s="36" t="s">
        <v>108</v>
      </c>
      <c r="L45" s="36" t="s">
        <v>5</v>
      </c>
      <c r="M45" s="36" t="s">
        <v>109</v>
      </c>
      <c r="O45" s="36">
        <v>1</v>
      </c>
      <c r="P45" s="36">
        <v>1</v>
      </c>
      <c r="Q45" s="36">
        <v>0</v>
      </c>
      <c r="R45" s="36" t="s">
        <v>424</v>
      </c>
      <c r="T45" s="36" t="s">
        <v>248</v>
      </c>
      <c r="U45" s="36" t="s">
        <v>254</v>
      </c>
      <c r="V45" s="36" t="s">
        <v>298</v>
      </c>
    </row>
    <row r="46" spans="1:23" s="36" customFormat="1" x14ac:dyDescent="0.25">
      <c r="A46" s="65">
        <v>2016</v>
      </c>
      <c r="B46" s="36" t="s">
        <v>366</v>
      </c>
      <c r="C46" s="37">
        <v>18727</v>
      </c>
      <c r="D46" s="36">
        <v>27</v>
      </c>
      <c r="E46" s="66">
        <v>42558</v>
      </c>
      <c r="F46" s="36" t="s">
        <v>105</v>
      </c>
      <c r="G46" s="36" t="s">
        <v>47</v>
      </c>
      <c r="H46" s="36" t="s">
        <v>145</v>
      </c>
      <c r="I46" s="36" t="s">
        <v>60</v>
      </c>
      <c r="J46" s="36" t="s">
        <v>107</v>
      </c>
      <c r="K46" s="36" t="s">
        <v>108</v>
      </c>
      <c r="L46" s="36" t="s">
        <v>6</v>
      </c>
      <c r="M46" s="36" t="s">
        <v>109</v>
      </c>
      <c r="O46" s="36">
        <v>9</v>
      </c>
      <c r="P46" s="36">
        <v>9</v>
      </c>
      <c r="Q46" s="36">
        <v>0</v>
      </c>
      <c r="R46" s="36" t="s">
        <v>424</v>
      </c>
      <c r="T46" s="36" t="s">
        <v>247</v>
      </c>
      <c r="U46" s="36" t="s">
        <v>249</v>
      </c>
      <c r="V46" s="36" t="s">
        <v>302</v>
      </c>
    </row>
    <row r="47" spans="1:23" s="36" customFormat="1" x14ac:dyDescent="0.25">
      <c r="A47" s="65">
        <v>2016</v>
      </c>
      <c r="B47" s="36" t="s">
        <v>367</v>
      </c>
      <c r="C47" s="37">
        <v>18728</v>
      </c>
      <c r="D47" s="36">
        <v>27</v>
      </c>
      <c r="E47" s="66">
        <v>42558</v>
      </c>
      <c r="F47" s="36" t="s">
        <v>105</v>
      </c>
      <c r="G47" s="36" t="s">
        <v>47</v>
      </c>
      <c r="H47" s="36" t="s">
        <v>145</v>
      </c>
      <c r="I47" s="36" t="s">
        <v>60</v>
      </c>
      <c r="J47" s="36" t="s">
        <v>107</v>
      </c>
      <c r="K47" s="36" t="s">
        <v>108</v>
      </c>
      <c r="L47" s="36" t="s">
        <v>5</v>
      </c>
      <c r="M47" s="36" t="s">
        <v>109</v>
      </c>
      <c r="O47" s="36">
        <v>5</v>
      </c>
      <c r="P47" s="36">
        <v>5</v>
      </c>
      <c r="Q47" s="36">
        <v>0</v>
      </c>
      <c r="R47" s="36" t="s">
        <v>424</v>
      </c>
      <c r="T47" s="36" t="s">
        <v>248</v>
      </c>
      <c r="U47" s="36" t="s">
        <v>254</v>
      </c>
      <c r="V47" s="36" t="s">
        <v>303</v>
      </c>
    </row>
    <row r="48" spans="1:23" s="36" customFormat="1" x14ac:dyDescent="0.25">
      <c r="A48" s="39">
        <v>2016</v>
      </c>
      <c r="B48" s="37" t="s">
        <v>368</v>
      </c>
      <c r="C48" s="37">
        <v>18729</v>
      </c>
      <c r="D48" s="37">
        <v>27</v>
      </c>
      <c r="E48" s="38">
        <v>42558</v>
      </c>
      <c r="F48" s="37" t="s">
        <v>105</v>
      </c>
      <c r="G48" s="37" t="s">
        <v>47</v>
      </c>
      <c r="H48" s="37" t="s">
        <v>143</v>
      </c>
      <c r="I48" s="37" t="s">
        <v>60</v>
      </c>
      <c r="J48" s="37" t="s">
        <v>107</v>
      </c>
      <c r="K48" s="37" t="s">
        <v>108</v>
      </c>
      <c r="L48" s="37" t="s">
        <v>6</v>
      </c>
      <c r="M48" s="37" t="s">
        <v>109</v>
      </c>
      <c r="N48" s="37"/>
      <c r="O48" s="37">
        <v>5</v>
      </c>
      <c r="P48" s="37">
        <v>5</v>
      </c>
      <c r="Q48" s="37">
        <v>0</v>
      </c>
      <c r="R48" s="37" t="s">
        <v>424</v>
      </c>
      <c r="S48" s="37"/>
      <c r="T48" s="37" t="s">
        <v>247</v>
      </c>
      <c r="U48" s="37" t="s">
        <v>249</v>
      </c>
      <c r="V48" s="37" t="s">
        <v>299</v>
      </c>
      <c r="W48" s="37"/>
    </row>
    <row r="49" spans="1:26" s="36" customFormat="1" x14ac:dyDescent="0.25">
      <c r="A49" s="39">
        <v>2016</v>
      </c>
      <c r="B49" s="37" t="s">
        <v>369</v>
      </c>
      <c r="C49" s="37">
        <v>18730</v>
      </c>
      <c r="D49" s="37">
        <v>27</v>
      </c>
      <c r="E49" s="38">
        <v>42558</v>
      </c>
      <c r="F49" s="37" t="s">
        <v>105</v>
      </c>
      <c r="G49" s="37" t="s">
        <v>47</v>
      </c>
      <c r="H49" s="37" t="s">
        <v>143</v>
      </c>
      <c r="I49" s="37" t="s">
        <v>60</v>
      </c>
      <c r="J49" s="37" t="s">
        <v>107</v>
      </c>
      <c r="K49" s="37" t="s">
        <v>108</v>
      </c>
      <c r="L49" s="37" t="s">
        <v>5</v>
      </c>
      <c r="M49" s="37" t="s">
        <v>109</v>
      </c>
      <c r="N49" s="37"/>
      <c r="O49" s="37">
        <v>10</v>
      </c>
      <c r="P49" s="37">
        <v>10</v>
      </c>
      <c r="Q49" s="37">
        <v>0</v>
      </c>
      <c r="R49" s="37" t="s">
        <v>424</v>
      </c>
      <c r="S49" s="37"/>
      <c r="T49" s="37" t="s">
        <v>248</v>
      </c>
      <c r="U49" s="37" t="s">
        <v>254</v>
      </c>
      <c r="V49" s="37" t="s">
        <v>300</v>
      </c>
      <c r="W49" s="37"/>
    </row>
    <row r="50" spans="1:26" s="36" customFormat="1" x14ac:dyDescent="0.25">
      <c r="A50" s="65">
        <v>2016</v>
      </c>
      <c r="B50" s="36" t="s">
        <v>370</v>
      </c>
      <c r="C50" s="37">
        <v>18731</v>
      </c>
      <c r="D50" s="36">
        <v>27</v>
      </c>
      <c r="E50" s="66">
        <v>42558</v>
      </c>
      <c r="F50" s="36" t="s">
        <v>105</v>
      </c>
      <c r="G50" s="36" t="s">
        <v>47</v>
      </c>
      <c r="H50" s="36" t="s">
        <v>146</v>
      </c>
      <c r="I50" s="36" t="s">
        <v>60</v>
      </c>
      <c r="J50" s="36" t="s">
        <v>107</v>
      </c>
      <c r="K50" s="36" t="s">
        <v>108</v>
      </c>
      <c r="L50" s="36" t="s">
        <v>6</v>
      </c>
      <c r="M50" s="36" t="s">
        <v>109</v>
      </c>
      <c r="O50" s="36">
        <v>10</v>
      </c>
      <c r="P50" s="36">
        <v>10</v>
      </c>
      <c r="Q50" s="36">
        <v>0</v>
      </c>
      <c r="R50" s="36" t="s">
        <v>424</v>
      </c>
      <c r="T50" s="36" t="s">
        <v>247</v>
      </c>
      <c r="U50" s="36" t="s">
        <v>249</v>
      </c>
      <c r="V50" s="36" t="s">
        <v>304</v>
      </c>
    </row>
    <row r="51" spans="1:26" s="36" customFormat="1" x14ac:dyDescent="0.25">
      <c r="A51" s="65">
        <v>2016</v>
      </c>
      <c r="B51" s="36" t="s">
        <v>371</v>
      </c>
      <c r="C51" s="37">
        <v>18732</v>
      </c>
      <c r="D51" s="36">
        <v>27</v>
      </c>
      <c r="E51" s="66">
        <v>42558</v>
      </c>
      <c r="F51" s="36" t="s">
        <v>105</v>
      </c>
      <c r="G51" s="36" t="s">
        <v>47</v>
      </c>
      <c r="H51" s="36" t="s">
        <v>146</v>
      </c>
      <c r="I51" s="36" t="s">
        <v>60</v>
      </c>
      <c r="J51" s="36" t="s">
        <v>107</v>
      </c>
      <c r="K51" s="36" t="s">
        <v>108</v>
      </c>
      <c r="L51" s="36" t="s">
        <v>5</v>
      </c>
      <c r="M51" s="36" t="s">
        <v>109</v>
      </c>
      <c r="O51" s="36">
        <v>19</v>
      </c>
      <c r="P51" s="36">
        <v>19</v>
      </c>
      <c r="Q51" s="36">
        <v>0</v>
      </c>
      <c r="R51" s="36" t="s">
        <v>424</v>
      </c>
      <c r="T51" s="36" t="s">
        <v>248</v>
      </c>
      <c r="U51" s="36" t="s">
        <v>254</v>
      </c>
      <c r="V51" s="36" t="s">
        <v>305</v>
      </c>
    </row>
    <row r="52" spans="1:26" s="87" customFormat="1" x14ac:dyDescent="0.25">
      <c r="A52" s="77">
        <v>2016</v>
      </c>
      <c r="B52" s="78" t="s">
        <v>372</v>
      </c>
      <c r="C52" s="37">
        <v>18733</v>
      </c>
      <c r="D52" s="78">
        <v>27</v>
      </c>
      <c r="E52" s="79">
        <v>42558</v>
      </c>
      <c r="F52" s="78" t="s">
        <v>105</v>
      </c>
      <c r="G52" s="78" t="s">
        <v>47</v>
      </c>
      <c r="H52" s="78" t="s">
        <v>138</v>
      </c>
      <c r="I52" s="78" t="s">
        <v>62</v>
      </c>
      <c r="J52" s="78" t="s">
        <v>107</v>
      </c>
      <c r="K52" s="78" t="s">
        <v>108</v>
      </c>
      <c r="L52" s="78" t="s">
        <v>6</v>
      </c>
      <c r="M52" s="78" t="s">
        <v>109</v>
      </c>
      <c r="N52" s="78"/>
      <c r="O52" s="78">
        <v>50</v>
      </c>
      <c r="P52" s="78">
        <v>50</v>
      </c>
      <c r="Q52" s="78">
        <v>0</v>
      </c>
      <c r="R52" s="78" t="s">
        <v>424</v>
      </c>
      <c r="S52" s="78"/>
      <c r="T52" s="78" t="s">
        <v>247</v>
      </c>
      <c r="U52" s="78" t="s">
        <v>252</v>
      </c>
      <c r="V52" s="78" t="s">
        <v>293</v>
      </c>
      <c r="W52" s="78"/>
    </row>
    <row r="53" spans="1:26" s="87" customFormat="1" x14ac:dyDescent="0.25">
      <c r="A53" s="77">
        <v>2016</v>
      </c>
      <c r="B53" s="78" t="s">
        <v>373</v>
      </c>
      <c r="C53" s="37">
        <v>18734</v>
      </c>
      <c r="D53" s="78">
        <v>27</v>
      </c>
      <c r="E53" s="79">
        <v>42558</v>
      </c>
      <c r="F53" s="78" t="s">
        <v>105</v>
      </c>
      <c r="G53" s="78" t="s">
        <v>47</v>
      </c>
      <c r="H53" s="78" t="s">
        <v>138</v>
      </c>
      <c r="I53" s="78" t="s">
        <v>62</v>
      </c>
      <c r="J53" s="78" t="s">
        <v>107</v>
      </c>
      <c r="K53" s="78" t="s">
        <v>108</v>
      </c>
      <c r="L53" s="78" t="s">
        <v>6</v>
      </c>
      <c r="M53" s="78" t="s">
        <v>109</v>
      </c>
      <c r="N53" s="78"/>
      <c r="O53" s="78">
        <v>50</v>
      </c>
      <c r="P53" s="78">
        <v>50</v>
      </c>
      <c r="Q53" s="78">
        <v>0</v>
      </c>
      <c r="R53" s="78" t="s">
        <v>424</v>
      </c>
      <c r="S53" s="78"/>
      <c r="T53" s="78" t="s">
        <v>247</v>
      </c>
      <c r="U53" s="78" t="s">
        <v>252</v>
      </c>
      <c r="V53" s="78" t="s">
        <v>293</v>
      </c>
      <c r="W53" s="78"/>
    </row>
    <row r="54" spans="1:26" s="36" customFormat="1" x14ac:dyDescent="0.25">
      <c r="A54" s="77">
        <v>2016</v>
      </c>
      <c r="B54" s="78" t="s">
        <v>374</v>
      </c>
      <c r="C54" s="37">
        <v>18735</v>
      </c>
      <c r="D54" s="78">
        <v>27</v>
      </c>
      <c r="E54" s="79">
        <v>42558</v>
      </c>
      <c r="F54" s="78" t="s">
        <v>105</v>
      </c>
      <c r="G54" s="78" t="s">
        <v>47</v>
      </c>
      <c r="H54" s="78" t="s">
        <v>138</v>
      </c>
      <c r="I54" s="78" t="s">
        <v>62</v>
      </c>
      <c r="J54" s="78" t="s">
        <v>107</v>
      </c>
      <c r="K54" s="78" t="s">
        <v>108</v>
      </c>
      <c r="L54" s="78" t="s">
        <v>5</v>
      </c>
      <c r="M54" s="78" t="s">
        <v>109</v>
      </c>
      <c r="N54" s="78"/>
      <c r="O54" s="78">
        <v>5</v>
      </c>
      <c r="P54" s="78">
        <v>5</v>
      </c>
      <c r="Q54" s="78">
        <v>0</v>
      </c>
      <c r="R54" s="78" t="s">
        <v>424</v>
      </c>
      <c r="S54" s="78"/>
      <c r="T54" s="78" t="s">
        <v>248</v>
      </c>
      <c r="U54" s="78" t="s">
        <v>253</v>
      </c>
      <c r="V54" s="78" t="s">
        <v>421</v>
      </c>
      <c r="W54" s="78"/>
    </row>
    <row r="55" spans="1:26" s="36" customFormat="1" x14ac:dyDescent="0.25">
      <c r="A55" s="39">
        <v>2016</v>
      </c>
      <c r="B55" s="37" t="s">
        <v>375</v>
      </c>
      <c r="C55" s="37">
        <v>18736</v>
      </c>
      <c r="D55" s="37">
        <v>27</v>
      </c>
      <c r="E55" s="38">
        <v>42558</v>
      </c>
      <c r="F55" s="37" t="s">
        <v>105</v>
      </c>
      <c r="G55" s="37" t="s">
        <v>47</v>
      </c>
      <c r="H55" s="37" t="s">
        <v>144</v>
      </c>
      <c r="I55" s="37" t="s">
        <v>60</v>
      </c>
      <c r="J55" s="37" t="s">
        <v>112</v>
      </c>
      <c r="K55" s="37" t="s">
        <v>108</v>
      </c>
      <c r="L55" s="37" t="s">
        <v>5</v>
      </c>
      <c r="M55" s="37" t="s">
        <v>109</v>
      </c>
      <c r="N55" s="37">
        <v>32</v>
      </c>
      <c r="O55" s="37"/>
      <c r="P55" s="37">
        <v>32</v>
      </c>
      <c r="Q55" s="37">
        <v>0</v>
      </c>
      <c r="R55" s="37" t="s">
        <v>424</v>
      </c>
      <c r="S55" s="37"/>
      <c r="T55" s="37" t="s">
        <v>248</v>
      </c>
      <c r="U55" s="37" t="s">
        <v>254</v>
      </c>
      <c r="V55" s="37" t="s">
        <v>301</v>
      </c>
      <c r="W55" s="37"/>
    </row>
    <row r="56" spans="1:26" x14ac:dyDescent="0.25">
      <c r="A56" s="86">
        <v>2016</v>
      </c>
      <c r="B56" s="87" t="s">
        <v>376</v>
      </c>
      <c r="C56" s="37">
        <v>18737</v>
      </c>
      <c r="D56" s="87">
        <v>27</v>
      </c>
      <c r="E56" s="88">
        <v>42558</v>
      </c>
      <c r="F56" s="87" t="s">
        <v>105</v>
      </c>
      <c r="G56" s="87" t="s">
        <v>47</v>
      </c>
      <c r="H56" s="87" t="s">
        <v>235</v>
      </c>
      <c r="I56" s="87" t="s">
        <v>60</v>
      </c>
      <c r="J56" s="87" t="s">
        <v>107</v>
      </c>
      <c r="K56" s="87" t="s">
        <v>108</v>
      </c>
      <c r="L56" s="87" t="s">
        <v>6</v>
      </c>
      <c r="M56" s="87" t="s">
        <v>109</v>
      </c>
      <c r="N56" s="87"/>
      <c r="O56" s="87">
        <v>1</v>
      </c>
      <c r="P56" s="87">
        <v>1</v>
      </c>
      <c r="Q56" s="87">
        <v>0</v>
      </c>
      <c r="R56" s="87" t="s">
        <v>424</v>
      </c>
      <c r="S56" s="87" t="s">
        <v>439</v>
      </c>
      <c r="T56" s="87" t="s">
        <v>247</v>
      </c>
      <c r="U56" s="87" t="s">
        <v>249</v>
      </c>
      <c r="V56" s="87" t="s">
        <v>416</v>
      </c>
      <c r="W56" s="87"/>
    </row>
    <row r="57" spans="1:26" x14ac:dyDescent="0.25">
      <c r="A57" s="86">
        <v>2016</v>
      </c>
      <c r="B57" s="87" t="s">
        <v>377</v>
      </c>
      <c r="C57" s="37">
        <v>18738</v>
      </c>
      <c r="D57" s="87">
        <v>27</v>
      </c>
      <c r="E57" s="88">
        <v>42558</v>
      </c>
      <c r="F57" s="87" t="s">
        <v>105</v>
      </c>
      <c r="G57" s="87" t="s">
        <v>47</v>
      </c>
      <c r="H57" s="87" t="s">
        <v>235</v>
      </c>
      <c r="I57" s="87" t="s">
        <v>60</v>
      </c>
      <c r="J57" s="87" t="s">
        <v>107</v>
      </c>
      <c r="K57" s="87" t="s">
        <v>108</v>
      </c>
      <c r="L57" s="87" t="s">
        <v>5</v>
      </c>
      <c r="M57" s="87" t="s">
        <v>109</v>
      </c>
      <c r="N57" s="87"/>
      <c r="O57" s="87">
        <v>10</v>
      </c>
      <c r="P57" s="87">
        <v>10</v>
      </c>
      <c r="Q57" s="87">
        <v>0</v>
      </c>
      <c r="R57" s="87" t="s">
        <v>424</v>
      </c>
      <c r="S57" s="87" t="s">
        <v>439</v>
      </c>
      <c r="T57" s="87" t="s">
        <v>248</v>
      </c>
      <c r="U57" s="87" t="s">
        <v>254</v>
      </c>
      <c r="V57" s="87" t="s">
        <v>417</v>
      </c>
      <c r="W57" s="87"/>
    </row>
    <row r="58" spans="1:26" s="36" customFormat="1" x14ac:dyDescent="0.25">
      <c r="A58" s="83">
        <v>2016</v>
      </c>
      <c r="B58" s="84" t="s">
        <v>378</v>
      </c>
      <c r="C58" s="37">
        <v>18739</v>
      </c>
      <c r="D58" s="84">
        <v>27</v>
      </c>
      <c r="E58" s="85">
        <v>42558</v>
      </c>
      <c r="F58" s="84" t="s">
        <v>105</v>
      </c>
      <c r="G58" s="84" t="s">
        <v>47</v>
      </c>
      <c r="H58" s="84" t="s">
        <v>130</v>
      </c>
      <c r="I58" s="84" t="s">
        <v>62</v>
      </c>
      <c r="J58" s="84" t="s">
        <v>107</v>
      </c>
      <c r="K58" s="84" t="s">
        <v>108</v>
      </c>
      <c r="L58" s="84" t="s">
        <v>6</v>
      </c>
      <c r="M58" s="84" t="s">
        <v>109</v>
      </c>
      <c r="N58" s="84"/>
      <c r="O58" s="84">
        <v>6</v>
      </c>
      <c r="P58" s="84">
        <v>6</v>
      </c>
      <c r="Q58" s="78">
        <v>0</v>
      </c>
      <c r="R58" s="78" t="s">
        <v>424</v>
      </c>
      <c r="S58" s="84"/>
      <c r="T58" s="84" t="s">
        <v>247</v>
      </c>
      <c r="U58" s="84" t="s">
        <v>252</v>
      </c>
      <c r="V58" s="84" t="s">
        <v>282</v>
      </c>
      <c r="W58" s="78"/>
      <c r="X58" s="37"/>
      <c r="Y58" s="37"/>
      <c r="Z58" s="37"/>
    </row>
    <row r="59" spans="1:26" s="73" customFormat="1" x14ac:dyDescent="0.25">
      <c r="A59" s="77">
        <v>2016</v>
      </c>
      <c r="B59" s="78" t="s">
        <v>379</v>
      </c>
      <c r="C59" s="37">
        <v>18740</v>
      </c>
      <c r="D59" s="78">
        <v>27</v>
      </c>
      <c r="E59" s="79">
        <v>42558</v>
      </c>
      <c r="F59" s="78" t="s">
        <v>105</v>
      </c>
      <c r="G59" s="78" t="s">
        <v>47</v>
      </c>
      <c r="H59" s="78" t="s">
        <v>130</v>
      </c>
      <c r="I59" s="78" t="s">
        <v>62</v>
      </c>
      <c r="J59" s="78" t="s">
        <v>107</v>
      </c>
      <c r="K59" s="78" t="s">
        <v>108</v>
      </c>
      <c r="L59" s="78" t="s">
        <v>5</v>
      </c>
      <c r="M59" s="78" t="s">
        <v>109</v>
      </c>
      <c r="N59" s="78"/>
      <c r="O59" s="78">
        <v>4</v>
      </c>
      <c r="P59" s="78">
        <v>4</v>
      </c>
      <c r="Q59" s="78">
        <v>0</v>
      </c>
      <c r="R59" s="78" t="s">
        <v>424</v>
      </c>
      <c r="S59" s="78"/>
      <c r="T59" s="78" t="s">
        <v>248</v>
      </c>
      <c r="U59" s="78" t="s">
        <v>253</v>
      </c>
      <c r="V59" s="78" t="s">
        <v>283</v>
      </c>
      <c r="W59" s="81"/>
      <c r="X59" s="78"/>
    </row>
    <row r="60" spans="1:26" s="73" customFormat="1" x14ac:dyDescent="0.25">
      <c r="A60" s="39">
        <v>2016</v>
      </c>
      <c r="B60" s="37" t="s">
        <v>380</v>
      </c>
      <c r="C60" s="37">
        <v>18741</v>
      </c>
      <c r="D60" s="37">
        <v>27</v>
      </c>
      <c r="E60" s="38">
        <v>42558</v>
      </c>
      <c r="F60" s="37" t="s">
        <v>105</v>
      </c>
      <c r="G60" s="37" t="s">
        <v>47</v>
      </c>
      <c r="H60" s="37" t="s">
        <v>150</v>
      </c>
      <c r="I60" s="37" t="s">
        <v>60</v>
      </c>
      <c r="J60" s="37" t="s">
        <v>112</v>
      </c>
      <c r="K60" s="37" t="s">
        <v>108</v>
      </c>
      <c r="L60" s="37" t="s">
        <v>5</v>
      </c>
      <c r="M60" s="37" t="s">
        <v>109</v>
      </c>
      <c r="N60" s="37">
        <v>50</v>
      </c>
      <c r="O60" s="37"/>
      <c r="P60" s="37">
        <v>50</v>
      </c>
      <c r="Q60" s="37">
        <v>0</v>
      </c>
      <c r="R60" s="37" t="s">
        <v>424</v>
      </c>
      <c r="S60" s="37"/>
      <c r="T60" s="37" t="s">
        <v>248</v>
      </c>
      <c r="U60" s="37" t="s">
        <v>254</v>
      </c>
      <c r="V60" s="37" t="s">
        <v>309</v>
      </c>
      <c r="W60" s="37"/>
      <c r="X60" s="78"/>
    </row>
    <row r="61" spans="1:26" s="73" customFormat="1" x14ac:dyDescent="0.25">
      <c r="A61" s="39">
        <v>2016</v>
      </c>
      <c r="B61" s="37" t="s">
        <v>381</v>
      </c>
      <c r="C61" s="37">
        <v>18742</v>
      </c>
      <c r="D61" s="37">
        <v>27</v>
      </c>
      <c r="E61" s="38">
        <v>42558</v>
      </c>
      <c r="F61" s="37" t="s">
        <v>105</v>
      </c>
      <c r="G61" s="37" t="s">
        <v>47</v>
      </c>
      <c r="H61" s="37" t="s">
        <v>150</v>
      </c>
      <c r="I61" s="37" t="s">
        <v>60</v>
      </c>
      <c r="J61" s="37" t="s">
        <v>112</v>
      </c>
      <c r="K61" s="37" t="s">
        <v>108</v>
      </c>
      <c r="L61" s="37" t="s">
        <v>5</v>
      </c>
      <c r="M61" s="37" t="s">
        <v>109</v>
      </c>
      <c r="N61" s="37">
        <v>50</v>
      </c>
      <c r="O61" s="37"/>
      <c r="P61" s="37">
        <v>50</v>
      </c>
      <c r="Q61" s="37">
        <v>0</v>
      </c>
      <c r="R61" s="37" t="s">
        <v>424</v>
      </c>
      <c r="S61" s="37"/>
      <c r="T61" s="37" t="s">
        <v>248</v>
      </c>
      <c r="U61" s="37" t="s">
        <v>254</v>
      </c>
      <c r="V61" s="37" t="s">
        <v>309</v>
      </c>
      <c r="W61" s="37"/>
      <c r="X61" s="78"/>
    </row>
    <row r="62" spans="1:26" s="73" customFormat="1" x14ac:dyDescent="0.25">
      <c r="A62" s="39">
        <v>2016</v>
      </c>
      <c r="B62" s="37" t="s">
        <v>382</v>
      </c>
      <c r="C62" s="37">
        <v>18743</v>
      </c>
      <c r="D62" s="37">
        <v>27</v>
      </c>
      <c r="E62" s="38">
        <v>42558</v>
      </c>
      <c r="F62" s="37" t="s">
        <v>105</v>
      </c>
      <c r="G62" s="37" t="s">
        <v>47</v>
      </c>
      <c r="H62" s="37" t="s">
        <v>150</v>
      </c>
      <c r="I62" s="37" t="s">
        <v>60</v>
      </c>
      <c r="J62" s="37" t="s">
        <v>112</v>
      </c>
      <c r="K62" s="37" t="s">
        <v>108</v>
      </c>
      <c r="L62" s="37" t="s">
        <v>5</v>
      </c>
      <c r="M62" s="37" t="s">
        <v>109</v>
      </c>
      <c r="N62" s="37">
        <v>50</v>
      </c>
      <c r="O62" s="37"/>
      <c r="P62" s="37">
        <v>50</v>
      </c>
      <c r="Q62" s="37">
        <v>0</v>
      </c>
      <c r="R62" s="37" t="s">
        <v>424</v>
      </c>
      <c r="S62" s="37"/>
      <c r="T62" s="37" t="s">
        <v>248</v>
      </c>
      <c r="U62" s="37" t="s">
        <v>254</v>
      </c>
      <c r="V62" s="37" t="s">
        <v>309</v>
      </c>
      <c r="W62" s="37"/>
      <c r="X62" s="78"/>
    </row>
    <row r="63" spans="1:26" s="73" customFormat="1" x14ac:dyDescent="0.25">
      <c r="A63" s="77">
        <v>2016</v>
      </c>
      <c r="B63" s="78" t="s">
        <v>383</v>
      </c>
      <c r="C63" s="37">
        <v>18744</v>
      </c>
      <c r="D63" s="78">
        <v>27</v>
      </c>
      <c r="E63" s="79">
        <v>42558</v>
      </c>
      <c r="F63" s="78" t="s">
        <v>105</v>
      </c>
      <c r="G63" s="78" t="s">
        <v>47</v>
      </c>
      <c r="H63" s="78" t="s">
        <v>243</v>
      </c>
      <c r="I63" s="78" t="s">
        <v>62</v>
      </c>
      <c r="J63" s="78" t="s">
        <v>107</v>
      </c>
      <c r="K63" s="78" t="s">
        <v>108</v>
      </c>
      <c r="L63" s="78" t="s">
        <v>6</v>
      </c>
      <c r="M63" s="78" t="s">
        <v>109</v>
      </c>
      <c r="N63" s="78"/>
      <c r="O63" s="78">
        <v>5</v>
      </c>
      <c r="P63" s="78">
        <v>5</v>
      </c>
      <c r="Q63" s="78">
        <v>0</v>
      </c>
      <c r="R63" s="78" t="s">
        <v>424</v>
      </c>
      <c r="S63" s="78"/>
      <c r="T63" s="78" t="s">
        <v>247</v>
      </c>
      <c r="U63" s="78" t="s">
        <v>252</v>
      </c>
      <c r="V63" s="78" t="s">
        <v>420</v>
      </c>
      <c r="W63" s="78"/>
      <c r="X63" s="78"/>
    </row>
    <row r="64" spans="1:26" s="73" customFormat="1" x14ac:dyDescent="0.25">
      <c r="A64" s="77">
        <v>2016</v>
      </c>
      <c r="B64" s="78" t="s">
        <v>384</v>
      </c>
      <c r="C64" s="37">
        <v>18745</v>
      </c>
      <c r="D64" s="78">
        <v>27</v>
      </c>
      <c r="E64" s="79">
        <v>42558</v>
      </c>
      <c r="F64" s="78" t="s">
        <v>105</v>
      </c>
      <c r="G64" s="78" t="s">
        <v>47</v>
      </c>
      <c r="H64" s="78" t="s">
        <v>152</v>
      </c>
      <c r="I64" s="78" t="s">
        <v>62</v>
      </c>
      <c r="J64" s="78" t="s">
        <v>107</v>
      </c>
      <c r="K64" s="78" t="s">
        <v>108</v>
      </c>
      <c r="L64" s="78" t="s">
        <v>6</v>
      </c>
      <c r="M64" s="78" t="s">
        <v>109</v>
      </c>
      <c r="N64" s="78"/>
      <c r="O64" s="78">
        <v>50</v>
      </c>
      <c r="P64" s="78">
        <v>50</v>
      </c>
      <c r="Q64" s="78">
        <v>0</v>
      </c>
      <c r="R64" s="78" t="s">
        <v>424</v>
      </c>
      <c r="S64" s="78"/>
      <c r="T64" s="78" t="s">
        <v>247</v>
      </c>
      <c r="U64" s="78" t="s">
        <v>252</v>
      </c>
      <c r="V64" s="78" t="s">
        <v>312</v>
      </c>
      <c r="W64" s="78"/>
      <c r="X64" s="78"/>
    </row>
    <row r="65" spans="1:24" s="73" customFormat="1" x14ac:dyDescent="0.25">
      <c r="A65" s="77">
        <v>2016</v>
      </c>
      <c r="B65" s="78" t="s">
        <v>385</v>
      </c>
      <c r="C65" s="37">
        <v>18746</v>
      </c>
      <c r="D65" s="78">
        <v>27</v>
      </c>
      <c r="E65" s="79">
        <v>42558</v>
      </c>
      <c r="F65" s="78" t="s">
        <v>105</v>
      </c>
      <c r="G65" s="78" t="s">
        <v>47</v>
      </c>
      <c r="H65" s="78" t="s">
        <v>152</v>
      </c>
      <c r="I65" s="78" t="s">
        <v>62</v>
      </c>
      <c r="J65" s="78" t="s">
        <v>107</v>
      </c>
      <c r="K65" s="78" t="s">
        <v>108</v>
      </c>
      <c r="L65" s="78" t="s">
        <v>6</v>
      </c>
      <c r="M65" s="78" t="s">
        <v>109</v>
      </c>
      <c r="N65" s="78"/>
      <c r="O65" s="78">
        <v>50</v>
      </c>
      <c r="P65" s="78">
        <v>50</v>
      </c>
      <c r="Q65" s="78">
        <v>0</v>
      </c>
      <c r="R65" s="78" t="s">
        <v>424</v>
      </c>
      <c r="S65" s="78"/>
      <c r="T65" s="78" t="s">
        <v>247</v>
      </c>
      <c r="U65" s="78" t="s">
        <v>252</v>
      </c>
      <c r="V65" s="78" t="s">
        <v>312</v>
      </c>
      <c r="W65" s="78"/>
      <c r="X65" s="78"/>
    </row>
    <row r="66" spans="1:24" s="73" customFormat="1" x14ac:dyDescent="0.25">
      <c r="A66" s="77">
        <v>2016</v>
      </c>
      <c r="B66" s="78" t="s">
        <v>386</v>
      </c>
      <c r="C66" s="37">
        <v>18747</v>
      </c>
      <c r="D66" s="78">
        <v>27</v>
      </c>
      <c r="E66" s="79">
        <v>42558</v>
      </c>
      <c r="F66" s="78" t="s">
        <v>105</v>
      </c>
      <c r="G66" s="78" t="s">
        <v>47</v>
      </c>
      <c r="H66" s="78" t="s">
        <v>152</v>
      </c>
      <c r="I66" s="78" t="s">
        <v>62</v>
      </c>
      <c r="J66" s="78" t="s">
        <v>107</v>
      </c>
      <c r="K66" s="78" t="s">
        <v>108</v>
      </c>
      <c r="L66" s="78" t="s">
        <v>6</v>
      </c>
      <c r="M66" s="78" t="s">
        <v>109</v>
      </c>
      <c r="N66" s="78"/>
      <c r="O66" s="78">
        <v>31</v>
      </c>
      <c r="P66" s="78">
        <v>31</v>
      </c>
      <c r="Q66" s="78">
        <v>0</v>
      </c>
      <c r="R66" s="78" t="s">
        <v>424</v>
      </c>
      <c r="S66" s="78"/>
      <c r="T66" s="78" t="s">
        <v>247</v>
      </c>
      <c r="U66" s="78" t="s">
        <v>252</v>
      </c>
      <c r="V66" s="78" t="s">
        <v>312</v>
      </c>
      <c r="W66" s="78"/>
      <c r="X66" s="78"/>
    </row>
    <row r="67" spans="1:24" s="73" customFormat="1" x14ac:dyDescent="0.25">
      <c r="A67" s="77">
        <v>2016</v>
      </c>
      <c r="B67" s="78" t="s">
        <v>387</v>
      </c>
      <c r="C67" s="37">
        <v>18748</v>
      </c>
      <c r="D67" s="78">
        <v>27</v>
      </c>
      <c r="E67" s="79">
        <v>42558</v>
      </c>
      <c r="F67" s="78" t="s">
        <v>105</v>
      </c>
      <c r="G67" s="78" t="s">
        <v>47</v>
      </c>
      <c r="H67" s="78" t="s">
        <v>152</v>
      </c>
      <c r="I67" s="78" t="s">
        <v>62</v>
      </c>
      <c r="J67" s="78" t="s">
        <v>107</v>
      </c>
      <c r="K67" s="78" t="s">
        <v>108</v>
      </c>
      <c r="L67" s="78" t="s">
        <v>5</v>
      </c>
      <c r="M67" s="78" t="s">
        <v>109</v>
      </c>
      <c r="N67" s="78"/>
      <c r="O67" s="78">
        <v>16</v>
      </c>
      <c r="P67" s="78">
        <v>16</v>
      </c>
      <c r="Q67" s="78">
        <v>0</v>
      </c>
      <c r="R67" s="78" t="s">
        <v>424</v>
      </c>
      <c r="S67" s="78"/>
      <c r="T67" s="78" t="s">
        <v>248</v>
      </c>
      <c r="U67" s="78" t="s">
        <v>253</v>
      </c>
      <c r="V67" s="78" t="s">
        <v>313</v>
      </c>
      <c r="W67" s="78"/>
      <c r="X67" s="78"/>
    </row>
    <row r="68" spans="1:24" s="73" customFormat="1" x14ac:dyDescent="0.25">
      <c r="A68" s="39">
        <v>2016</v>
      </c>
      <c r="B68" s="37" t="s">
        <v>388</v>
      </c>
      <c r="C68" s="37">
        <v>18749</v>
      </c>
      <c r="D68" s="37">
        <v>27</v>
      </c>
      <c r="E68" s="38">
        <v>42558</v>
      </c>
      <c r="F68" s="37" t="s">
        <v>105</v>
      </c>
      <c r="G68" s="37" t="s">
        <v>47</v>
      </c>
      <c r="H68" s="37" t="s">
        <v>147</v>
      </c>
      <c r="I68" s="37" t="s">
        <v>60</v>
      </c>
      <c r="J68" s="37" t="s">
        <v>107</v>
      </c>
      <c r="K68" s="37" t="s">
        <v>108</v>
      </c>
      <c r="L68" s="37" t="s">
        <v>5</v>
      </c>
      <c r="M68" s="37" t="s">
        <v>109</v>
      </c>
      <c r="N68" s="37"/>
      <c r="O68" s="37">
        <v>1</v>
      </c>
      <c r="P68" s="37">
        <v>1</v>
      </c>
      <c r="Q68" s="37">
        <v>0</v>
      </c>
      <c r="R68" s="37" t="s">
        <v>424</v>
      </c>
      <c r="S68" s="37"/>
      <c r="T68" s="37" t="s">
        <v>248</v>
      </c>
      <c r="U68" s="37" t="s">
        <v>254</v>
      </c>
      <c r="V68" s="37" t="s">
        <v>309</v>
      </c>
      <c r="W68" s="37"/>
      <c r="X68" s="78"/>
    </row>
    <row r="69" spans="1:24" s="74" customFormat="1" x14ac:dyDescent="0.25">
      <c r="A69" s="80">
        <v>2016</v>
      </c>
      <c r="B69" s="81" t="s">
        <v>389</v>
      </c>
      <c r="C69" s="37">
        <v>18750</v>
      </c>
      <c r="D69" s="81">
        <v>27</v>
      </c>
      <c r="E69" s="82">
        <v>42558</v>
      </c>
      <c r="F69" s="81" t="s">
        <v>105</v>
      </c>
      <c r="G69" s="81" t="s">
        <v>47</v>
      </c>
      <c r="H69" s="81" t="s">
        <v>133</v>
      </c>
      <c r="I69" s="81" t="s">
        <v>62</v>
      </c>
      <c r="J69" s="81" t="s">
        <v>107</v>
      </c>
      <c r="K69" s="81" t="s">
        <v>108</v>
      </c>
      <c r="L69" s="81" t="s">
        <v>6</v>
      </c>
      <c r="M69" s="81" t="s">
        <v>109</v>
      </c>
      <c r="N69" s="81"/>
      <c r="O69" s="81">
        <v>6</v>
      </c>
      <c r="P69" s="81">
        <v>6</v>
      </c>
      <c r="Q69" s="81">
        <v>1</v>
      </c>
      <c r="R69" s="81" t="s">
        <v>423</v>
      </c>
      <c r="S69" s="81"/>
      <c r="T69" s="81" t="s">
        <v>247</v>
      </c>
      <c r="U69" s="81" t="s">
        <v>252</v>
      </c>
      <c r="V69" s="81" t="s">
        <v>286</v>
      </c>
      <c r="W69" s="78"/>
      <c r="X69" s="81"/>
    </row>
    <row r="70" spans="1:24" s="73" customFormat="1" x14ac:dyDescent="0.25">
      <c r="A70" s="77">
        <v>2016</v>
      </c>
      <c r="B70" s="78" t="s">
        <v>390</v>
      </c>
      <c r="C70" s="37">
        <v>18751</v>
      </c>
      <c r="D70" s="78">
        <v>27</v>
      </c>
      <c r="E70" s="79">
        <v>42558</v>
      </c>
      <c r="F70" s="78" t="s">
        <v>105</v>
      </c>
      <c r="G70" s="78" t="s">
        <v>47</v>
      </c>
      <c r="H70" s="78" t="s">
        <v>133</v>
      </c>
      <c r="I70" s="78" t="s">
        <v>62</v>
      </c>
      <c r="J70" s="78" t="s">
        <v>107</v>
      </c>
      <c r="K70" s="78" t="s">
        <v>108</v>
      </c>
      <c r="L70" s="78" t="s">
        <v>5</v>
      </c>
      <c r="M70" s="78" t="s">
        <v>109</v>
      </c>
      <c r="N70" s="78"/>
      <c r="O70" s="78">
        <v>4</v>
      </c>
      <c r="P70" s="78">
        <v>4</v>
      </c>
      <c r="Q70" s="78">
        <v>0</v>
      </c>
      <c r="R70" s="78" t="s">
        <v>424</v>
      </c>
      <c r="S70" s="78"/>
      <c r="T70" s="78" t="s">
        <v>248</v>
      </c>
      <c r="U70" s="78" t="s">
        <v>253</v>
      </c>
      <c r="V70" s="78" t="s">
        <v>287</v>
      </c>
      <c r="W70" s="78"/>
      <c r="X70" s="78"/>
    </row>
    <row r="71" spans="1:24" s="73" customFormat="1" x14ac:dyDescent="0.25">
      <c r="A71" s="36">
        <v>2016</v>
      </c>
      <c r="B71" s="36" t="s">
        <v>391</v>
      </c>
      <c r="C71" s="37">
        <v>18752</v>
      </c>
      <c r="D71" s="36">
        <v>27</v>
      </c>
      <c r="E71" s="66">
        <v>42558</v>
      </c>
      <c r="F71" s="36" t="s">
        <v>105</v>
      </c>
      <c r="G71" s="36" t="s">
        <v>47</v>
      </c>
      <c r="H71" s="36" t="s">
        <v>151</v>
      </c>
      <c r="I71" s="36" t="s">
        <v>60</v>
      </c>
      <c r="J71" s="36" t="s">
        <v>107</v>
      </c>
      <c r="K71" s="36" t="s">
        <v>108</v>
      </c>
      <c r="L71" s="36" t="s">
        <v>6</v>
      </c>
      <c r="M71" s="36" t="s">
        <v>109</v>
      </c>
      <c r="N71" s="36"/>
      <c r="O71" s="36">
        <v>7</v>
      </c>
      <c r="P71" s="36">
        <v>7</v>
      </c>
      <c r="Q71" s="36">
        <v>0</v>
      </c>
      <c r="R71" s="36" t="s">
        <v>424</v>
      </c>
      <c r="S71" s="36"/>
      <c r="T71" s="36" t="s">
        <v>247</v>
      </c>
      <c r="U71" s="36" t="s">
        <v>249</v>
      </c>
      <c r="V71" s="36" t="s">
        <v>310</v>
      </c>
      <c r="W71" s="36">
        <f>SUM(P71:P86)</f>
        <v>220</v>
      </c>
      <c r="X71" s="78"/>
    </row>
    <row r="72" spans="1:24" s="73" customFormat="1" x14ac:dyDescent="0.25">
      <c r="A72" s="36">
        <v>2016</v>
      </c>
      <c r="B72" s="36" t="s">
        <v>392</v>
      </c>
      <c r="C72" s="37">
        <v>18753</v>
      </c>
      <c r="D72" s="36">
        <v>27</v>
      </c>
      <c r="E72" s="66">
        <v>42558</v>
      </c>
      <c r="F72" s="36" t="s">
        <v>105</v>
      </c>
      <c r="G72" s="36" t="s">
        <v>47</v>
      </c>
      <c r="H72" s="36" t="s">
        <v>151</v>
      </c>
      <c r="I72" s="36" t="s">
        <v>60</v>
      </c>
      <c r="J72" s="36" t="s">
        <v>107</v>
      </c>
      <c r="K72" s="36" t="s">
        <v>108</v>
      </c>
      <c r="L72" s="36" t="s">
        <v>5</v>
      </c>
      <c r="M72" s="36" t="s">
        <v>109</v>
      </c>
      <c r="N72" s="36"/>
      <c r="O72" s="36">
        <v>13</v>
      </c>
      <c r="P72" s="36">
        <v>13</v>
      </c>
      <c r="Q72" s="36">
        <v>0</v>
      </c>
      <c r="R72" s="36" t="s">
        <v>424</v>
      </c>
      <c r="S72" s="36"/>
      <c r="T72" s="36" t="s">
        <v>248</v>
      </c>
      <c r="U72" s="36" t="s">
        <v>254</v>
      </c>
      <c r="V72" s="36" t="s">
        <v>311</v>
      </c>
      <c r="W72" s="36"/>
      <c r="X72" s="78"/>
    </row>
    <row r="73" spans="1:24" s="73" customFormat="1" x14ac:dyDescent="0.25">
      <c r="A73" s="78">
        <v>2016</v>
      </c>
      <c r="B73" s="78" t="s">
        <v>393</v>
      </c>
      <c r="C73" s="37">
        <v>18754</v>
      </c>
      <c r="D73" s="78">
        <v>27</v>
      </c>
      <c r="E73" s="79">
        <v>42558</v>
      </c>
      <c r="F73" s="78" t="s">
        <v>105</v>
      </c>
      <c r="G73" s="78" t="s">
        <v>47</v>
      </c>
      <c r="H73" s="78" t="s">
        <v>241</v>
      </c>
      <c r="I73" s="78" t="s">
        <v>62</v>
      </c>
      <c r="J73" s="78" t="s">
        <v>107</v>
      </c>
      <c r="K73" s="78" t="s">
        <v>108</v>
      </c>
      <c r="L73" s="78" t="s">
        <v>6</v>
      </c>
      <c r="M73" s="78" t="s">
        <v>109</v>
      </c>
      <c r="N73" s="78"/>
      <c r="O73" s="78">
        <v>49</v>
      </c>
      <c r="P73" s="78">
        <v>49</v>
      </c>
      <c r="Q73" s="78">
        <v>0</v>
      </c>
      <c r="R73" s="78" t="s">
        <v>424</v>
      </c>
      <c r="S73" s="78"/>
      <c r="T73" s="78" t="s">
        <v>247</v>
      </c>
      <c r="U73" s="78" t="s">
        <v>252</v>
      </c>
      <c r="V73" s="78" t="s">
        <v>422</v>
      </c>
      <c r="W73" s="78"/>
      <c r="X73" s="78"/>
    </row>
    <row r="74" spans="1:24" s="73" customFormat="1" x14ac:dyDescent="0.25">
      <c r="A74" s="78">
        <v>2016</v>
      </c>
      <c r="B74" s="78" t="s">
        <v>394</v>
      </c>
      <c r="C74" s="37">
        <v>18755</v>
      </c>
      <c r="D74" s="78">
        <v>27</v>
      </c>
      <c r="E74" s="79">
        <v>42558</v>
      </c>
      <c r="F74" s="78" t="s">
        <v>105</v>
      </c>
      <c r="G74" s="78" t="s">
        <v>47</v>
      </c>
      <c r="H74" s="78" t="s">
        <v>241</v>
      </c>
      <c r="I74" s="78" t="s">
        <v>62</v>
      </c>
      <c r="J74" s="78" t="s">
        <v>107</v>
      </c>
      <c r="K74" s="78" t="s">
        <v>108</v>
      </c>
      <c r="L74" s="78" t="s">
        <v>5</v>
      </c>
      <c r="M74" s="78" t="s">
        <v>109</v>
      </c>
      <c r="N74" s="78"/>
      <c r="O74" s="78">
        <v>5</v>
      </c>
      <c r="P74" s="78">
        <v>5</v>
      </c>
      <c r="Q74" s="78">
        <v>0</v>
      </c>
      <c r="R74" s="78" t="s">
        <v>424</v>
      </c>
      <c r="S74" s="78"/>
      <c r="T74" s="78" t="s">
        <v>248</v>
      </c>
      <c r="U74" s="78" t="s">
        <v>253</v>
      </c>
      <c r="V74" s="78" t="s">
        <v>294</v>
      </c>
      <c r="W74" s="78"/>
      <c r="X74" s="78"/>
    </row>
    <row r="75" spans="1:24" s="73" customFormat="1" x14ac:dyDescent="0.25">
      <c r="A75" s="78">
        <v>2016</v>
      </c>
      <c r="B75" s="78" t="s">
        <v>395</v>
      </c>
      <c r="C75" s="37">
        <v>18756</v>
      </c>
      <c r="D75" s="78">
        <v>27</v>
      </c>
      <c r="E75" s="79">
        <v>42558</v>
      </c>
      <c r="F75" s="78" t="s">
        <v>105</v>
      </c>
      <c r="G75" s="78" t="s">
        <v>47</v>
      </c>
      <c r="H75" s="78" t="s">
        <v>135</v>
      </c>
      <c r="I75" s="78" t="s">
        <v>62</v>
      </c>
      <c r="J75" s="78" t="s">
        <v>107</v>
      </c>
      <c r="K75" s="78" t="s">
        <v>108</v>
      </c>
      <c r="L75" s="78" t="s">
        <v>6</v>
      </c>
      <c r="M75" s="78" t="s">
        <v>109</v>
      </c>
      <c r="N75" s="78"/>
      <c r="O75" s="78">
        <v>13</v>
      </c>
      <c r="P75" s="78">
        <v>13</v>
      </c>
      <c r="Q75" s="78">
        <v>0</v>
      </c>
      <c r="R75" s="78" t="s">
        <v>424</v>
      </c>
      <c r="S75" s="78"/>
      <c r="T75" s="78" t="s">
        <v>247</v>
      </c>
      <c r="U75" s="78" t="s">
        <v>252</v>
      </c>
      <c r="V75" s="78" t="s">
        <v>288</v>
      </c>
      <c r="W75" s="78"/>
      <c r="X75" s="78"/>
    </row>
    <row r="76" spans="1:24" s="73" customFormat="1" x14ac:dyDescent="0.25">
      <c r="A76" s="78">
        <v>2016</v>
      </c>
      <c r="B76" s="78" t="s">
        <v>396</v>
      </c>
      <c r="C76" s="37">
        <v>18757</v>
      </c>
      <c r="D76" s="78">
        <v>27</v>
      </c>
      <c r="E76" s="79">
        <v>42558</v>
      </c>
      <c r="F76" s="78" t="s">
        <v>105</v>
      </c>
      <c r="G76" s="78" t="s">
        <v>47</v>
      </c>
      <c r="H76" s="78" t="s">
        <v>135</v>
      </c>
      <c r="I76" s="78" t="s">
        <v>62</v>
      </c>
      <c r="J76" s="78" t="s">
        <v>107</v>
      </c>
      <c r="K76" s="78" t="s">
        <v>108</v>
      </c>
      <c r="L76" s="78" t="s">
        <v>5</v>
      </c>
      <c r="M76" s="78" t="s">
        <v>109</v>
      </c>
      <c r="N76" s="78"/>
      <c r="O76" s="78">
        <v>1</v>
      </c>
      <c r="P76" s="78">
        <v>1</v>
      </c>
      <c r="Q76" s="78">
        <v>0</v>
      </c>
      <c r="R76" s="78" t="s">
        <v>424</v>
      </c>
      <c r="S76" s="78"/>
      <c r="T76" s="78" t="s">
        <v>248</v>
      </c>
      <c r="U76" s="78" t="s">
        <v>253</v>
      </c>
      <c r="V76" s="78" t="s">
        <v>289</v>
      </c>
      <c r="W76" s="78"/>
      <c r="X76" s="78"/>
    </row>
    <row r="77" spans="1:24" s="73" customFormat="1" x14ac:dyDescent="0.25">
      <c r="A77" s="37">
        <v>2016</v>
      </c>
      <c r="B77" s="37" t="s">
        <v>397</v>
      </c>
      <c r="C77" s="37">
        <v>18758</v>
      </c>
      <c r="D77" s="37">
        <v>27</v>
      </c>
      <c r="E77" s="38">
        <v>42558</v>
      </c>
      <c r="F77" s="37" t="s">
        <v>105</v>
      </c>
      <c r="G77" s="37" t="s">
        <v>47</v>
      </c>
      <c r="H77" s="37" t="s">
        <v>153</v>
      </c>
      <c r="I77" s="37" t="s">
        <v>63</v>
      </c>
      <c r="J77" s="37" t="s">
        <v>107</v>
      </c>
      <c r="K77" s="37" t="s">
        <v>108</v>
      </c>
      <c r="L77" s="37" t="s">
        <v>6</v>
      </c>
      <c r="M77" s="37" t="s">
        <v>109</v>
      </c>
      <c r="N77" s="37"/>
      <c r="O77" s="37">
        <v>2</v>
      </c>
      <c r="P77" s="37">
        <v>2</v>
      </c>
      <c r="Q77" s="37">
        <v>0</v>
      </c>
      <c r="R77" s="37" t="s">
        <v>424</v>
      </c>
      <c r="S77" s="37"/>
      <c r="T77" s="37" t="s">
        <v>247</v>
      </c>
      <c r="U77" s="37" t="s">
        <v>255</v>
      </c>
      <c r="V77" s="37" t="s">
        <v>314</v>
      </c>
      <c r="W77" s="37">
        <f>SUM(P77:P80)</f>
        <v>27</v>
      </c>
      <c r="X77" s="78"/>
    </row>
    <row r="78" spans="1:24" s="73" customFormat="1" x14ac:dyDescent="0.25">
      <c r="A78" s="37">
        <v>2016</v>
      </c>
      <c r="B78" s="37" t="s">
        <v>398</v>
      </c>
      <c r="C78" s="37">
        <v>18759</v>
      </c>
      <c r="D78" s="37">
        <v>27</v>
      </c>
      <c r="E78" s="38">
        <v>42558</v>
      </c>
      <c r="F78" s="37" t="s">
        <v>105</v>
      </c>
      <c r="G78" s="37" t="s">
        <v>47</v>
      </c>
      <c r="H78" s="37" t="s">
        <v>153</v>
      </c>
      <c r="I78" s="37" t="s">
        <v>63</v>
      </c>
      <c r="J78" s="37" t="s">
        <v>107</v>
      </c>
      <c r="K78" s="37" t="s">
        <v>108</v>
      </c>
      <c r="L78" s="37" t="s">
        <v>5</v>
      </c>
      <c r="M78" s="37" t="s">
        <v>109</v>
      </c>
      <c r="N78" s="37"/>
      <c r="O78" s="37">
        <v>4</v>
      </c>
      <c r="P78" s="37">
        <v>4</v>
      </c>
      <c r="Q78" s="37">
        <v>0</v>
      </c>
      <c r="R78" s="37" t="s">
        <v>424</v>
      </c>
      <c r="S78" s="37"/>
      <c r="T78" s="37" t="s">
        <v>248</v>
      </c>
      <c r="U78" s="37" t="s">
        <v>256</v>
      </c>
      <c r="V78" s="37" t="s">
        <v>315</v>
      </c>
      <c r="W78" s="37"/>
      <c r="X78" s="78"/>
    </row>
    <row r="79" spans="1:24" s="73" customFormat="1" x14ac:dyDescent="0.25">
      <c r="A79" s="37">
        <v>2016</v>
      </c>
      <c r="B79" s="37" t="s">
        <v>399</v>
      </c>
      <c r="C79" s="37">
        <v>18760</v>
      </c>
      <c r="D79" s="37">
        <v>27</v>
      </c>
      <c r="E79" s="38">
        <v>42558</v>
      </c>
      <c r="F79" s="37" t="s">
        <v>105</v>
      </c>
      <c r="G79" s="37" t="s">
        <v>47</v>
      </c>
      <c r="H79" s="37" t="s">
        <v>140</v>
      </c>
      <c r="I79" s="37" t="s">
        <v>62</v>
      </c>
      <c r="J79" s="37" t="s">
        <v>112</v>
      </c>
      <c r="K79" s="37" t="s">
        <v>108</v>
      </c>
      <c r="L79" s="37" t="s">
        <v>5</v>
      </c>
      <c r="M79" s="37" t="s">
        <v>109</v>
      </c>
      <c r="N79" s="37">
        <v>18</v>
      </c>
      <c r="O79" s="37"/>
      <c r="P79" s="37">
        <v>18</v>
      </c>
      <c r="Q79" s="37">
        <v>0</v>
      </c>
      <c r="R79" s="37" t="s">
        <v>424</v>
      </c>
      <c r="S79" s="37"/>
      <c r="T79" s="37" t="s">
        <v>248</v>
      </c>
      <c r="U79" s="37" t="s">
        <v>253</v>
      </c>
      <c r="V79" s="37" t="s">
        <v>295</v>
      </c>
      <c r="W79" s="37"/>
      <c r="X79" s="78"/>
    </row>
    <row r="80" spans="1:24" s="73" customFormat="1" x14ac:dyDescent="0.25">
      <c r="A80" s="37">
        <v>2016</v>
      </c>
      <c r="B80" s="37" t="s">
        <v>400</v>
      </c>
      <c r="C80" s="37">
        <v>18761</v>
      </c>
      <c r="D80" s="37">
        <v>27</v>
      </c>
      <c r="E80" s="38">
        <v>42558</v>
      </c>
      <c r="F80" s="37" t="s">
        <v>105</v>
      </c>
      <c r="G80" s="37" t="s">
        <v>47</v>
      </c>
      <c r="H80" s="37" t="s">
        <v>148</v>
      </c>
      <c r="I80" s="37" t="s">
        <v>63</v>
      </c>
      <c r="J80" s="37" t="s">
        <v>107</v>
      </c>
      <c r="K80" s="37" t="s">
        <v>108</v>
      </c>
      <c r="L80" s="37" t="s">
        <v>6</v>
      </c>
      <c r="M80" s="37" t="s">
        <v>109</v>
      </c>
      <c r="N80" s="37"/>
      <c r="O80" s="37">
        <v>3</v>
      </c>
      <c r="P80" s="37">
        <v>3</v>
      </c>
      <c r="Q80" s="37">
        <v>0</v>
      </c>
      <c r="R80" s="37" t="s">
        <v>424</v>
      </c>
      <c r="S80" s="37"/>
      <c r="T80" s="37" t="s">
        <v>247</v>
      </c>
      <c r="U80" s="37" t="s">
        <v>255</v>
      </c>
      <c r="V80" s="37" t="s">
        <v>306</v>
      </c>
      <c r="W80" s="37"/>
      <c r="X80" s="78"/>
    </row>
    <row r="81" spans="1:24" s="73" customFormat="1" x14ac:dyDescent="0.25">
      <c r="A81" s="37">
        <v>2016</v>
      </c>
      <c r="B81" s="37" t="s">
        <v>401</v>
      </c>
      <c r="C81" s="37">
        <v>18762</v>
      </c>
      <c r="D81" s="37">
        <v>27</v>
      </c>
      <c r="E81" s="38">
        <v>42558</v>
      </c>
      <c r="F81" s="37" t="s">
        <v>105</v>
      </c>
      <c r="G81" s="37" t="s">
        <v>47</v>
      </c>
      <c r="H81" s="37" t="s">
        <v>148</v>
      </c>
      <c r="I81" s="37" t="s">
        <v>63</v>
      </c>
      <c r="J81" s="37" t="s">
        <v>107</v>
      </c>
      <c r="K81" s="37" t="s">
        <v>108</v>
      </c>
      <c r="L81" s="37" t="s">
        <v>5</v>
      </c>
      <c r="M81" s="37" t="s">
        <v>109</v>
      </c>
      <c r="N81" s="37"/>
      <c r="O81" s="37">
        <v>2</v>
      </c>
      <c r="P81" s="37">
        <v>2</v>
      </c>
      <c r="Q81" s="37">
        <v>0</v>
      </c>
      <c r="R81" s="37" t="s">
        <v>424</v>
      </c>
      <c r="S81" s="37"/>
      <c r="T81" s="37" t="s">
        <v>248</v>
      </c>
      <c r="U81" s="37" t="s">
        <v>256</v>
      </c>
      <c r="V81" s="37" t="s">
        <v>307</v>
      </c>
      <c r="W81" s="37"/>
      <c r="X81" s="78"/>
    </row>
    <row r="82" spans="1:24" s="73" customFormat="1" x14ac:dyDescent="0.25">
      <c r="A82" s="78">
        <v>2016</v>
      </c>
      <c r="B82" s="78" t="s">
        <v>402</v>
      </c>
      <c r="C82" s="37">
        <v>18763</v>
      </c>
      <c r="D82" s="78">
        <v>27</v>
      </c>
      <c r="E82" s="79">
        <v>42558</v>
      </c>
      <c r="F82" s="78" t="s">
        <v>105</v>
      </c>
      <c r="G82" s="78" t="s">
        <v>47</v>
      </c>
      <c r="H82" s="78" t="s">
        <v>154</v>
      </c>
      <c r="I82" s="78" t="s">
        <v>62</v>
      </c>
      <c r="J82" s="78" t="s">
        <v>107</v>
      </c>
      <c r="K82" s="78" t="s">
        <v>108</v>
      </c>
      <c r="L82" s="78" t="s">
        <v>6</v>
      </c>
      <c r="M82" s="78" t="s">
        <v>109</v>
      </c>
      <c r="N82" s="78"/>
      <c r="O82" s="78">
        <v>8</v>
      </c>
      <c r="P82" s="78">
        <v>8</v>
      </c>
      <c r="Q82" s="78">
        <v>0</v>
      </c>
      <c r="R82" s="78" t="s">
        <v>424</v>
      </c>
      <c r="S82" s="78"/>
      <c r="T82" s="78" t="s">
        <v>247</v>
      </c>
      <c r="U82" s="78" t="s">
        <v>252</v>
      </c>
      <c r="V82" s="78" t="s">
        <v>316</v>
      </c>
      <c r="W82" s="78"/>
      <c r="X82" s="78"/>
    </row>
    <row r="83" spans="1:24" s="73" customFormat="1" x14ac:dyDescent="0.25">
      <c r="A83" s="78">
        <v>2016</v>
      </c>
      <c r="B83" s="78" t="s">
        <v>403</v>
      </c>
      <c r="C83" s="37">
        <v>18764</v>
      </c>
      <c r="D83" s="78">
        <v>27</v>
      </c>
      <c r="E83" s="79">
        <v>42558</v>
      </c>
      <c r="F83" s="78" t="s">
        <v>105</v>
      </c>
      <c r="G83" s="78" t="s">
        <v>47</v>
      </c>
      <c r="H83" s="78" t="s">
        <v>154</v>
      </c>
      <c r="I83" s="78" t="s">
        <v>62</v>
      </c>
      <c r="J83" s="78" t="s">
        <v>107</v>
      </c>
      <c r="K83" s="78" t="s">
        <v>108</v>
      </c>
      <c r="L83" s="78" t="s">
        <v>5</v>
      </c>
      <c r="M83" s="78" t="s">
        <v>109</v>
      </c>
      <c r="N83" s="78"/>
      <c r="O83" s="78">
        <v>13</v>
      </c>
      <c r="P83" s="78">
        <v>13</v>
      </c>
      <c r="Q83" s="78">
        <v>0</v>
      </c>
      <c r="R83" s="78" t="s">
        <v>424</v>
      </c>
      <c r="S83" s="78"/>
      <c r="T83" s="78" t="s">
        <v>248</v>
      </c>
      <c r="U83" s="78" t="s">
        <v>253</v>
      </c>
      <c r="V83" s="78" t="s">
        <v>317</v>
      </c>
      <c r="W83" s="78"/>
      <c r="X83" s="78"/>
    </row>
    <row r="84" spans="1:24" s="73" customFormat="1" x14ac:dyDescent="0.25">
      <c r="A84" s="36">
        <v>2016</v>
      </c>
      <c r="B84" s="36" t="s">
        <v>404</v>
      </c>
      <c r="C84" s="37">
        <v>18765</v>
      </c>
      <c r="D84" s="36">
        <v>27</v>
      </c>
      <c r="E84" s="66">
        <v>42558</v>
      </c>
      <c r="F84" s="36" t="s">
        <v>105</v>
      </c>
      <c r="G84" s="36" t="s">
        <v>47</v>
      </c>
      <c r="H84" s="36" t="s">
        <v>149</v>
      </c>
      <c r="I84" s="36" t="s">
        <v>60</v>
      </c>
      <c r="J84" s="36" t="s">
        <v>107</v>
      </c>
      <c r="K84" s="36" t="s">
        <v>108</v>
      </c>
      <c r="L84" s="36" t="s">
        <v>6</v>
      </c>
      <c r="M84" s="36" t="s">
        <v>109</v>
      </c>
      <c r="N84" s="36"/>
      <c r="O84" s="36">
        <v>2</v>
      </c>
      <c r="P84" s="36">
        <v>2</v>
      </c>
      <c r="Q84" s="36">
        <v>0</v>
      </c>
      <c r="R84" s="36" t="s">
        <v>424</v>
      </c>
      <c r="S84" s="36"/>
      <c r="T84" s="36" t="s">
        <v>247</v>
      </c>
      <c r="U84" s="36" t="s">
        <v>249</v>
      </c>
      <c r="V84" s="36" t="s">
        <v>308</v>
      </c>
      <c r="W84" s="36"/>
      <c r="X84" s="78"/>
    </row>
    <row r="85" spans="1:24" s="73" customFormat="1" x14ac:dyDescent="0.25">
      <c r="A85" s="78">
        <v>2016</v>
      </c>
      <c r="B85" s="78" t="s">
        <v>405</v>
      </c>
      <c r="C85" s="37">
        <v>18766</v>
      </c>
      <c r="D85" s="78">
        <v>27</v>
      </c>
      <c r="E85" s="79">
        <v>42558</v>
      </c>
      <c r="F85" s="78" t="s">
        <v>105</v>
      </c>
      <c r="G85" s="78" t="s">
        <v>47</v>
      </c>
      <c r="H85" s="78" t="s">
        <v>136</v>
      </c>
      <c r="I85" s="78" t="s">
        <v>62</v>
      </c>
      <c r="J85" s="78" t="s">
        <v>107</v>
      </c>
      <c r="K85" s="78" t="s">
        <v>108</v>
      </c>
      <c r="L85" s="78" t="s">
        <v>6</v>
      </c>
      <c r="M85" s="78" t="s">
        <v>109</v>
      </c>
      <c r="N85" s="78"/>
      <c r="O85" s="78">
        <v>30</v>
      </c>
      <c r="P85" s="78">
        <v>30</v>
      </c>
      <c r="Q85" s="78">
        <v>0</v>
      </c>
      <c r="R85" s="78" t="s">
        <v>424</v>
      </c>
      <c r="S85" s="78"/>
      <c r="T85" s="78" t="s">
        <v>247</v>
      </c>
      <c r="U85" s="78" t="s">
        <v>252</v>
      </c>
      <c r="V85" s="78" t="s">
        <v>290</v>
      </c>
      <c r="W85" s="78"/>
      <c r="X85" s="78"/>
    </row>
    <row r="86" spans="1:24" s="73" customFormat="1" x14ac:dyDescent="0.25">
      <c r="A86" s="78">
        <v>2016</v>
      </c>
      <c r="B86" s="78" t="s">
        <v>406</v>
      </c>
      <c r="C86" s="37">
        <v>18767</v>
      </c>
      <c r="D86" s="78">
        <v>27</v>
      </c>
      <c r="E86" s="79">
        <v>42558</v>
      </c>
      <c r="F86" s="78" t="s">
        <v>105</v>
      </c>
      <c r="G86" s="78" t="s">
        <v>47</v>
      </c>
      <c r="H86" s="78" t="s">
        <v>137</v>
      </c>
      <c r="I86" s="78" t="s">
        <v>62</v>
      </c>
      <c r="J86" s="78" t="s">
        <v>107</v>
      </c>
      <c r="K86" s="78" t="s">
        <v>108</v>
      </c>
      <c r="L86" s="78" t="s">
        <v>6</v>
      </c>
      <c r="M86" s="78" t="s">
        <v>109</v>
      </c>
      <c r="N86" s="78"/>
      <c r="O86" s="78">
        <v>50</v>
      </c>
      <c r="P86" s="78">
        <v>50</v>
      </c>
      <c r="Q86" s="78">
        <v>0</v>
      </c>
      <c r="R86" s="78" t="s">
        <v>424</v>
      </c>
      <c r="S86" s="78"/>
      <c r="T86" s="78" t="s">
        <v>247</v>
      </c>
      <c r="U86" s="78" t="s">
        <v>252</v>
      </c>
      <c r="V86" s="78" t="s">
        <v>291</v>
      </c>
      <c r="W86" s="78">
        <f>SUM(P86:P113)</f>
        <v>170</v>
      </c>
      <c r="X86" s="78"/>
    </row>
    <row r="87" spans="1:24" x14ac:dyDescent="0.25">
      <c r="A87" s="78">
        <v>2016</v>
      </c>
      <c r="B87" s="78" t="s">
        <v>407</v>
      </c>
      <c r="C87" s="37">
        <v>18768</v>
      </c>
      <c r="D87" s="78">
        <v>27</v>
      </c>
      <c r="E87" s="79">
        <v>42558</v>
      </c>
      <c r="F87" s="78" t="s">
        <v>105</v>
      </c>
      <c r="G87" s="78" t="s">
        <v>47</v>
      </c>
      <c r="H87" s="78" t="s">
        <v>137</v>
      </c>
      <c r="I87" s="78" t="s">
        <v>62</v>
      </c>
      <c r="J87" s="78" t="s">
        <v>107</v>
      </c>
      <c r="K87" s="78" t="s">
        <v>108</v>
      </c>
      <c r="L87" s="78" t="s">
        <v>6</v>
      </c>
      <c r="M87" s="78" t="s">
        <v>109</v>
      </c>
      <c r="N87" s="78"/>
      <c r="O87" s="78">
        <v>15</v>
      </c>
      <c r="P87" s="78">
        <v>15</v>
      </c>
      <c r="Q87" s="78">
        <v>0</v>
      </c>
      <c r="R87" s="78" t="s">
        <v>424</v>
      </c>
      <c r="S87" s="78"/>
      <c r="T87" s="78" t="s">
        <v>247</v>
      </c>
      <c r="U87" s="78" t="s">
        <v>252</v>
      </c>
      <c r="V87" s="78" t="s">
        <v>291</v>
      </c>
      <c r="W87" s="78"/>
    </row>
    <row r="88" spans="1:24" x14ac:dyDescent="0.25">
      <c r="A88" s="78">
        <v>2016</v>
      </c>
      <c r="B88" s="78" t="s">
        <v>408</v>
      </c>
      <c r="C88" s="37">
        <v>18769</v>
      </c>
      <c r="D88" s="78">
        <v>27</v>
      </c>
      <c r="E88" s="79">
        <v>42558</v>
      </c>
      <c r="F88" s="78" t="s">
        <v>105</v>
      </c>
      <c r="G88" s="78" t="s">
        <v>47</v>
      </c>
      <c r="H88" s="78" t="s">
        <v>137</v>
      </c>
      <c r="I88" s="78" t="s">
        <v>62</v>
      </c>
      <c r="J88" s="78" t="s">
        <v>107</v>
      </c>
      <c r="K88" s="78" t="s">
        <v>108</v>
      </c>
      <c r="L88" s="78" t="s">
        <v>5</v>
      </c>
      <c r="M88" s="78" t="s">
        <v>109</v>
      </c>
      <c r="N88" s="78"/>
      <c r="O88" s="78">
        <v>7</v>
      </c>
      <c r="P88" s="78">
        <v>7</v>
      </c>
      <c r="Q88" s="78">
        <v>0</v>
      </c>
      <c r="R88" s="78" t="s">
        <v>424</v>
      </c>
      <c r="S88" s="78"/>
      <c r="T88" s="78" t="s">
        <v>248</v>
      </c>
      <c r="U88" s="78" t="s">
        <v>253</v>
      </c>
      <c r="V88" s="78" t="s">
        <v>292</v>
      </c>
      <c r="W88" s="78"/>
    </row>
    <row r="89" spans="1:24" x14ac:dyDescent="0.25">
      <c r="A89" s="37">
        <v>2016</v>
      </c>
      <c r="B89" s="37" t="s">
        <v>409</v>
      </c>
      <c r="C89" s="37">
        <v>18770</v>
      </c>
      <c r="D89" s="37">
        <v>27</v>
      </c>
      <c r="E89" s="38">
        <v>42558</v>
      </c>
      <c r="F89" s="37" t="s">
        <v>105</v>
      </c>
      <c r="G89" s="37" t="s">
        <v>47</v>
      </c>
      <c r="H89" s="37" t="s">
        <v>139</v>
      </c>
      <c r="I89" s="37" t="s">
        <v>62</v>
      </c>
      <c r="J89" s="37" t="s">
        <v>112</v>
      </c>
      <c r="K89" s="37" t="s">
        <v>108</v>
      </c>
      <c r="L89" s="37" t="s">
        <v>5</v>
      </c>
      <c r="M89" s="37" t="s">
        <v>109</v>
      </c>
      <c r="N89" s="37">
        <v>50</v>
      </c>
      <c r="P89" s="37">
        <v>50</v>
      </c>
      <c r="Q89" s="37">
        <v>0</v>
      </c>
      <c r="R89" s="37" t="s">
        <v>424</v>
      </c>
      <c r="T89" s="37" t="s">
        <v>248</v>
      </c>
      <c r="U89" s="37" t="s">
        <v>253</v>
      </c>
      <c r="V89" s="37" t="s">
        <v>294</v>
      </c>
    </row>
    <row r="90" spans="1:24" x14ac:dyDescent="0.25">
      <c r="A90" s="37">
        <v>2016</v>
      </c>
      <c r="B90" s="37" t="s">
        <v>410</v>
      </c>
      <c r="C90" s="37">
        <v>18771</v>
      </c>
      <c r="D90" s="37">
        <v>27</v>
      </c>
      <c r="E90" s="38">
        <v>42558</v>
      </c>
      <c r="F90" s="37" t="s">
        <v>105</v>
      </c>
      <c r="G90" s="37" t="s">
        <v>47</v>
      </c>
      <c r="H90" s="37" t="s">
        <v>139</v>
      </c>
      <c r="I90" s="37" t="s">
        <v>62</v>
      </c>
      <c r="J90" s="37" t="s">
        <v>112</v>
      </c>
      <c r="K90" s="37" t="s">
        <v>108</v>
      </c>
      <c r="L90" s="37" t="s">
        <v>5</v>
      </c>
      <c r="M90" s="37" t="s">
        <v>109</v>
      </c>
      <c r="N90" s="37">
        <v>48</v>
      </c>
      <c r="P90" s="37">
        <v>48</v>
      </c>
      <c r="Q90" s="37">
        <v>0</v>
      </c>
      <c r="R90" s="37" t="s">
        <v>424</v>
      </c>
      <c r="T90" s="37" t="s">
        <v>248</v>
      </c>
      <c r="U90" s="37" t="s">
        <v>253</v>
      </c>
      <c r="V90" s="37" t="s">
        <v>294</v>
      </c>
      <c r="W90" s="36"/>
    </row>
    <row r="91" spans="1:24" x14ac:dyDescent="0.25">
      <c r="A91" s="37"/>
    </row>
    <row r="92" spans="1:24" x14ac:dyDescent="0.25">
      <c r="A92" s="37"/>
    </row>
    <row r="93" spans="1:24" x14ac:dyDescent="0.25">
      <c r="A93" s="37"/>
    </row>
    <row r="94" spans="1:24" x14ac:dyDescent="0.25">
      <c r="A94" s="37"/>
    </row>
    <row r="95" spans="1:24" x14ac:dyDescent="0.25">
      <c r="A95" s="37"/>
    </row>
    <row r="96" spans="1:24" x14ac:dyDescent="0.25">
      <c r="A96" s="37"/>
    </row>
    <row r="97" spans="1:5" x14ac:dyDescent="0.25">
      <c r="A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C113" s="37">
        <v>18623</v>
      </c>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W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318</v>
      </c>
      <c r="C1" s="63" t="s">
        <v>426</v>
      </c>
      <c r="D1" s="63" t="s">
        <v>427</v>
      </c>
      <c r="E1" s="62" t="s">
        <v>428</v>
      </c>
      <c r="F1" s="62" t="s">
        <v>429</v>
      </c>
      <c r="G1" s="62" t="s">
        <v>430</v>
      </c>
      <c r="H1" s="62" t="s">
        <v>431</v>
      </c>
      <c r="I1" s="62" t="s">
        <v>432</v>
      </c>
      <c r="J1" s="62" t="s">
        <v>433</v>
      </c>
    </row>
    <row r="2" spans="1:10" x14ac:dyDescent="0.25">
      <c r="A2" t="s">
        <v>9</v>
      </c>
      <c r="B2" s="31">
        <v>5.253913926958397</v>
      </c>
      <c r="C2" s="31">
        <v>0.31105003404607345</v>
      </c>
      <c r="D2" s="31">
        <v>26.983739420316528</v>
      </c>
      <c r="E2" s="70">
        <v>1000</v>
      </c>
      <c r="F2" s="71" t="s">
        <v>435</v>
      </c>
      <c r="G2" s="71" t="s">
        <v>436</v>
      </c>
      <c r="H2">
        <v>12</v>
      </c>
      <c r="I2">
        <v>1</v>
      </c>
      <c r="J2">
        <v>194</v>
      </c>
    </row>
    <row r="3" spans="1:10" x14ac:dyDescent="0.25">
      <c r="A3" t="s">
        <v>61</v>
      </c>
      <c r="B3" s="31">
        <v>0</v>
      </c>
      <c r="C3" s="31">
        <v>0</v>
      </c>
      <c r="D3" s="31">
        <v>9.3311279105275311</v>
      </c>
      <c r="E3" s="70">
        <v>1000</v>
      </c>
      <c r="F3" s="71" t="s">
        <v>64</v>
      </c>
      <c r="G3" s="71" t="s">
        <v>434</v>
      </c>
      <c r="H3">
        <v>22</v>
      </c>
      <c r="I3">
        <v>0</v>
      </c>
      <c r="J3">
        <v>354</v>
      </c>
    </row>
    <row r="4" spans="1:10" x14ac:dyDescent="0.25">
      <c r="A4" t="s">
        <v>60</v>
      </c>
      <c r="B4" s="31">
        <v>0</v>
      </c>
      <c r="C4" s="31">
        <v>0</v>
      </c>
      <c r="D4" s="31">
        <v>10.70469717934634</v>
      </c>
      <c r="E4" s="70">
        <v>1000</v>
      </c>
      <c r="F4" s="71" t="s">
        <v>64</v>
      </c>
      <c r="G4" s="71" t="s">
        <v>434</v>
      </c>
      <c r="H4">
        <v>20</v>
      </c>
      <c r="I4">
        <v>0</v>
      </c>
      <c r="J4">
        <v>299</v>
      </c>
    </row>
    <row r="5" spans="1:10" x14ac:dyDescent="0.25">
      <c r="A5" t="s">
        <v>62</v>
      </c>
      <c r="B5" s="31">
        <v>2.5831798379439577</v>
      </c>
      <c r="C5" s="31">
        <v>0.47577404213994484</v>
      </c>
      <c r="D5" s="31">
        <v>8.3913214910977363</v>
      </c>
      <c r="E5" s="70">
        <v>1000</v>
      </c>
      <c r="F5" s="71" t="s">
        <v>435</v>
      </c>
      <c r="G5" s="71" t="s">
        <v>436</v>
      </c>
      <c r="H5">
        <v>31</v>
      </c>
      <c r="I5">
        <v>2</v>
      </c>
      <c r="J5">
        <v>771</v>
      </c>
    </row>
    <row r="6" spans="1:10" x14ac:dyDescent="0.25">
      <c r="A6" t="s">
        <v>63</v>
      </c>
      <c r="B6" s="31">
        <v>0</v>
      </c>
      <c r="C6" s="31">
        <v>0</v>
      </c>
      <c r="D6" s="31">
        <v>213.15588783673496</v>
      </c>
      <c r="E6" s="70">
        <v>1000</v>
      </c>
      <c r="F6" s="71" t="s">
        <v>64</v>
      </c>
      <c r="G6" s="71" t="s">
        <v>434</v>
      </c>
      <c r="H6">
        <v>4</v>
      </c>
      <c r="I6">
        <v>0</v>
      </c>
      <c r="J6">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318</v>
      </c>
      <c r="C1" s="63" t="s">
        <v>426</v>
      </c>
      <c r="D1" s="63" t="s">
        <v>427</v>
      </c>
      <c r="E1" s="62" t="s">
        <v>428</v>
      </c>
      <c r="F1" s="62" t="s">
        <v>429</v>
      </c>
      <c r="G1" s="62" t="s">
        <v>430</v>
      </c>
      <c r="H1" s="62" t="s">
        <v>431</v>
      </c>
      <c r="I1" s="62" t="s">
        <v>432</v>
      </c>
      <c r="J1" s="62" t="s">
        <v>433</v>
      </c>
    </row>
    <row r="2" spans="1:10" x14ac:dyDescent="0.25">
      <c r="A2" t="s">
        <v>9</v>
      </c>
      <c r="B2" s="31">
        <v>5.253913926958397</v>
      </c>
      <c r="C2" s="31">
        <v>0.31105003404607356</v>
      </c>
      <c r="D2" s="31">
        <v>26.983739420316514</v>
      </c>
      <c r="E2" s="70">
        <v>1000</v>
      </c>
      <c r="F2" s="71" t="s">
        <v>435</v>
      </c>
      <c r="G2" s="71" t="s">
        <v>436</v>
      </c>
      <c r="H2">
        <v>12</v>
      </c>
      <c r="I2">
        <v>1</v>
      </c>
      <c r="J2">
        <v>194</v>
      </c>
    </row>
    <row r="3" spans="1:10" x14ac:dyDescent="0.25">
      <c r="A3" t="s">
        <v>61</v>
      </c>
      <c r="B3" s="31">
        <v>0</v>
      </c>
      <c r="C3" s="31">
        <v>0</v>
      </c>
      <c r="D3" s="31">
        <v>9.1113773820591302</v>
      </c>
      <c r="E3" s="70">
        <v>1000</v>
      </c>
      <c r="F3" s="71" t="s">
        <v>64</v>
      </c>
      <c r="G3" s="71" t="s">
        <v>434</v>
      </c>
      <c r="H3">
        <v>24</v>
      </c>
      <c r="I3">
        <v>0</v>
      </c>
      <c r="J3">
        <v>365</v>
      </c>
    </row>
    <row r="4" spans="1:10" x14ac:dyDescent="0.25">
      <c r="A4" t="s">
        <v>60</v>
      </c>
      <c r="B4" s="31">
        <v>0</v>
      </c>
      <c r="C4" s="31">
        <v>0</v>
      </c>
      <c r="D4" s="31">
        <v>10.998509163366736</v>
      </c>
      <c r="E4" s="70">
        <v>1000</v>
      </c>
      <c r="F4" s="71" t="s">
        <v>64</v>
      </c>
      <c r="G4" s="71" t="s">
        <v>434</v>
      </c>
      <c r="H4">
        <v>18</v>
      </c>
      <c r="I4">
        <v>0</v>
      </c>
      <c r="J4">
        <v>288</v>
      </c>
    </row>
    <row r="5" spans="1:10" x14ac:dyDescent="0.25">
      <c r="A5" t="s">
        <v>62</v>
      </c>
      <c r="B5" s="31">
        <v>2.5831798379439577</v>
      </c>
      <c r="C5" s="31">
        <v>0.47577404213994473</v>
      </c>
      <c r="D5" s="31">
        <v>8.3913214910977363</v>
      </c>
      <c r="E5" s="70">
        <v>1000</v>
      </c>
      <c r="F5" s="71" t="s">
        <v>435</v>
      </c>
      <c r="G5" s="71" t="s">
        <v>436</v>
      </c>
      <c r="H5">
        <v>31</v>
      </c>
      <c r="I5">
        <v>2</v>
      </c>
      <c r="J5">
        <v>771</v>
      </c>
    </row>
    <row r="6" spans="1:10" x14ac:dyDescent="0.25">
      <c r="A6" t="s">
        <v>63</v>
      </c>
      <c r="B6" s="31">
        <v>0</v>
      </c>
      <c r="C6" s="31">
        <v>0</v>
      </c>
      <c r="D6" s="31">
        <v>213.15588783673496</v>
      </c>
      <c r="E6" s="70">
        <v>1000</v>
      </c>
      <c r="F6" s="71" t="s">
        <v>64</v>
      </c>
      <c r="G6" s="71" t="s">
        <v>434</v>
      </c>
      <c r="H6">
        <v>4</v>
      </c>
      <c r="I6">
        <v>0</v>
      </c>
      <c r="J6">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41</v>
      </c>
      <c r="B1" s="63" t="s">
        <v>318</v>
      </c>
      <c r="C1" s="63" t="s">
        <v>426</v>
      </c>
      <c r="D1" s="63" t="s">
        <v>427</v>
      </c>
      <c r="E1" s="62" t="s">
        <v>428</v>
      </c>
      <c r="F1" s="62" t="s">
        <v>429</v>
      </c>
      <c r="G1" s="62" t="s">
        <v>430</v>
      </c>
      <c r="H1" s="62" t="s">
        <v>431</v>
      </c>
      <c r="I1" s="62" t="s">
        <v>432</v>
      </c>
      <c r="J1" s="62" t="s">
        <v>433</v>
      </c>
    </row>
    <row r="2" spans="1:10" x14ac:dyDescent="0.25">
      <c r="A2" t="s">
        <v>47</v>
      </c>
      <c r="B2" s="31">
        <v>1.3930441060912353</v>
      </c>
      <c r="C2" s="31">
        <v>0.25191874278083953</v>
      </c>
      <c r="D2" s="31">
        <v>4.5391585918638864</v>
      </c>
      <c r="E2" s="70">
        <v>1000</v>
      </c>
      <c r="F2" s="71" t="s">
        <v>435</v>
      </c>
      <c r="G2" s="71" t="s">
        <v>436</v>
      </c>
      <c r="H2">
        <v>77</v>
      </c>
      <c r="I2">
        <v>2</v>
      </c>
      <c r="J2">
        <v>1435</v>
      </c>
    </row>
    <row r="3" spans="1:10" x14ac:dyDescent="0.25">
      <c r="A3" t="s">
        <v>9</v>
      </c>
      <c r="B3" s="31">
        <v>5.253913926958397</v>
      </c>
      <c r="C3" s="31">
        <v>0.31105003404607356</v>
      </c>
      <c r="D3" s="31">
        <v>26.983739420316514</v>
      </c>
      <c r="E3" s="70">
        <v>1000</v>
      </c>
      <c r="F3" s="71" t="s">
        <v>435</v>
      </c>
      <c r="G3" s="71" t="s">
        <v>436</v>
      </c>
      <c r="H3">
        <v>12</v>
      </c>
      <c r="I3">
        <v>1</v>
      </c>
      <c r="J3">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L6" sqref="L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 min="11" max="11" width="11.140625" customWidth="1"/>
  </cols>
  <sheetData>
    <row r="1" spans="1:11" x14ac:dyDescent="0.25">
      <c r="A1" s="62" t="s">
        <v>257</v>
      </c>
      <c r="B1" s="62" t="s">
        <v>318</v>
      </c>
      <c r="C1" s="62" t="s">
        <v>426</v>
      </c>
      <c r="D1" s="62" t="s">
        <v>427</v>
      </c>
      <c r="E1" s="62" t="s">
        <v>428</v>
      </c>
      <c r="F1" s="62" t="s">
        <v>429</v>
      </c>
      <c r="G1" s="62" t="s">
        <v>430</v>
      </c>
      <c r="H1" s="62" t="s">
        <v>431</v>
      </c>
      <c r="I1" s="62" t="s">
        <v>432</v>
      </c>
      <c r="J1" s="62" t="s">
        <v>433</v>
      </c>
      <c r="K1" s="62" t="s">
        <v>438</v>
      </c>
    </row>
    <row r="2" spans="1:11" x14ac:dyDescent="0.25">
      <c r="A2" t="s">
        <v>292</v>
      </c>
      <c r="B2" s="31">
        <v>0</v>
      </c>
      <c r="C2" s="31">
        <v>0</v>
      </c>
      <c r="D2" s="31">
        <v>201.73653829382872</v>
      </c>
      <c r="E2" s="70">
        <v>1000</v>
      </c>
      <c r="F2" s="71" t="s">
        <v>64</v>
      </c>
      <c r="G2" s="71" t="s">
        <v>434</v>
      </c>
      <c r="H2">
        <v>1</v>
      </c>
      <c r="I2">
        <v>0</v>
      </c>
      <c r="J2">
        <v>7</v>
      </c>
    </row>
    <row r="3" spans="1:11" x14ac:dyDescent="0.25">
      <c r="A3" t="s">
        <v>291</v>
      </c>
      <c r="B3" s="31">
        <v>0</v>
      </c>
      <c r="C3" s="31">
        <v>0</v>
      </c>
      <c r="D3" s="31">
        <v>29.775042142805773</v>
      </c>
      <c r="E3" s="70">
        <v>1000</v>
      </c>
      <c r="F3" s="71" t="s">
        <v>64</v>
      </c>
      <c r="G3" s="71" t="s">
        <v>434</v>
      </c>
      <c r="H3">
        <v>2</v>
      </c>
      <c r="I3">
        <v>0</v>
      </c>
      <c r="J3">
        <v>65</v>
      </c>
    </row>
    <row r="4" spans="1:11" x14ac:dyDescent="0.25">
      <c r="A4" t="s">
        <v>273</v>
      </c>
      <c r="B4" s="31">
        <v>0</v>
      </c>
      <c r="C4" s="31">
        <v>0</v>
      </c>
      <c r="D4" s="31">
        <v>270.53450882149838</v>
      </c>
      <c r="E4" s="70">
        <v>1000</v>
      </c>
      <c r="F4" s="71" t="s">
        <v>64</v>
      </c>
      <c r="G4" s="71" t="s">
        <v>434</v>
      </c>
      <c r="H4">
        <v>1</v>
      </c>
      <c r="I4">
        <v>0</v>
      </c>
      <c r="J4">
        <v>5</v>
      </c>
    </row>
    <row r="5" spans="1:11" x14ac:dyDescent="0.25">
      <c r="A5" t="s">
        <v>272</v>
      </c>
      <c r="B5" s="31">
        <v>0</v>
      </c>
      <c r="C5" s="31">
        <v>0</v>
      </c>
      <c r="D5" s="31">
        <v>231.15765795412196</v>
      </c>
      <c r="E5" s="70">
        <v>1000</v>
      </c>
      <c r="F5" s="71" t="s">
        <v>64</v>
      </c>
      <c r="G5" s="71" t="s">
        <v>434</v>
      </c>
      <c r="H5">
        <v>1</v>
      </c>
      <c r="I5">
        <v>0</v>
      </c>
      <c r="J5">
        <v>6</v>
      </c>
    </row>
    <row r="6" spans="1:11" x14ac:dyDescent="0.25">
      <c r="A6" t="s">
        <v>311</v>
      </c>
      <c r="B6" s="31">
        <v>0</v>
      </c>
      <c r="C6" s="31">
        <v>0</v>
      </c>
      <c r="D6" s="31">
        <v>114.25334710356053</v>
      </c>
      <c r="E6" s="70">
        <v>1000</v>
      </c>
      <c r="F6" s="71" t="s">
        <v>64</v>
      </c>
      <c r="G6" s="71" t="s">
        <v>434</v>
      </c>
      <c r="H6">
        <v>1</v>
      </c>
      <c r="I6">
        <v>0</v>
      </c>
      <c r="J6">
        <v>13</v>
      </c>
    </row>
    <row r="7" spans="1:11" x14ac:dyDescent="0.25">
      <c r="A7" t="s">
        <v>310</v>
      </c>
      <c r="B7" s="31">
        <v>0</v>
      </c>
      <c r="C7" s="31">
        <v>0</v>
      </c>
      <c r="D7" s="31">
        <v>201.73653829382872</v>
      </c>
      <c r="E7" s="70">
        <v>1000</v>
      </c>
      <c r="F7" s="71" t="s">
        <v>64</v>
      </c>
      <c r="G7" s="71" t="s">
        <v>434</v>
      </c>
      <c r="H7">
        <v>1</v>
      </c>
      <c r="I7">
        <v>0</v>
      </c>
      <c r="J7">
        <v>7</v>
      </c>
    </row>
    <row r="8" spans="1:11" x14ac:dyDescent="0.25">
      <c r="A8" t="s">
        <v>263</v>
      </c>
      <c r="B8" s="31">
        <v>0</v>
      </c>
      <c r="C8" s="31">
        <v>0</v>
      </c>
      <c r="D8" s="31">
        <v>83.893922418135233</v>
      </c>
      <c r="E8" s="70">
        <v>1000</v>
      </c>
      <c r="F8" s="71" t="s">
        <v>64</v>
      </c>
      <c r="G8" s="71" t="s">
        <v>434</v>
      </c>
      <c r="H8">
        <v>1</v>
      </c>
      <c r="I8">
        <v>0</v>
      </c>
      <c r="J8">
        <v>18</v>
      </c>
    </row>
    <row r="9" spans="1:11" x14ac:dyDescent="0.25">
      <c r="A9" t="s">
        <v>308</v>
      </c>
      <c r="B9" s="31">
        <v>0</v>
      </c>
      <c r="C9" s="31">
        <v>0</v>
      </c>
      <c r="D9" s="31">
        <v>545.52303207176999</v>
      </c>
      <c r="E9" s="70">
        <v>1000</v>
      </c>
      <c r="F9" s="71" t="s">
        <v>64</v>
      </c>
      <c r="G9" s="71" t="s">
        <v>434</v>
      </c>
      <c r="H9">
        <v>1</v>
      </c>
      <c r="I9">
        <v>0</v>
      </c>
      <c r="J9">
        <v>2</v>
      </c>
    </row>
    <row r="10" spans="1:11" x14ac:dyDescent="0.25">
      <c r="A10" t="s">
        <v>265</v>
      </c>
      <c r="B10" s="31">
        <v>0</v>
      </c>
      <c r="C10" s="31">
        <v>0</v>
      </c>
      <c r="D10" s="31">
        <v>408.88145297275059</v>
      </c>
      <c r="E10" s="70">
        <v>1000</v>
      </c>
      <c r="F10" s="71" t="s">
        <v>64</v>
      </c>
      <c r="G10" s="71" t="s">
        <v>434</v>
      </c>
      <c r="H10">
        <v>1</v>
      </c>
      <c r="I10">
        <v>0</v>
      </c>
      <c r="J10">
        <v>3</v>
      </c>
    </row>
    <row r="11" spans="1:11" x14ac:dyDescent="0.25">
      <c r="A11" t="s">
        <v>289</v>
      </c>
      <c r="B11" s="31">
        <v>0</v>
      </c>
      <c r="C11" s="31">
        <v>0</v>
      </c>
      <c r="D11" s="31">
        <v>793.45068562271626</v>
      </c>
      <c r="E11" s="70">
        <v>1000</v>
      </c>
      <c r="F11" s="71" t="s">
        <v>64</v>
      </c>
      <c r="G11" s="71" t="s">
        <v>434</v>
      </c>
      <c r="H11">
        <v>1</v>
      </c>
      <c r="I11">
        <v>0</v>
      </c>
      <c r="J11">
        <v>1</v>
      </c>
    </row>
    <row r="12" spans="1:11" x14ac:dyDescent="0.25">
      <c r="A12" t="s">
        <v>288</v>
      </c>
      <c r="B12" s="31">
        <v>0</v>
      </c>
      <c r="C12" s="31">
        <v>0</v>
      </c>
      <c r="D12" s="31">
        <v>114.25334710356053</v>
      </c>
      <c r="E12" s="70">
        <v>1000</v>
      </c>
      <c r="F12" s="71" t="s">
        <v>64</v>
      </c>
      <c r="G12" s="71" t="s">
        <v>434</v>
      </c>
      <c r="H12">
        <v>1</v>
      </c>
      <c r="I12">
        <v>0</v>
      </c>
      <c r="J12">
        <v>13</v>
      </c>
    </row>
    <row r="13" spans="1:11" x14ac:dyDescent="0.25">
      <c r="A13" t="s">
        <v>284</v>
      </c>
      <c r="B13" s="31">
        <v>0</v>
      </c>
      <c r="C13" s="31">
        <v>0</v>
      </c>
      <c r="D13" s="31">
        <v>37.73816249213769</v>
      </c>
      <c r="E13" s="70">
        <v>1000</v>
      </c>
      <c r="F13" s="71" t="s">
        <v>64</v>
      </c>
      <c r="G13" s="71" t="s">
        <v>434</v>
      </c>
      <c r="H13">
        <v>1</v>
      </c>
      <c r="I13">
        <v>0</v>
      </c>
      <c r="J13">
        <v>41</v>
      </c>
    </row>
    <row r="14" spans="1:11" x14ac:dyDescent="0.25">
      <c r="A14" t="s">
        <v>415</v>
      </c>
      <c r="B14" s="31">
        <v>0</v>
      </c>
      <c r="C14" s="31">
        <v>0</v>
      </c>
      <c r="D14" s="31">
        <v>793.45068562271626</v>
      </c>
      <c r="E14" s="70">
        <v>1000</v>
      </c>
      <c r="F14" s="71" t="s">
        <v>64</v>
      </c>
      <c r="G14" s="71" t="s">
        <v>434</v>
      </c>
      <c r="H14">
        <v>1</v>
      </c>
      <c r="I14">
        <v>0</v>
      </c>
      <c r="J14">
        <v>1</v>
      </c>
    </row>
    <row r="15" spans="1:11" x14ac:dyDescent="0.25">
      <c r="A15" t="s">
        <v>268</v>
      </c>
      <c r="B15" s="31">
        <v>0</v>
      </c>
      <c r="C15" s="31">
        <v>0</v>
      </c>
      <c r="D15" s="31">
        <v>231.15765795412196</v>
      </c>
      <c r="E15" s="70">
        <v>1000</v>
      </c>
      <c r="F15" s="71" t="s">
        <v>64</v>
      </c>
      <c r="G15" s="71" t="s">
        <v>434</v>
      </c>
      <c r="H15">
        <v>1</v>
      </c>
      <c r="I15">
        <v>0</v>
      </c>
      <c r="J15">
        <v>6</v>
      </c>
    </row>
    <row r="16" spans="1:11" x14ac:dyDescent="0.25">
      <c r="A16" t="s">
        <v>418</v>
      </c>
      <c r="B16" s="31">
        <v>0</v>
      </c>
      <c r="C16" s="31">
        <v>0</v>
      </c>
      <c r="D16" s="31">
        <v>123.16344625616617</v>
      </c>
      <c r="E16" s="70">
        <v>1000</v>
      </c>
      <c r="F16" s="71" t="s">
        <v>64</v>
      </c>
      <c r="G16" s="71" t="s">
        <v>434</v>
      </c>
      <c r="H16">
        <v>1</v>
      </c>
      <c r="I16">
        <v>0</v>
      </c>
      <c r="J16">
        <v>12</v>
      </c>
    </row>
    <row r="17" spans="1:11" x14ac:dyDescent="0.25">
      <c r="A17" t="s">
        <v>260</v>
      </c>
      <c r="B17" s="31">
        <v>0</v>
      </c>
      <c r="C17" s="31">
        <v>0</v>
      </c>
      <c r="D17" s="31">
        <v>160.74965465839998</v>
      </c>
      <c r="E17" s="70">
        <v>1000</v>
      </c>
      <c r="F17" s="71" t="s">
        <v>64</v>
      </c>
      <c r="G17" s="71" t="s">
        <v>434</v>
      </c>
      <c r="H17">
        <v>1</v>
      </c>
      <c r="I17">
        <v>0</v>
      </c>
      <c r="J17">
        <v>9</v>
      </c>
    </row>
    <row r="18" spans="1:11" x14ac:dyDescent="0.25">
      <c r="A18" t="s">
        <v>271</v>
      </c>
      <c r="B18" s="31">
        <v>0</v>
      </c>
      <c r="C18" s="31">
        <v>0</v>
      </c>
      <c r="D18" s="31">
        <v>545.52303207176999</v>
      </c>
      <c r="E18" s="70">
        <v>1000</v>
      </c>
      <c r="F18" s="71" t="s">
        <v>64</v>
      </c>
      <c r="G18" s="71" t="s">
        <v>434</v>
      </c>
      <c r="H18">
        <v>1</v>
      </c>
      <c r="I18">
        <v>0</v>
      </c>
      <c r="J18">
        <v>2</v>
      </c>
    </row>
    <row r="19" spans="1:11" x14ac:dyDescent="0.25">
      <c r="A19" t="s">
        <v>270</v>
      </c>
      <c r="B19" s="31">
        <v>0</v>
      </c>
      <c r="C19" s="31">
        <v>0</v>
      </c>
      <c r="D19" s="31">
        <v>79.659319756762002</v>
      </c>
      <c r="E19" s="70">
        <v>1000</v>
      </c>
      <c r="F19" s="71" t="s">
        <v>64</v>
      </c>
      <c r="G19" s="71" t="s">
        <v>434</v>
      </c>
      <c r="H19">
        <v>1</v>
      </c>
      <c r="I19">
        <v>0</v>
      </c>
      <c r="J19">
        <v>19</v>
      </c>
    </row>
    <row r="20" spans="1:11" x14ac:dyDescent="0.25">
      <c r="A20" t="s">
        <v>419</v>
      </c>
      <c r="B20" s="31">
        <v>108.15795362676769</v>
      </c>
      <c r="C20" s="31">
        <v>7.32775617048366</v>
      </c>
      <c r="D20" s="31">
        <v>793.45068558119112</v>
      </c>
      <c r="E20" s="70">
        <v>1000</v>
      </c>
      <c r="F20" s="71" t="s">
        <v>64</v>
      </c>
      <c r="G20" s="71" t="s">
        <v>434</v>
      </c>
      <c r="H20">
        <v>2</v>
      </c>
      <c r="I20">
        <v>1</v>
      </c>
      <c r="J20">
        <v>31</v>
      </c>
    </row>
    <row r="21" spans="1:11" x14ac:dyDescent="0.25">
      <c r="A21" t="s">
        <v>285</v>
      </c>
      <c r="B21" s="31">
        <v>0</v>
      </c>
      <c r="C21" s="31">
        <v>0</v>
      </c>
      <c r="D21" s="31">
        <v>20.214722685114232</v>
      </c>
      <c r="E21" s="70">
        <v>1000</v>
      </c>
      <c r="F21" s="71" t="s">
        <v>64</v>
      </c>
      <c r="G21" s="71" t="s">
        <v>434</v>
      </c>
      <c r="H21">
        <v>3</v>
      </c>
      <c r="I21">
        <v>0</v>
      </c>
      <c r="J21">
        <v>115</v>
      </c>
    </row>
    <row r="22" spans="1:11" x14ac:dyDescent="0.25">
      <c r="A22" t="s">
        <v>267</v>
      </c>
      <c r="B22" s="31">
        <v>0</v>
      </c>
      <c r="C22" s="31">
        <v>0</v>
      </c>
      <c r="D22" s="31">
        <v>21.050708279461578</v>
      </c>
      <c r="E22" s="70">
        <v>1000</v>
      </c>
      <c r="F22" s="71" t="s">
        <v>64</v>
      </c>
      <c r="G22" s="71" t="s">
        <v>434</v>
      </c>
      <c r="H22">
        <v>3</v>
      </c>
      <c r="I22">
        <v>0</v>
      </c>
      <c r="J22">
        <v>108</v>
      </c>
    </row>
    <row r="23" spans="1:11" x14ac:dyDescent="0.25">
      <c r="A23" t="s">
        <v>266</v>
      </c>
      <c r="B23" s="31">
        <v>0</v>
      </c>
      <c r="C23" s="31">
        <v>0</v>
      </c>
      <c r="D23" s="31">
        <v>45.329198469580618</v>
      </c>
      <c r="E23" s="70">
        <v>1000</v>
      </c>
      <c r="F23" s="71" t="s">
        <v>64</v>
      </c>
      <c r="G23" s="71" t="s">
        <v>434</v>
      </c>
      <c r="H23">
        <v>1</v>
      </c>
      <c r="I23">
        <v>0</v>
      </c>
      <c r="J23">
        <v>34</v>
      </c>
    </row>
    <row r="24" spans="1:11" x14ac:dyDescent="0.25">
      <c r="A24" t="s">
        <v>305</v>
      </c>
      <c r="B24" s="31">
        <v>0</v>
      </c>
      <c r="C24" s="31">
        <v>0</v>
      </c>
      <c r="D24" s="31">
        <v>79.659319756762002</v>
      </c>
      <c r="E24" s="70">
        <v>1000</v>
      </c>
      <c r="F24" s="71" t="s">
        <v>64</v>
      </c>
      <c r="G24" s="71" t="s">
        <v>434</v>
      </c>
      <c r="H24">
        <v>1</v>
      </c>
      <c r="I24">
        <v>0</v>
      </c>
      <c r="J24">
        <v>19</v>
      </c>
    </row>
    <row r="25" spans="1:11" x14ac:dyDescent="0.25">
      <c r="A25" t="s">
        <v>304</v>
      </c>
      <c r="B25" s="31">
        <v>0</v>
      </c>
      <c r="C25" s="31">
        <v>0</v>
      </c>
      <c r="D25" s="31">
        <v>145.91248037878626</v>
      </c>
      <c r="E25" s="70">
        <v>1000</v>
      </c>
      <c r="F25" s="71" t="s">
        <v>64</v>
      </c>
      <c r="G25" s="71" t="s">
        <v>434</v>
      </c>
      <c r="H25">
        <v>1</v>
      </c>
      <c r="I25">
        <v>0</v>
      </c>
      <c r="J25">
        <v>10</v>
      </c>
    </row>
    <row r="26" spans="1:11" x14ac:dyDescent="0.25">
      <c r="A26" t="s">
        <v>283</v>
      </c>
      <c r="B26" s="31">
        <v>0</v>
      </c>
      <c r="C26" s="31">
        <v>0</v>
      </c>
      <c r="D26" s="31">
        <v>325.85093048471754</v>
      </c>
      <c r="E26" s="70">
        <v>1000</v>
      </c>
      <c r="F26" s="71" t="s">
        <v>64</v>
      </c>
      <c r="G26" s="71" t="s">
        <v>434</v>
      </c>
      <c r="H26">
        <v>1</v>
      </c>
      <c r="I26">
        <v>0</v>
      </c>
      <c r="J26">
        <v>4</v>
      </c>
    </row>
    <row r="27" spans="1:11" x14ac:dyDescent="0.25">
      <c r="A27" t="s">
        <v>282</v>
      </c>
      <c r="B27" s="31">
        <v>0</v>
      </c>
      <c r="C27" s="31">
        <v>0</v>
      </c>
      <c r="D27" s="31">
        <v>231.15765795412196</v>
      </c>
      <c r="E27" s="70">
        <v>1000</v>
      </c>
      <c r="F27" s="71" t="s">
        <v>64</v>
      </c>
      <c r="G27" s="71" t="s">
        <v>434</v>
      </c>
      <c r="H27">
        <v>1</v>
      </c>
      <c r="I27">
        <v>0</v>
      </c>
      <c r="J27">
        <v>6</v>
      </c>
    </row>
    <row r="28" spans="1:11" x14ac:dyDescent="0.25">
      <c r="A28" t="s">
        <v>420</v>
      </c>
      <c r="B28" s="31">
        <v>0</v>
      </c>
      <c r="C28" s="31">
        <v>0</v>
      </c>
      <c r="D28" s="31">
        <v>270.53450882149838</v>
      </c>
      <c r="E28" s="70">
        <v>1000</v>
      </c>
      <c r="F28" s="71" t="s">
        <v>64</v>
      </c>
      <c r="G28" s="71" t="s">
        <v>434</v>
      </c>
      <c r="H28">
        <v>1</v>
      </c>
      <c r="I28">
        <v>0</v>
      </c>
      <c r="J28">
        <v>5</v>
      </c>
    </row>
    <row r="29" spans="1:11" x14ac:dyDescent="0.25">
      <c r="A29" t="s">
        <v>315</v>
      </c>
      <c r="B29" s="31">
        <v>0</v>
      </c>
      <c r="C29" s="31">
        <v>0</v>
      </c>
      <c r="D29" s="31">
        <v>325.85093048471754</v>
      </c>
      <c r="E29" s="70">
        <v>1000</v>
      </c>
      <c r="F29" s="71" t="s">
        <v>64</v>
      </c>
      <c r="G29" s="71" t="s">
        <v>434</v>
      </c>
      <c r="H29">
        <v>1</v>
      </c>
      <c r="I29">
        <v>0</v>
      </c>
      <c r="J29">
        <v>4</v>
      </c>
    </row>
    <row r="30" spans="1:11" x14ac:dyDescent="0.25">
      <c r="A30" t="s">
        <v>314</v>
      </c>
      <c r="B30" s="31">
        <v>0</v>
      </c>
      <c r="C30" s="31">
        <v>0</v>
      </c>
      <c r="D30" s="31">
        <v>545.52303207176999</v>
      </c>
      <c r="E30" s="70">
        <v>1000</v>
      </c>
      <c r="F30" s="71" t="s">
        <v>64</v>
      </c>
      <c r="G30" s="71" t="s">
        <v>434</v>
      </c>
      <c r="H30">
        <v>1</v>
      </c>
      <c r="I30">
        <v>0</v>
      </c>
      <c r="J30">
        <v>2</v>
      </c>
    </row>
    <row r="31" spans="1:11" x14ac:dyDescent="0.25">
      <c r="A31" t="s">
        <v>287</v>
      </c>
      <c r="B31" s="31">
        <v>0</v>
      </c>
      <c r="C31" s="31">
        <v>0</v>
      </c>
      <c r="D31" s="31">
        <v>325.85093048471754</v>
      </c>
      <c r="E31" s="70">
        <v>1000</v>
      </c>
      <c r="F31" s="71" t="s">
        <v>64</v>
      </c>
      <c r="G31" s="71" t="s">
        <v>434</v>
      </c>
      <c r="H31">
        <v>1</v>
      </c>
      <c r="I31">
        <v>0</v>
      </c>
      <c r="J31">
        <v>4</v>
      </c>
    </row>
    <row r="32" spans="1:11" x14ac:dyDescent="0.25">
      <c r="A32" t="s">
        <v>286</v>
      </c>
      <c r="B32" t="e">
        <v>#N/A</v>
      </c>
      <c r="C32" t="e">
        <v>#N/A</v>
      </c>
      <c r="D32" t="e">
        <v>#N/A</v>
      </c>
      <c r="E32" s="70">
        <v>1000</v>
      </c>
      <c r="F32" s="71" t="s">
        <v>435</v>
      </c>
      <c r="G32" s="71" t="s">
        <v>436</v>
      </c>
      <c r="H32">
        <v>1</v>
      </c>
      <c r="I32">
        <v>1</v>
      </c>
      <c r="J32">
        <v>6</v>
      </c>
      <c r="K32" t="s">
        <v>437</v>
      </c>
    </row>
    <row r="33" spans="1:10" x14ac:dyDescent="0.25">
      <c r="A33" t="s">
        <v>298</v>
      </c>
      <c r="B33" s="31">
        <v>0</v>
      </c>
      <c r="C33" s="31">
        <v>0</v>
      </c>
      <c r="D33" s="31">
        <v>793.45068562271626</v>
      </c>
      <c r="E33" s="70">
        <v>1000</v>
      </c>
      <c r="F33" s="71" t="s">
        <v>64</v>
      </c>
      <c r="G33" s="71" t="s">
        <v>434</v>
      </c>
      <c r="H33">
        <v>1</v>
      </c>
      <c r="I33">
        <v>0</v>
      </c>
      <c r="J33">
        <v>1</v>
      </c>
    </row>
    <row r="34" spans="1:10" x14ac:dyDescent="0.25">
      <c r="A34" t="s">
        <v>297</v>
      </c>
      <c r="B34" s="31">
        <v>0</v>
      </c>
      <c r="C34" s="31">
        <v>0</v>
      </c>
      <c r="D34" s="31">
        <v>408.88145297275059</v>
      </c>
      <c r="E34" s="70">
        <v>1000</v>
      </c>
      <c r="F34" s="71" t="s">
        <v>64</v>
      </c>
      <c r="G34" s="71" t="s">
        <v>434</v>
      </c>
      <c r="H34">
        <v>1</v>
      </c>
      <c r="I34">
        <v>0</v>
      </c>
      <c r="J34">
        <v>3</v>
      </c>
    </row>
    <row r="35" spans="1:10" x14ac:dyDescent="0.25">
      <c r="A35" t="s">
        <v>313</v>
      </c>
      <c r="B35" s="31">
        <v>0</v>
      </c>
      <c r="C35" s="31">
        <v>0</v>
      </c>
      <c r="D35" s="31">
        <v>93.873180491340236</v>
      </c>
      <c r="E35" s="70">
        <v>1000</v>
      </c>
      <c r="F35" s="71" t="s">
        <v>64</v>
      </c>
      <c r="G35" s="71" t="s">
        <v>434</v>
      </c>
      <c r="H35">
        <v>1</v>
      </c>
      <c r="I35">
        <v>0</v>
      </c>
      <c r="J35">
        <v>16</v>
      </c>
    </row>
    <row r="36" spans="1:10" x14ac:dyDescent="0.25">
      <c r="A36" t="s">
        <v>312</v>
      </c>
      <c r="B36" s="31">
        <v>0</v>
      </c>
      <c r="C36" s="31">
        <v>0</v>
      </c>
      <c r="D36" s="31">
        <v>18.492097341262888</v>
      </c>
      <c r="E36" s="70">
        <v>1000</v>
      </c>
      <c r="F36" s="71" t="s">
        <v>64</v>
      </c>
      <c r="G36" s="71" t="s">
        <v>434</v>
      </c>
      <c r="H36">
        <v>3</v>
      </c>
      <c r="I36">
        <v>0</v>
      </c>
      <c r="J36">
        <v>131</v>
      </c>
    </row>
    <row r="37" spans="1:10" x14ac:dyDescent="0.25">
      <c r="A37" t="s">
        <v>307</v>
      </c>
      <c r="B37" s="31">
        <v>0</v>
      </c>
      <c r="C37" s="31">
        <v>0</v>
      </c>
      <c r="D37" s="31">
        <v>545.52303207176999</v>
      </c>
      <c r="E37" s="70">
        <v>1000</v>
      </c>
      <c r="F37" s="71" t="s">
        <v>64</v>
      </c>
      <c r="G37" s="71" t="s">
        <v>434</v>
      </c>
      <c r="H37">
        <v>1</v>
      </c>
      <c r="I37">
        <v>0</v>
      </c>
      <c r="J37">
        <v>2</v>
      </c>
    </row>
    <row r="38" spans="1:10" x14ac:dyDescent="0.25">
      <c r="A38" t="s">
        <v>306</v>
      </c>
      <c r="B38" s="31">
        <v>0</v>
      </c>
      <c r="C38" s="31">
        <v>0</v>
      </c>
      <c r="D38" s="31">
        <v>408.88145297275059</v>
      </c>
      <c r="E38" s="70">
        <v>1000</v>
      </c>
      <c r="F38" s="71" t="s">
        <v>64</v>
      </c>
      <c r="G38" s="71" t="s">
        <v>434</v>
      </c>
      <c r="H38">
        <v>1</v>
      </c>
      <c r="I38">
        <v>0</v>
      </c>
      <c r="J38">
        <v>3</v>
      </c>
    </row>
    <row r="39" spans="1:10" x14ac:dyDescent="0.25">
      <c r="A39" t="s">
        <v>317</v>
      </c>
      <c r="B39" s="31">
        <v>0</v>
      </c>
      <c r="C39" s="31">
        <v>0</v>
      </c>
      <c r="D39" s="31">
        <v>114.25334710356053</v>
      </c>
      <c r="E39" s="70">
        <v>1000</v>
      </c>
      <c r="F39" s="71" t="s">
        <v>64</v>
      </c>
      <c r="G39" s="71" t="s">
        <v>434</v>
      </c>
      <c r="H39">
        <v>1</v>
      </c>
      <c r="I39">
        <v>0</v>
      </c>
      <c r="J39">
        <v>13</v>
      </c>
    </row>
    <row r="40" spans="1:10" x14ac:dyDescent="0.25">
      <c r="A40" t="s">
        <v>316</v>
      </c>
      <c r="B40" s="31">
        <v>0</v>
      </c>
      <c r="C40" s="31">
        <v>0</v>
      </c>
      <c r="D40" s="31">
        <v>178.93418685287219</v>
      </c>
      <c r="E40" s="70">
        <v>1000</v>
      </c>
      <c r="F40" s="71" t="s">
        <v>64</v>
      </c>
      <c r="G40" s="71" t="s">
        <v>434</v>
      </c>
      <c r="H40">
        <v>1</v>
      </c>
      <c r="I40">
        <v>0</v>
      </c>
      <c r="J40">
        <v>8</v>
      </c>
    </row>
    <row r="41" spans="1:10" x14ac:dyDescent="0.25">
      <c r="A41" t="s">
        <v>417</v>
      </c>
      <c r="B41" s="31">
        <v>0</v>
      </c>
      <c r="C41" s="31">
        <v>0</v>
      </c>
      <c r="D41" s="31">
        <v>145.91248037878626</v>
      </c>
      <c r="E41" s="70">
        <v>1000</v>
      </c>
      <c r="F41" s="71" t="s">
        <v>64</v>
      </c>
      <c r="G41" s="71" t="s">
        <v>434</v>
      </c>
      <c r="H41">
        <v>1</v>
      </c>
      <c r="I41">
        <v>0</v>
      </c>
      <c r="J41">
        <v>10</v>
      </c>
    </row>
    <row r="42" spans="1:10" x14ac:dyDescent="0.25">
      <c r="A42" t="s">
        <v>416</v>
      </c>
      <c r="B42" s="31">
        <v>0</v>
      </c>
      <c r="C42" s="31">
        <v>0</v>
      </c>
      <c r="D42" s="31">
        <v>793.45068562271626</v>
      </c>
      <c r="E42" s="70">
        <v>1000</v>
      </c>
      <c r="F42" s="71" t="s">
        <v>64</v>
      </c>
      <c r="G42" s="71" t="s">
        <v>434</v>
      </c>
      <c r="H42">
        <v>1</v>
      </c>
      <c r="I42">
        <v>0</v>
      </c>
      <c r="J42">
        <v>1</v>
      </c>
    </row>
    <row r="43" spans="1:10" x14ac:dyDescent="0.25">
      <c r="A43" t="s">
        <v>303</v>
      </c>
      <c r="B43" s="31">
        <v>0</v>
      </c>
      <c r="C43" s="31">
        <v>0</v>
      </c>
      <c r="D43" s="31">
        <v>270.53450882149838</v>
      </c>
      <c r="E43" s="70">
        <v>1000</v>
      </c>
      <c r="F43" s="71" t="s">
        <v>64</v>
      </c>
      <c r="G43" s="71" t="s">
        <v>434</v>
      </c>
      <c r="H43">
        <v>1</v>
      </c>
      <c r="I43">
        <v>0</v>
      </c>
      <c r="J43">
        <v>5</v>
      </c>
    </row>
    <row r="44" spans="1:10" x14ac:dyDescent="0.25">
      <c r="A44" t="s">
        <v>302</v>
      </c>
      <c r="B44" s="31">
        <v>0</v>
      </c>
      <c r="C44" s="31">
        <v>0</v>
      </c>
      <c r="D44" s="31">
        <v>160.74965465839998</v>
      </c>
      <c r="E44" s="70">
        <v>1000</v>
      </c>
      <c r="F44" s="71" t="s">
        <v>64</v>
      </c>
      <c r="G44" s="71" t="s">
        <v>434</v>
      </c>
      <c r="H44">
        <v>1</v>
      </c>
      <c r="I44">
        <v>0</v>
      </c>
      <c r="J44">
        <v>9</v>
      </c>
    </row>
    <row r="45" spans="1:10" x14ac:dyDescent="0.25">
      <c r="A45" t="s">
        <v>309</v>
      </c>
      <c r="B45" s="31">
        <v>0</v>
      </c>
      <c r="C45" s="31">
        <v>0</v>
      </c>
      <c r="D45" s="31">
        <v>16.318579383277577</v>
      </c>
      <c r="E45" s="70">
        <v>1000</v>
      </c>
      <c r="F45" s="71" t="s">
        <v>64</v>
      </c>
      <c r="G45" s="71" t="s">
        <v>434</v>
      </c>
      <c r="H45">
        <v>4</v>
      </c>
      <c r="I45">
        <v>0</v>
      </c>
      <c r="J45">
        <v>151</v>
      </c>
    </row>
    <row r="46" spans="1:10" x14ac:dyDescent="0.25">
      <c r="A46" t="s">
        <v>421</v>
      </c>
      <c r="B46" s="31">
        <v>0</v>
      </c>
      <c r="C46" s="31">
        <v>0</v>
      </c>
      <c r="D46" s="31">
        <v>270.53450882149838</v>
      </c>
      <c r="E46" s="70">
        <v>1000</v>
      </c>
      <c r="F46" s="71" t="s">
        <v>64</v>
      </c>
      <c r="G46" s="71" t="s">
        <v>434</v>
      </c>
      <c r="H46">
        <v>1</v>
      </c>
      <c r="I46">
        <v>0</v>
      </c>
      <c r="J46">
        <v>5</v>
      </c>
    </row>
    <row r="47" spans="1:10" x14ac:dyDescent="0.25">
      <c r="A47" t="s">
        <v>293</v>
      </c>
      <c r="B47" s="31">
        <v>0</v>
      </c>
      <c r="C47" s="31">
        <v>0</v>
      </c>
      <c r="D47" s="31">
        <v>21.208535343573626</v>
      </c>
      <c r="E47" s="70">
        <v>1000</v>
      </c>
      <c r="F47" s="71" t="s">
        <v>64</v>
      </c>
      <c r="G47" s="71" t="s">
        <v>434</v>
      </c>
      <c r="H47">
        <v>2</v>
      </c>
      <c r="I47">
        <v>0</v>
      </c>
      <c r="J47">
        <v>100</v>
      </c>
    </row>
    <row r="48" spans="1:10" x14ac:dyDescent="0.25">
      <c r="A48" t="s">
        <v>262</v>
      </c>
      <c r="B48" s="31">
        <v>0</v>
      </c>
      <c r="C48" s="31">
        <v>0</v>
      </c>
      <c r="D48" s="31">
        <v>46.544652081688021</v>
      </c>
      <c r="E48" s="70">
        <v>1000</v>
      </c>
      <c r="F48" s="71" t="s">
        <v>64</v>
      </c>
      <c r="G48" s="71" t="s">
        <v>434</v>
      </c>
      <c r="H48">
        <v>2</v>
      </c>
      <c r="I48">
        <v>0</v>
      </c>
      <c r="J48">
        <v>44</v>
      </c>
    </row>
    <row r="49" spans="1:10" x14ac:dyDescent="0.25">
      <c r="A49" t="s">
        <v>261</v>
      </c>
      <c r="B49" s="31">
        <v>0</v>
      </c>
      <c r="C49" s="31">
        <v>0</v>
      </c>
      <c r="D49" s="31">
        <v>30.198434218900896</v>
      </c>
      <c r="E49" s="70">
        <v>1000</v>
      </c>
      <c r="F49" s="71" t="s">
        <v>64</v>
      </c>
      <c r="G49" s="71" t="s">
        <v>434</v>
      </c>
      <c r="H49">
        <v>2</v>
      </c>
      <c r="I49">
        <v>0</v>
      </c>
      <c r="J49">
        <v>63</v>
      </c>
    </row>
    <row r="50" spans="1:10" x14ac:dyDescent="0.25">
      <c r="A50" t="s">
        <v>278</v>
      </c>
      <c r="B50" s="31">
        <v>0</v>
      </c>
      <c r="C50" s="31">
        <v>0</v>
      </c>
      <c r="D50" s="31">
        <v>133.57807730572927</v>
      </c>
      <c r="E50" s="70">
        <v>1000</v>
      </c>
      <c r="F50" s="71" t="s">
        <v>64</v>
      </c>
      <c r="G50" s="71" t="s">
        <v>434</v>
      </c>
      <c r="H50">
        <v>1</v>
      </c>
      <c r="I50">
        <v>0</v>
      </c>
      <c r="J50">
        <v>11</v>
      </c>
    </row>
    <row r="51" spans="1:10" x14ac:dyDescent="0.25">
      <c r="A51" t="s">
        <v>277</v>
      </c>
      <c r="B51" s="31">
        <v>0</v>
      </c>
      <c r="C51" s="31">
        <v>0</v>
      </c>
      <c r="D51" s="31">
        <v>123.16344625616617</v>
      </c>
      <c r="E51" s="70">
        <v>1000</v>
      </c>
      <c r="F51" s="71" t="s">
        <v>64</v>
      </c>
      <c r="G51" s="71" t="s">
        <v>434</v>
      </c>
      <c r="H51">
        <v>1</v>
      </c>
      <c r="I51">
        <v>0</v>
      </c>
      <c r="J51">
        <v>12</v>
      </c>
    </row>
    <row r="52" spans="1:10" x14ac:dyDescent="0.25">
      <c r="A52" t="s">
        <v>276</v>
      </c>
      <c r="B52" s="31">
        <v>0</v>
      </c>
      <c r="C52" s="31">
        <v>0</v>
      </c>
      <c r="D52" s="31">
        <v>270.53450882149838</v>
      </c>
      <c r="E52" s="70">
        <v>1000</v>
      </c>
      <c r="F52" s="71" t="s">
        <v>64</v>
      </c>
      <c r="G52" s="71" t="s">
        <v>434</v>
      </c>
      <c r="H52">
        <v>1</v>
      </c>
      <c r="I52">
        <v>0</v>
      </c>
      <c r="J52">
        <v>5</v>
      </c>
    </row>
    <row r="53" spans="1:10" x14ac:dyDescent="0.25">
      <c r="A53" t="s">
        <v>275</v>
      </c>
      <c r="B53" s="31">
        <v>0</v>
      </c>
      <c r="C53" s="31">
        <v>0</v>
      </c>
      <c r="D53" s="31">
        <v>545.52303207176999</v>
      </c>
      <c r="E53" s="70">
        <v>1000</v>
      </c>
      <c r="F53" s="71" t="s">
        <v>64</v>
      </c>
      <c r="G53" s="71" t="s">
        <v>434</v>
      </c>
      <c r="H53">
        <v>1</v>
      </c>
      <c r="I53">
        <v>0</v>
      </c>
      <c r="J53">
        <v>2</v>
      </c>
    </row>
    <row r="54" spans="1:10" x14ac:dyDescent="0.25">
      <c r="A54" t="s">
        <v>300</v>
      </c>
      <c r="B54" s="31">
        <v>0</v>
      </c>
      <c r="C54" s="31">
        <v>0</v>
      </c>
      <c r="D54" s="31">
        <v>145.91248037878626</v>
      </c>
      <c r="E54" s="70">
        <v>1000</v>
      </c>
      <c r="F54" s="71" t="s">
        <v>64</v>
      </c>
      <c r="G54" s="71" t="s">
        <v>434</v>
      </c>
      <c r="H54">
        <v>1</v>
      </c>
      <c r="I54">
        <v>0</v>
      </c>
      <c r="J54">
        <v>10</v>
      </c>
    </row>
    <row r="55" spans="1:10" x14ac:dyDescent="0.25">
      <c r="A55" t="s">
        <v>299</v>
      </c>
      <c r="B55" s="31">
        <v>0</v>
      </c>
      <c r="C55" s="31">
        <v>0</v>
      </c>
      <c r="D55" s="31">
        <v>270.53450882149838</v>
      </c>
      <c r="E55" s="70">
        <v>1000</v>
      </c>
      <c r="F55" s="71" t="s">
        <v>64</v>
      </c>
      <c r="G55" s="71" t="s">
        <v>434</v>
      </c>
      <c r="H55">
        <v>1</v>
      </c>
      <c r="I55">
        <v>0</v>
      </c>
      <c r="J55">
        <v>5</v>
      </c>
    </row>
    <row r="56" spans="1:10" x14ac:dyDescent="0.25">
      <c r="A56" t="s">
        <v>290</v>
      </c>
      <c r="B56" s="31">
        <v>0</v>
      </c>
      <c r="C56" s="31">
        <v>0</v>
      </c>
      <c r="D56" s="31">
        <v>51.21576773714893</v>
      </c>
      <c r="E56" s="70">
        <v>1000</v>
      </c>
      <c r="F56" s="71" t="s">
        <v>64</v>
      </c>
      <c r="G56" s="71" t="s">
        <v>434</v>
      </c>
      <c r="H56">
        <v>1</v>
      </c>
      <c r="I56">
        <v>0</v>
      </c>
      <c r="J56">
        <v>30</v>
      </c>
    </row>
    <row r="57" spans="1:10" x14ac:dyDescent="0.25">
      <c r="A57" t="s">
        <v>294</v>
      </c>
      <c r="B57" s="31">
        <v>0</v>
      </c>
      <c r="C57" s="31">
        <v>0</v>
      </c>
      <c r="D57" s="31">
        <v>21.411391968359133</v>
      </c>
      <c r="E57" s="70">
        <v>1000</v>
      </c>
      <c r="F57" s="71" t="s">
        <v>64</v>
      </c>
      <c r="G57" s="71" t="s">
        <v>434</v>
      </c>
      <c r="H57">
        <v>3</v>
      </c>
      <c r="I57">
        <v>0</v>
      </c>
      <c r="J57">
        <v>103</v>
      </c>
    </row>
    <row r="58" spans="1:10" x14ac:dyDescent="0.25">
      <c r="A58" t="s">
        <v>422</v>
      </c>
      <c r="B58" s="31">
        <v>0</v>
      </c>
      <c r="C58" s="31">
        <v>0</v>
      </c>
      <c r="D58" s="31">
        <v>31.675560726339384</v>
      </c>
      <c r="E58" s="70">
        <v>1000</v>
      </c>
      <c r="F58" s="71" t="s">
        <v>64</v>
      </c>
      <c r="G58" s="71" t="s">
        <v>434</v>
      </c>
      <c r="H58">
        <v>1</v>
      </c>
      <c r="I58">
        <v>0</v>
      </c>
      <c r="J58">
        <v>49</v>
      </c>
    </row>
    <row r="59" spans="1:10" x14ac:dyDescent="0.25">
      <c r="A59" t="s">
        <v>295</v>
      </c>
      <c r="B59" s="31">
        <v>0</v>
      </c>
      <c r="C59" s="31">
        <v>0</v>
      </c>
      <c r="D59" s="31">
        <v>83.893922418135233</v>
      </c>
      <c r="E59" s="70">
        <v>1000</v>
      </c>
      <c r="F59" s="71" t="s">
        <v>64</v>
      </c>
      <c r="G59" s="71" t="s">
        <v>434</v>
      </c>
      <c r="H59">
        <v>1</v>
      </c>
      <c r="I59">
        <v>0</v>
      </c>
      <c r="J59">
        <v>18</v>
      </c>
    </row>
    <row r="60" spans="1:10" x14ac:dyDescent="0.25">
      <c r="A60" t="s">
        <v>301</v>
      </c>
      <c r="B60" s="31">
        <v>0</v>
      </c>
      <c r="C60" s="31">
        <v>0</v>
      </c>
      <c r="D60" s="31">
        <v>48.09306139155705</v>
      </c>
      <c r="E60" s="70">
        <v>1000</v>
      </c>
      <c r="F60" s="71" t="s">
        <v>64</v>
      </c>
      <c r="G60" s="71" t="s">
        <v>434</v>
      </c>
      <c r="H60">
        <v>1</v>
      </c>
      <c r="I60">
        <v>0</v>
      </c>
      <c r="J60">
        <v>32</v>
      </c>
    </row>
    <row r="61" spans="1:10" x14ac:dyDescent="0.25">
      <c r="A61" t="s">
        <v>269</v>
      </c>
      <c r="B61" s="31">
        <v>0</v>
      </c>
      <c r="C61" s="31">
        <v>0</v>
      </c>
      <c r="D61" s="31">
        <v>178.93418685287219</v>
      </c>
      <c r="E61" s="70">
        <v>1000</v>
      </c>
      <c r="F61" s="71" t="s">
        <v>64</v>
      </c>
      <c r="G61" s="71" t="s">
        <v>434</v>
      </c>
      <c r="H61">
        <v>1</v>
      </c>
      <c r="I61">
        <v>0</v>
      </c>
      <c r="J61">
        <v>8</v>
      </c>
    </row>
    <row r="62" spans="1:10" x14ac:dyDescent="0.25">
      <c r="A62" t="s">
        <v>274</v>
      </c>
      <c r="B62" s="31">
        <v>0</v>
      </c>
      <c r="C62" s="31">
        <v>0</v>
      </c>
      <c r="D62" s="31">
        <v>201.73653829382872</v>
      </c>
      <c r="E62" s="70">
        <v>1000</v>
      </c>
      <c r="F62" s="71" t="s">
        <v>64</v>
      </c>
      <c r="G62" s="71" t="s">
        <v>434</v>
      </c>
      <c r="H62">
        <v>1</v>
      </c>
      <c r="I62">
        <v>0</v>
      </c>
      <c r="J62">
        <v>7</v>
      </c>
    </row>
    <row r="63" spans="1:10" x14ac:dyDescent="0.25">
      <c r="A63" t="s">
        <v>414</v>
      </c>
      <c r="B63" s="31">
        <v>0</v>
      </c>
      <c r="C63" s="31">
        <v>0</v>
      </c>
      <c r="D63" s="31">
        <v>270.53450882149838</v>
      </c>
      <c r="E63" s="70">
        <v>1000</v>
      </c>
      <c r="F63" s="71" t="s">
        <v>64</v>
      </c>
      <c r="G63" s="71" t="s">
        <v>434</v>
      </c>
      <c r="H63">
        <v>1</v>
      </c>
      <c r="I63">
        <v>0</v>
      </c>
      <c r="J63">
        <v>5</v>
      </c>
    </row>
    <row r="64" spans="1:10" x14ac:dyDescent="0.25">
      <c r="A64" t="s">
        <v>296</v>
      </c>
      <c r="B64" s="31">
        <v>0</v>
      </c>
      <c r="C64" s="31">
        <v>0</v>
      </c>
      <c r="D64" s="31">
        <v>58.858855994308051</v>
      </c>
      <c r="E64" s="70">
        <v>1000</v>
      </c>
      <c r="F64" s="71" t="s">
        <v>64</v>
      </c>
      <c r="G64" s="71" t="s">
        <v>434</v>
      </c>
      <c r="H64">
        <v>1</v>
      </c>
      <c r="I64">
        <v>0</v>
      </c>
      <c r="J64">
        <v>26</v>
      </c>
    </row>
    <row r="65" spans="1:11" x14ac:dyDescent="0.25">
      <c r="A65" t="s">
        <v>259</v>
      </c>
      <c r="B65" s="31">
        <v>0</v>
      </c>
      <c r="C65" s="31">
        <v>0</v>
      </c>
      <c r="D65" s="31">
        <v>231.15765795412196</v>
      </c>
      <c r="E65" s="70">
        <v>1000</v>
      </c>
      <c r="F65" s="71" t="s">
        <v>64</v>
      </c>
      <c r="G65" s="71" t="s">
        <v>434</v>
      </c>
      <c r="H65">
        <v>1</v>
      </c>
      <c r="I65">
        <v>0</v>
      </c>
      <c r="J65">
        <v>6</v>
      </c>
    </row>
    <row r="66" spans="1:11" x14ac:dyDescent="0.25">
      <c r="A66" t="s">
        <v>258</v>
      </c>
      <c r="B66" s="31">
        <v>0</v>
      </c>
      <c r="C66" s="31">
        <v>0</v>
      </c>
      <c r="D66" s="31">
        <v>31.28389828406565</v>
      </c>
      <c r="E66" s="70">
        <v>1000</v>
      </c>
      <c r="F66" s="71" t="s">
        <v>64</v>
      </c>
      <c r="G66" s="71" t="s">
        <v>434</v>
      </c>
      <c r="H66">
        <v>2</v>
      </c>
      <c r="I66">
        <v>0</v>
      </c>
      <c r="J66">
        <v>54</v>
      </c>
    </row>
    <row r="67" spans="1:11" x14ac:dyDescent="0.25">
      <c r="A67" t="s">
        <v>413</v>
      </c>
      <c r="B67" s="31">
        <v>0</v>
      </c>
      <c r="C67" s="31">
        <v>0</v>
      </c>
      <c r="D67" s="31">
        <v>545.52303207176999</v>
      </c>
      <c r="E67" s="70">
        <v>1000</v>
      </c>
      <c r="F67" s="71" t="s">
        <v>64</v>
      </c>
      <c r="G67" s="71" t="s">
        <v>434</v>
      </c>
      <c r="H67">
        <v>1</v>
      </c>
      <c r="I67">
        <v>0</v>
      </c>
      <c r="J67">
        <v>2</v>
      </c>
    </row>
    <row r="68" spans="1:11" x14ac:dyDescent="0.25">
      <c r="A68" t="s">
        <v>280</v>
      </c>
      <c r="B68" s="31">
        <v>0</v>
      </c>
      <c r="C68" s="31">
        <v>0</v>
      </c>
      <c r="D68" s="31">
        <v>178.93418685287219</v>
      </c>
      <c r="E68" s="70">
        <v>1000</v>
      </c>
      <c r="F68" s="71" t="s">
        <v>64</v>
      </c>
      <c r="G68" s="71" t="s">
        <v>434</v>
      </c>
      <c r="H68">
        <v>1</v>
      </c>
      <c r="I68">
        <v>0</v>
      </c>
      <c r="J68">
        <v>8</v>
      </c>
    </row>
    <row r="69" spans="1:11" x14ac:dyDescent="0.25">
      <c r="A69" t="s">
        <v>411</v>
      </c>
      <c r="B69" s="31">
        <v>0</v>
      </c>
      <c r="C69" s="31">
        <v>0</v>
      </c>
      <c r="D69" s="31">
        <v>793.45068562271626</v>
      </c>
      <c r="E69" s="70">
        <v>1000</v>
      </c>
      <c r="F69" s="71" t="s">
        <v>64</v>
      </c>
      <c r="G69" s="71" t="s">
        <v>434</v>
      </c>
      <c r="H69">
        <v>1</v>
      </c>
      <c r="I69">
        <v>0</v>
      </c>
      <c r="J69">
        <v>1</v>
      </c>
    </row>
    <row r="70" spans="1:11" x14ac:dyDescent="0.25">
      <c r="A70" t="s">
        <v>264</v>
      </c>
      <c r="B70" s="31">
        <v>0</v>
      </c>
      <c r="C70" s="31">
        <v>0</v>
      </c>
      <c r="D70" s="31">
        <v>39.634596279322089</v>
      </c>
      <c r="E70" s="70">
        <v>1000</v>
      </c>
      <c r="F70" s="71" t="s">
        <v>64</v>
      </c>
      <c r="G70" s="71" t="s">
        <v>434</v>
      </c>
      <c r="H70">
        <v>1</v>
      </c>
      <c r="I70">
        <v>0</v>
      </c>
      <c r="J70">
        <v>39</v>
      </c>
    </row>
    <row r="71" spans="1:11" x14ac:dyDescent="0.25">
      <c r="A71" t="s">
        <v>412</v>
      </c>
      <c r="B71" s="31">
        <v>0</v>
      </c>
      <c r="C71" s="31">
        <v>0</v>
      </c>
      <c r="D71" s="31">
        <v>408.88145297275059</v>
      </c>
      <c r="E71" s="70">
        <v>1000</v>
      </c>
      <c r="F71" s="71" t="s">
        <v>64</v>
      </c>
      <c r="G71" s="71" t="s">
        <v>434</v>
      </c>
      <c r="H71">
        <v>1</v>
      </c>
      <c r="I71">
        <v>0</v>
      </c>
      <c r="J71">
        <v>3</v>
      </c>
    </row>
    <row r="72" spans="1:11" x14ac:dyDescent="0.25">
      <c r="A72" t="s">
        <v>279</v>
      </c>
      <c r="B72" t="e">
        <v>#N/A</v>
      </c>
      <c r="C72" t="e">
        <v>#N/A</v>
      </c>
      <c r="D72" t="e">
        <v>#N/A</v>
      </c>
      <c r="E72" s="70">
        <v>1000</v>
      </c>
      <c r="F72" s="71" t="s">
        <v>435</v>
      </c>
      <c r="G72" s="71" t="s">
        <v>436</v>
      </c>
      <c r="H72">
        <v>1</v>
      </c>
      <c r="I72">
        <v>1</v>
      </c>
      <c r="J72">
        <v>42</v>
      </c>
      <c r="K72" t="s">
        <v>437</v>
      </c>
    </row>
    <row r="73" spans="1:11" x14ac:dyDescent="0.25">
      <c r="A73" t="s">
        <v>281</v>
      </c>
      <c r="B73" s="31">
        <v>0</v>
      </c>
      <c r="C73" s="31">
        <v>0</v>
      </c>
      <c r="D73" s="31">
        <v>178.93418685287219</v>
      </c>
      <c r="E73" s="70">
        <v>1000</v>
      </c>
      <c r="F73" s="71" t="s">
        <v>64</v>
      </c>
      <c r="G73" s="71" t="s">
        <v>434</v>
      </c>
      <c r="H73">
        <v>1</v>
      </c>
      <c r="I73">
        <v>0</v>
      </c>
      <c r="J73">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93</v>
      </c>
      <c r="B1" s="63" t="s">
        <v>318</v>
      </c>
      <c r="C1" s="63" t="s">
        <v>426</v>
      </c>
      <c r="D1" s="63" t="s">
        <v>427</v>
      </c>
      <c r="E1" s="62" t="s">
        <v>428</v>
      </c>
      <c r="F1" s="62" t="s">
        <v>429</v>
      </c>
      <c r="G1" s="62" t="s">
        <v>430</v>
      </c>
      <c r="H1" s="62" t="s">
        <v>431</v>
      </c>
      <c r="I1" s="62" t="s">
        <v>432</v>
      </c>
      <c r="J1" s="62" t="s">
        <v>433</v>
      </c>
    </row>
    <row r="2" spans="1:10" x14ac:dyDescent="0.25">
      <c r="A2" t="s">
        <v>248</v>
      </c>
      <c r="B2" s="31">
        <v>1.5282837731349184</v>
      </c>
      <c r="C2" s="31">
        <v>8.903028446664836E-2</v>
      </c>
      <c r="D2" s="31">
        <v>7.4419849364097219</v>
      </c>
      <c r="E2" s="70">
        <v>1000</v>
      </c>
      <c r="F2" s="71" t="s">
        <v>435</v>
      </c>
      <c r="G2" s="71" t="s">
        <v>436</v>
      </c>
      <c r="H2">
        <v>39</v>
      </c>
      <c r="I2">
        <v>1</v>
      </c>
      <c r="J2">
        <v>652</v>
      </c>
    </row>
    <row r="3" spans="1:10" x14ac:dyDescent="0.25">
      <c r="A3" t="s">
        <v>247</v>
      </c>
      <c r="B3" s="31">
        <v>1.2508415931946046</v>
      </c>
      <c r="C3" s="31">
        <v>7.3797228124873798E-2</v>
      </c>
      <c r="D3" s="31">
        <v>6.0121041471210761</v>
      </c>
      <c r="E3" s="70">
        <v>1000</v>
      </c>
      <c r="F3" s="71" t="s">
        <v>435</v>
      </c>
      <c r="G3" s="71" t="s">
        <v>436</v>
      </c>
      <c r="H3">
        <v>38</v>
      </c>
      <c r="I3">
        <v>1</v>
      </c>
      <c r="J3">
        <v>783</v>
      </c>
    </row>
    <row r="4" spans="1:10" x14ac:dyDescent="0.25">
      <c r="A4" t="s">
        <v>246</v>
      </c>
      <c r="B4" s="31">
        <v>0</v>
      </c>
      <c r="C4" s="31">
        <v>0</v>
      </c>
      <c r="D4" s="31">
        <v>145.84494691019893</v>
      </c>
      <c r="E4" s="70">
        <v>1000</v>
      </c>
      <c r="F4" s="71" t="s">
        <v>64</v>
      </c>
      <c r="G4" s="71" t="s">
        <v>434</v>
      </c>
      <c r="H4">
        <v>5</v>
      </c>
      <c r="I4">
        <v>0</v>
      </c>
      <c r="J4">
        <v>17</v>
      </c>
    </row>
    <row r="5" spans="1:10" x14ac:dyDescent="0.25">
      <c r="A5" t="s">
        <v>245</v>
      </c>
      <c r="B5" s="31">
        <v>5.6979834303502548</v>
      </c>
      <c r="C5" s="31">
        <v>0.34370018776392003</v>
      </c>
      <c r="D5" s="31">
        <v>29.684943920787884</v>
      </c>
      <c r="E5" s="70">
        <v>1000</v>
      </c>
      <c r="F5" s="71" t="s">
        <v>435</v>
      </c>
      <c r="G5" s="71" t="s">
        <v>436</v>
      </c>
      <c r="H5">
        <v>7</v>
      </c>
      <c r="I5">
        <v>1</v>
      </c>
      <c r="J5">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1"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94</v>
      </c>
      <c r="B1" s="63" t="s">
        <v>318</v>
      </c>
      <c r="C1" s="63" t="s">
        <v>426</v>
      </c>
      <c r="D1" s="63" t="s">
        <v>427</v>
      </c>
      <c r="E1" s="62" t="s">
        <v>428</v>
      </c>
      <c r="F1" s="62" t="s">
        <v>429</v>
      </c>
      <c r="G1" s="62" t="s">
        <v>430</v>
      </c>
      <c r="H1" s="62" t="s">
        <v>431</v>
      </c>
      <c r="I1" s="62" t="s">
        <v>432</v>
      </c>
      <c r="J1" s="62" t="s">
        <v>433</v>
      </c>
    </row>
    <row r="2" spans="1:10" x14ac:dyDescent="0.25">
      <c r="A2" t="s">
        <v>246</v>
      </c>
      <c r="B2" s="31">
        <v>0</v>
      </c>
      <c r="C2" s="31">
        <v>0</v>
      </c>
      <c r="D2" s="31">
        <v>145.84494691019893</v>
      </c>
      <c r="E2" s="70">
        <v>1000</v>
      </c>
      <c r="F2" s="71" t="s">
        <v>64</v>
      </c>
      <c r="G2" s="71" t="s">
        <v>434</v>
      </c>
      <c r="H2">
        <v>5</v>
      </c>
      <c r="I2">
        <v>0</v>
      </c>
      <c r="J2">
        <v>17</v>
      </c>
    </row>
    <row r="3" spans="1:10" x14ac:dyDescent="0.25">
      <c r="A3" t="s">
        <v>245</v>
      </c>
      <c r="B3" s="31">
        <v>5.6979834303502548</v>
      </c>
      <c r="C3" s="31">
        <v>0.34370018776392003</v>
      </c>
      <c r="D3" s="31">
        <v>29.684943920787884</v>
      </c>
      <c r="E3" s="70">
        <v>1000</v>
      </c>
      <c r="F3" s="71" t="s">
        <v>435</v>
      </c>
      <c r="G3" s="71" t="s">
        <v>436</v>
      </c>
      <c r="H3">
        <v>7</v>
      </c>
      <c r="I3">
        <v>1</v>
      </c>
      <c r="J3">
        <v>177</v>
      </c>
    </row>
    <row r="4" spans="1:10" x14ac:dyDescent="0.25">
      <c r="A4" t="s">
        <v>251</v>
      </c>
      <c r="B4" s="31">
        <v>0</v>
      </c>
      <c r="C4" s="31">
        <v>0</v>
      </c>
      <c r="D4" s="31">
        <v>14.940568349080408</v>
      </c>
      <c r="E4" s="70">
        <v>1000</v>
      </c>
      <c r="F4" s="71" t="s">
        <v>64</v>
      </c>
      <c r="G4" s="71" t="s">
        <v>434</v>
      </c>
      <c r="H4">
        <v>13</v>
      </c>
      <c r="I4">
        <v>0</v>
      </c>
      <c r="J4">
        <v>201</v>
      </c>
    </row>
    <row r="5" spans="1:10" x14ac:dyDescent="0.25">
      <c r="A5" t="s">
        <v>250</v>
      </c>
      <c r="B5" s="31">
        <v>0</v>
      </c>
      <c r="C5" s="31">
        <v>0</v>
      </c>
      <c r="D5" s="31">
        <v>17.856564614771234</v>
      </c>
      <c r="E5" s="70">
        <v>1000</v>
      </c>
      <c r="F5" s="71" t="s">
        <v>64</v>
      </c>
      <c r="G5" s="71" t="s">
        <v>434</v>
      </c>
      <c r="H5">
        <v>11</v>
      </c>
      <c r="I5">
        <v>0</v>
      </c>
      <c r="J5">
        <v>164</v>
      </c>
    </row>
    <row r="6" spans="1:10" x14ac:dyDescent="0.25">
      <c r="A6" t="s">
        <v>254</v>
      </c>
      <c r="B6" s="31">
        <v>0</v>
      </c>
      <c r="C6" s="31">
        <v>0</v>
      </c>
      <c r="D6" s="31">
        <v>12.319529154647032</v>
      </c>
      <c r="E6" s="70">
        <v>1000</v>
      </c>
      <c r="F6" s="71" t="s">
        <v>64</v>
      </c>
      <c r="G6" s="71" t="s">
        <v>434</v>
      </c>
      <c r="H6">
        <v>11</v>
      </c>
      <c r="I6">
        <v>0</v>
      </c>
      <c r="J6">
        <v>243</v>
      </c>
    </row>
    <row r="7" spans="1:10" x14ac:dyDescent="0.25">
      <c r="A7" t="s">
        <v>249</v>
      </c>
      <c r="B7" s="31">
        <v>0</v>
      </c>
      <c r="C7" s="31">
        <v>0</v>
      </c>
      <c r="D7" s="31">
        <v>63.533718400295093</v>
      </c>
      <c r="E7" s="70">
        <v>1000</v>
      </c>
      <c r="F7" s="71" t="s">
        <v>64</v>
      </c>
      <c r="G7" s="71" t="s">
        <v>434</v>
      </c>
      <c r="H7">
        <v>7</v>
      </c>
      <c r="I7">
        <v>0</v>
      </c>
      <c r="J7">
        <v>45</v>
      </c>
    </row>
    <row r="8" spans="1:10" x14ac:dyDescent="0.25">
      <c r="A8" t="s">
        <v>253</v>
      </c>
      <c r="B8" s="31">
        <v>4.9014908317284842</v>
      </c>
      <c r="C8" s="31">
        <v>0.29576675296642574</v>
      </c>
      <c r="D8" s="31">
        <v>24.355645197121571</v>
      </c>
      <c r="E8" s="70">
        <v>1000</v>
      </c>
      <c r="F8" s="71" t="s">
        <v>435</v>
      </c>
      <c r="G8" s="71" t="s">
        <v>436</v>
      </c>
      <c r="H8">
        <v>13</v>
      </c>
      <c r="I8">
        <v>1</v>
      </c>
      <c r="J8">
        <v>202</v>
      </c>
    </row>
    <row r="9" spans="1:10" x14ac:dyDescent="0.25">
      <c r="A9" t="s">
        <v>252</v>
      </c>
      <c r="B9" s="31">
        <v>1.6985465682506131</v>
      </c>
      <c r="C9" s="31">
        <v>0.10203389281167288</v>
      </c>
      <c r="D9" s="31">
        <v>8.1549713424114518</v>
      </c>
      <c r="E9" s="70">
        <v>1000</v>
      </c>
      <c r="F9" s="71" t="s">
        <v>435</v>
      </c>
      <c r="G9" s="71" t="s">
        <v>436</v>
      </c>
      <c r="H9">
        <v>18</v>
      </c>
      <c r="I9">
        <v>1</v>
      </c>
      <c r="J9">
        <v>569</v>
      </c>
    </row>
    <row r="10" spans="1:10" x14ac:dyDescent="0.25">
      <c r="A10" t="s">
        <v>256</v>
      </c>
      <c r="B10" s="31">
        <v>0</v>
      </c>
      <c r="C10" s="31">
        <v>0</v>
      </c>
      <c r="D10" s="31">
        <v>292.28835574693892</v>
      </c>
      <c r="E10" s="70">
        <v>1000</v>
      </c>
      <c r="F10" s="71" t="s">
        <v>64</v>
      </c>
      <c r="G10" s="71" t="s">
        <v>434</v>
      </c>
      <c r="H10">
        <v>2</v>
      </c>
      <c r="I10">
        <v>0</v>
      </c>
      <c r="J10">
        <v>6</v>
      </c>
    </row>
    <row r="11" spans="1:10" x14ac:dyDescent="0.25">
      <c r="A11" t="s">
        <v>255</v>
      </c>
      <c r="B11" s="31">
        <v>0</v>
      </c>
      <c r="C11" s="31">
        <v>0</v>
      </c>
      <c r="D11" s="31">
        <v>345.39549307874836</v>
      </c>
      <c r="E11" s="70">
        <v>1000</v>
      </c>
      <c r="F11" s="71" t="s">
        <v>64</v>
      </c>
      <c r="G11" s="71" t="s">
        <v>434</v>
      </c>
      <c r="H11">
        <v>2</v>
      </c>
      <c r="I11">
        <v>0</v>
      </c>
      <c r="J11">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opLeftCell="A31" workbookViewId="0">
      <selection activeCell="L57" sqref="L57"/>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27</v>
      </c>
      <c r="B2" s="46" t="s">
        <v>319</v>
      </c>
      <c r="C2" s="46" t="s">
        <v>227</v>
      </c>
      <c r="D2" s="46" t="s">
        <v>105</v>
      </c>
      <c r="E2" s="46" t="s">
        <v>228</v>
      </c>
      <c r="F2" s="46" t="s">
        <v>156</v>
      </c>
      <c r="G2" s="46" t="s">
        <v>157</v>
      </c>
      <c r="H2" s="46">
        <v>14</v>
      </c>
      <c r="I2" s="46">
        <v>2</v>
      </c>
      <c r="J2" s="46">
        <v>16</v>
      </c>
      <c r="K2" s="46">
        <v>111</v>
      </c>
      <c r="M2" t="b">
        <f t="shared" ref="M2:M33" si="0">H2+I2=J2</f>
        <v>1</v>
      </c>
    </row>
    <row r="3" spans="1:13" x14ac:dyDescent="0.25">
      <c r="A3" s="46">
        <v>27</v>
      </c>
      <c r="B3" s="46" t="s">
        <v>320</v>
      </c>
      <c r="C3" s="46" t="s">
        <v>210</v>
      </c>
      <c r="D3" s="46" t="s">
        <v>105</v>
      </c>
      <c r="E3" s="46" t="s">
        <v>211</v>
      </c>
      <c r="F3" s="46" t="s">
        <v>156</v>
      </c>
      <c r="G3" s="46" t="s">
        <v>157</v>
      </c>
      <c r="H3" s="46">
        <v>4</v>
      </c>
      <c r="I3" s="46">
        <v>0</v>
      </c>
      <c r="J3" s="46">
        <v>4</v>
      </c>
      <c r="K3" s="46">
        <v>431</v>
      </c>
      <c r="M3" t="b">
        <f t="shared" si="0"/>
        <v>1</v>
      </c>
    </row>
    <row r="4" spans="1:13" x14ac:dyDescent="0.25">
      <c r="A4" s="46">
        <v>27</v>
      </c>
      <c r="B4" s="46" t="s">
        <v>319</v>
      </c>
      <c r="C4" s="46" t="s">
        <v>179</v>
      </c>
      <c r="D4" s="46" t="s">
        <v>105</v>
      </c>
      <c r="E4" s="46" t="s">
        <v>180</v>
      </c>
      <c r="F4" s="46" t="s">
        <v>156</v>
      </c>
      <c r="G4" s="46" t="s">
        <v>157</v>
      </c>
      <c r="H4" s="46">
        <v>19</v>
      </c>
      <c r="I4" s="46">
        <v>8</v>
      </c>
      <c r="J4" s="46">
        <v>27</v>
      </c>
      <c r="K4" s="46">
        <v>47</v>
      </c>
      <c r="M4" t="b">
        <f t="shared" si="0"/>
        <v>1</v>
      </c>
    </row>
    <row r="5" spans="1:13" x14ac:dyDescent="0.25">
      <c r="A5">
        <v>27</v>
      </c>
      <c r="B5" t="s">
        <v>320</v>
      </c>
      <c r="C5" t="s">
        <v>185</v>
      </c>
      <c r="D5" s="46" t="s">
        <v>105</v>
      </c>
      <c r="E5" t="s">
        <v>186</v>
      </c>
      <c r="F5" t="s">
        <v>156</v>
      </c>
      <c r="G5" t="s">
        <v>157</v>
      </c>
      <c r="H5">
        <v>6</v>
      </c>
      <c r="I5">
        <v>0</v>
      </c>
      <c r="J5">
        <v>6</v>
      </c>
      <c r="K5">
        <v>102</v>
      </c>
      <c r="M5" t="b">
        <f t="shared" si="0"/>
        <v>1</v>
      </c>
    </row>
    <row r="6" spans="1:13" x14ac:dyDescent="0.25">
      <c r="A6" s="46">
        <v>27</v>
      </c>
      <c r="B6" s="46" t="s">
        <v>320</v>
      </c>
      <c r="C6" s="46" t="s">
        <v>220</v>
      </c>
      <c r="D6" s="46" t="s">
        <v>105</v>
      </c>
      <c r="E6" s="46" t="s">
        <v>221</v>
      </c>
      <c r="F6" s="46" t="s">
        <v>156</v>
      </c>
      <c r="G6" s="46" t="s">
        <v>157</v>
      </c>
      <c r="H6" s="46">
        <v>2</v>
      </c>
      <c r="I6" s="46">
        <v>0</v>
      </c>
      <c r="J6" s="46">
        <v>2</v>
      </c>
      <c r="K6" s="46">
        <v>5</v>
      </c>
      <c r="M6" t="b">
        <f t="shared" si="0"/>
        <v>1</v>
      </c>
    </row>
    <row r="7" spans="1:13" x14ac:dyDescent="0.25">
      <c r="A7" s="46">
        <v>27</v>
      </c>
      <c r="B7" s="46" t="s">
        <v>320</v>
      </c>
      <c r="C7" s="46" t="s">
        <v>175</v>
      </c>
      <c r="D7" s="46" t="s">
        <v>105</v>
      </c>
      <c r="E7" s="46" t="s">
        <v>176</v>
      </c>
      <c r="F7" s="46" t="s">
        <v>156</v>
      </c>
      <c r="G7" s="46" t="s">
        <v>157</v>
      </c>
      <c r="H7" s="46">
        <v>23</v>
      </c>
      <c r="I7" s="46">
        <v>0</v>
      </c>
      <c r="J7" s="46">
        <v>23</v>
      </c>
      <c r="K7" s="46">
        <v>23</v>
      </c>
      <c r="M7" t="b">
        <f t="shared" si="0"/>
        <v>1</v>
      </c>
    </row>
    <row r="8" spans="1:13" x14ac:dyDescent="0.25">
      <c r="A8" s="46">
        <v>27</v>
      </c>
      <c r="B8" s="46" t="s">
        <v>320</v>
      </c>
      <c r="C8" s="46" t="s">
        <v>163</v>
      </c>
      <c r="D8" s="46" t="s">
        <v>105</v>
      </c>
      <c r="E8" s="46" t="s">
        <v>164</v>
      </c>
      <c r="F8" s="46" t="s">
        <v>156</v>
      </c>
      <c r="G8" s="46" t="s">
        <v>157</v>
      </c>
      <c r="H8" s="46">
        <v>80</v>
      </c>
      <c r="I8" s="46">
        <v>6</v>
      </c>
      <c r="J8" s="46">
        <v>86</v>
      </c>
      <c r="K8" s="46">
        <v>147</v>
      </c>
      <c r="M8" t="b">
        <f t="shared" si="0"/>
        <v>1</v>
      </c>
    </row>
    <row r="9" spans="1:13" x14ac:dyDescent="0.25">
      <c r="A9" s="46">
        <v>27</v>
      </c>
      <c r="B9" s="46" t="s">
        <v>320</v>
      </c>
      <c r="C9" s="46" t="s">
        <v>208</v>
      </c>
      <c r="D9" s="46" t="s">
        <v>105</v>
      </c>
      <c r="E9" s="46" t="s">
        <v>209</v>
      </c>
      <c r="F9" s="46" t="s">
        <v>156</v>
      </c>
      <c r="G9" s="46" t="s">
        <v>157</v>
      </c>
      <c r="H9" s="46">
        <v>10</v>
      </c>
      <c r="I9" s="46">
        <v>0</v>
      </c>
      <c r="J9" s="46">
        <v>10</v>
      </c>
      <c r="K9" s="46">
        <v>35</v>
      </c>
      <c r="M9" t="b">
        <f t="shared" si="0"/>
        <v>1</v>
      </c>
    </row>
    <row r="10" spans="1:13" x14ac:dyDescent="0.25">
      <c r="A10" s="46">
        <v>27</v>
      </c>
      <c r="B10" s="46" t="s">
        <v>319</v>
      </c>
      <c r="C10" s="46" t="s">
        <v>222</v>
      </c>
      <c r="D10" s="46" t="s">
        <v>105</v>
      </c>
      <c r="E10" s="46" t="s">
        <v>223</v>
      </c>
      <c r="F10" s="46" t="s">
        <v>156</v>
      </c>
      <c r="G10" s="46" t="s">
        <v>157</v>
      </c>
      <c r="H10" s="46">
        <v>0</v>
      </c>
      <c r="I10" s="46">
        <v>0</v>
      </c>
      <c r="J10" s="46">
        <v>0</v>
      </c>
      <c r="K10" s="46">
        <v>0</v>
      </c>
      <c r="M10" t="b">
        <f t="shared" si="0"/>
        <v>1</v>
      </c>
    </row>
    <row r="11" spans="1:13" x14ac:dyDescent="0.25">
      <c r="A11">
        <v>27</v>
      </c>
      <c r="B11" t="s">
        <v>320</v>
      </c>
      <c r="C11" t="s">
        <v>161</v>
      </c>
      <c r="D11" s="46" t="s">
        <v>105</v>
      </c>
      <c r="E11" t="s">
        <v>162</v>
      </c>
      <c r="F11" t="s">
        <v>156</v>
      </c>
      <c r="G11" t="s">
        <v>157</v>
      </c>
      <c r="H11">
        <v>16</v>
      </c>
      <c r="I11">
        <v>0</v>
      </c>
      <c r="J11">
        <v>16</v>
      </c>
      <c r="K11">
        <v>38</v>
      </c>
      <c r="M11" t="b">
        <f t="shared" si="0"/>
        <v>1</v>
      </c>
    </row>
    <row r="12" spans="1:13" x14ac:dyDescent="0.25">
      <c r="A12">
        <v>27</v>
      </c>
      <c r="B12" t="s">
        <v>320</v>
      </c>
      <c r="C12" t="s">
        <v>182</v>
      </c>
      <c r="D12" s="46" t="s">
        <v>105</v>
      </c>
      <c r="E12" t="s">
        <v>183</v>
      </c>
      <c r="F12" t="s">
        <v>156</v>
      </c>
      <c r="G12" t="s">
        <v>157</v>
      </c>
      <c r="H12">
        <v>29</v>
      </c>
      <c r="I12">
        <v>2</v>
      </c>
      <c r="J12">
        <v>31</v>
      </c>
      <c r="K12">
        <v>185</v>
      </c>
      <c r="M12" t="b">
        <f t="shared" si="0"/>
        <v>1</v>
      </c>
    </row>
    <row r="13" spans="1:13" x14ac:dyDescent="0.25">
      <c r="A13" s="46">
        <v>27</v>
      </c>
      <c r="B13" s="46" t="s">
        <v>320</v>
      </c>
      <c r="C13" s="46" t="s">
        <v>230</v>
      </c>
      <c r="D13" s="46" t="s">
        <v>105</v>
      </c>
      <c r="E13" s="46" t="s">
        <v>231</v>
      </c>
      <c r="F13" s="46" t="s">
        <v>156</v>
      </c>
      <c r="G13" s="46" t="s">
        <v>157</v>
      </c>
      <c r="H13" s="46">
        <v>16</v>
      </c>
      <c r="I13" s="46">
        <v>0</v>
      </c>
      <c r="J13" s="46">
        <v>16</v>
      </c>
      <c r="K13" s="46">
        <v>692</v>
      </c>
      <c r="M13" t="b">
        <f t="shared" si="0"/>
        <v>1</v>
      </c>
    </row>
    <row r="14" spans="1:13" x14ac:dyDescent="0.25">
      <c r="A14" s="46">
        <v>27</v>
      </c>
      <c r="B14" s="46" t="s">
        <v>319</v>
      </c>
      <c r="C14" s="46" t="s">
        <v>191</v>
      </c>
      <c r="D14" s="46" t="s">
        <v>105</v>
      </c>
      <c r="E14" s="46" t="s">
        <v>192</v>
      </c>
      <c r="F14" s="46" t="s">
        <v>156</v>
      </c>
      <c r="G14" s="46" t="s">
        <v>157</v>
      </c>
      <c r="H14" s="46">
        <v>73</v>
      </c>
      <c r="I14" s="46">
        <v>9</v>
      </c>
      <c r="J14" s="46">
        <v>82</v>
      </c>
      <c r="K14" s="46">
        <v>146</v>
      </c>
      <c r="M14" t="b">
        <f t="shared" si="0"/>
        <v>1</v>
      </c>
    </row>
    <row r="15" spans="1:13" x14ac:dyDescent="0.25">
      <c r="A15" s="46">
        <v>27</v>
      </c>
      <c r="B15" s="46" t="s">
        <v>319</v>
      </c>
      <c r="C15" s="46" t="s">
        <v>237</v>
      </c>
      <c r="D15" s="46" t="s">
        <v>9</v>
      </c>
      <c r="E15" s="46" t="s">
        <v>238</v>
      </c>
      <c r="F15" s="46" t="s">
        <v>156</v>
      </c>
      <c r="G15" s="46" t="s">
        <v>157</v>
      </c>
      <c r="H15" s="46">
        <v>9</v>
      </c>
      <c r="I15" s="46">
        <v>1</v>
      </c>
      <c r="J15" s="46">
        <v>10</v>
      </c>
      <c r="K15" s="46">
        <v>13</v>
      </c>
      <c r="M15" t="b">
        <f t="shared" si="0"/>
        <v>1</v>
      </c>
    </row>
    <row r="16" spans="1:13" x14ac:dyDescent="0.25">
      <c r="A16">
        <v>27</v>
      </c>
      <c r="B16" t="s">
        <v>319</v>
      </c>
      <c r="C16" t="s">
        <v>141</v>
      </c>
      <c r="D16" s="46" t="s">
        <v>9</v>
      </c>
      <c r="E16" t="s">
        <v>158</v>
      </c>
      <c r="F16" t="s">
        <v>156</v>
      </c>
      <c r="G16" t="s">
        <v>157</v>
      </c>
      <c r="H16">
        <v>26</v>
      </c>
      <c r="I16">
        <v>5</v>
      </c>
      <c r="J16">
        <v>31</v>
      </c>
      <c r="K16">
        <v>138</v>
      </c>
      <c r="M16" t="b">
        <f t="shared" si="0"/>
        <v>1</v>
      </c>
    </row>
    <row r="17" spans="1:13" x14ac:dyDescent="0.25">
      <c r="A17" s="46">
        <v>27</v>
      </c>
      <c r="B17" s="46" t="s">
        <v>320</v>
      </c>
      <c r="C17" s="46" t="s">
        <v>169</v>
      </c>
      <c r="D17" s="46" t="s">
        <v>9</v>
      </c>
      <c r="E17" s="46" t="s">
        <v>170</v>
      </c>
      <c r="F17" s="46" t="s">
        <v>156</v>
      </c>
      <c r="G17" s="46" t="s">
        <v>157</v>
      </c>
      <c r="H17" s="46">
        <v>35</v>
      </c>
      <c r="I17" s="46">
        <v>11</v>
      </c>
      <c r="J17" s="46">
        <v>46</v>
      </c>
      <c r="K17" s="46">
        <v>51</v>
      </c>
      <c r="M17" t="b">
        <f t="shared" si="0"/>
        <v>1</v>
      </c>
    </row>
    <row r="18" spans="1:13" x14ac:dyDescent="0.25">
      <c r="A18" s="46">
        <v>27</v>
      </c>
      <c r="B18" s="46" t="s">
        <v>320</v>
      </c>
      <c r="C18" s="46" t="s">
        <v>188</v>
      </c>
      <c r="D18" s="46" t="s">
        <v>9</v>
      </c>
      <c r="E18" s="46" t="s">
        <v>189</v>
      </c>
      <c r="F18" s="46" t="s">
        <v>156</v>
      </c>
      <c r="G18" s="46" t="s">
        <v>157</v>
      </c>
      <c r="H18" s="46">
        <v>15</v>
      </c>
      <c r="I18" s="46">
        <v>0</v>
      </c>
      <c r="J18" s="46">
        <v>15</v>
      </c>
      <c r="K18" s="46">
        <v>40</v>
      </c>
      <c r="M18" t="b">
        <f t="shared" si="0"/>
        <v>1</v>
      </c>
    </row>
    <row r="19" spans="1:13" x14ac:dyDescent="0.25">
      <c r="A19" s="46">
        <v>27</v>
      </c>
      <c r="B19" s="46" t="s">
        <v>320</v>
      </c>
      <c r="C19" s="46" t="s">
        <v>106</v>
      </c>
      <c r="D19" s="46" t="s">
        <v>9</v>
      </c>
      <c r="E19" s="46" t="s">
        <v>172</v>
      </c>
      <c r="F19" s="46" t="s">
        <v>156</v>
      </c>
      <c r="G19" s="46" t="s">
        <v>157</v>
      </c>
      <c r="H19" s="46">
        <v>54</v>
      </c>
      <c r="I19" s="46">
        <v>6</v>
      </c>
      <c r="J19" s="46">
        <v>60</v>
      </c>
      <c r="K19" s="46">
        <v>70</v>
      </c>
      <c r="M19" t="b">
        <f t="shared" si="0"/>
        <v>1</v>
      </c>
    </row>
    <row r="20" spans="1:13" x14ac:dyDescent="0.25">
      <c r="A20">
        <v>27</v>
      </c>
      <c r="B20" t="s">
        <v>320</v>
      </c>
      <c r="C20" t="s">
        <v>173</v>
      </c>
      <c r="D20" s="46" t="s">
        <v>9</v>
      </c>
      <c r="E20" t="s">
        <v>174</v>
      </c>
      <c r="F20" t="s">
        <v>156</v>
      </c>
      <c r="G20" t="s">
        <v>157</v>
      </c>
      <c r="H20">
        <v>33</v>
      </c>
      <c r="I20">
        <v>0</v>
      </c>
      <c r="J20">
        <v>33</v>
      </c>
      <c r="K20">
        <v>55</v>
      </c>
      <c r="M20" t="b">
        <f t="shared" si="0"/>
        <v>1</v>
      </c>
    </row>
    <row r="21" spans="1:13" x14ac:dyDescent="0.25">
      <c r="A21">
        <v>27</v>
      </c>
      <c r="B21" t="s">
        <v>320</v>
      </c>
      <c r="C21" t="s">
        <v>128</v>
      </c>
      <c r="D21" s="46" t="s">
        <v>9</v>
      </c>
      <c r="E21" t="s">
        <v>187</v>
      </c>
      <c r="F21" t="s">
        <v>156</v>
      </c>
      <c r="G21" t="s">
        <v>157</v>
      </c>
      <c r="H21">
        <v>8</v>
      </c>
      <c r="I21">
        <v>2</v>
      </c>
      <c r="J21">
        <v>10</v>
      </c>
      <c r="K21">
        <v>25</v>
      </c>
      <c r="M21" t="b">
        <f t="shared" si="0"/>
        <v>1</v>
      </c>
    </row>
    <row r="22" spans="1:13" x14ac:dyDescent="0.25">
      <c r="A22" s="46">
        <v>27</v>
      </c>
      <c r="B22" s="46" t="s">
        <v>320</v>
      </c>
      <c r="C22" s="46" t="s">
        <v>114</v>
      </c>
      <c r="D22" s="46" t="s">
        <v>9</v>
      </c>
      <c r="E22" s="46" t="s">
        <v>155</v>
      </c>
      <c r="F22" s="46" t="s">
        <v>156</v>
      </c>
      <c r="G22" s="46" t="s">
        <v>157</v>
      </c>
      <c r="H22" s="46">
        <v>39</v>
      </c>
      <c r="I22" s="46">
        <v>1</v>
      </c>
      <c r="J22" s="46">
        <v>40</v>
      </c>
      <c r="K22" s="46">
        <v>50</v>
      </c>
      <c r="M22" t="b">
        <f t="shared" si="0"/>
        <v>1</v>
      </c>
    </row>
    <row r="23" spans="1:13" x14ac:dyDescent="0.25">
      <c r="A23">
        <v>27</v>
      </c>
      <c r="B23" t="s">
        <v>319</v>
      </c>
      <c r="C23" t="s">
        <v>206</v>
      </c>
      <c r="D23" s="46" t="s">
        <v>9</v>
      </c>
      <c r="E23" t="s">
        <v>207</v>
      </c>
      <c r="F23" t="s">
        <v>156</v>
      </c>
      <c r="G23" t="s">
        <v>157</v>
      </c>
      <c r="H23">
        <v>9</v>
      </c>
      <c r="I23">
        <v>0</v>
      </c>
      <c r="J23">
        <v>9</v>
      </c>
      <c r="K23">
        <v>17</v>
      </c>
      <c r="M23" t="b">
        <f t="shared" si="0"/>
        <v>1</v>
      </c>
    </row>
    <row r="24" spans="1:13" x14ac:dyDescent="0.25">
      <c r="A24" s="46">
        <v>27</v>
      </c>
      <c r="B24" s="46" t="s">
        <v>319</v>
      </c>
      <c r="C24" s="46" t="s">
        <v>216</v>
      </c>
      <c r="D24" s="46" t="s">
        <v>9</v>
      </c>
      <c r="E24" s="46" t="s">
        <v>217</v>
      </c>
      <c r="F24" s="46" t="s">
        <v>156</v>
      </c>
      <c r="G24" s="46" t="s">
        <v>157</v>
      </c>
      <c r="H24" s="46">
        <v>0</v>
      </c>
      <c r="I24" s="46">
        <v>0</v>
      </c>
      <c r="J24" s="46">
        <v>0</v>
      </c>
      <c r="K24" s="46">
        <v>1</v>
      </c>
      <c r="M24" t="b">
        <f t="shared" si="0"/>
        <v>1</v>
      </c>
    </row>
    <row r="25" spans="1:13" x14ac:dyDescent="0.25">
      <c r="A25" s="46">
        <v>27</v>
      </c>
      <c r="B25" s="46" t="s">
        <v>320</v>
      </c>
      <c r="C25" s="46" t="s">
        <v>200</v>
      </c>
      <c r="D25" s="46" t="s">
        <v>9</v>
      </c>
      <c r="E25" s="46" t="s">
        <v>201</v>
      </c>
      <c r="F25" s="46" t="s">
        <v>156</v>
      </c>
      <c r="G25" s="46" t="s">
        <v>157</v>
      </c>
      <c r="H25" s="46">
        <v>0</v>
      </c>
      <c r="I25" s="46">
        <v>0</v>
      </c>
      <c r="J25" s="46">
        <v>0</v>
      </c>
      <c r="K25" s="46">
        <v>0</v>
      </c>
      <c r="M25" t="b">
        <f t="shared" si="0"/>
        <v>1</v>
      </c>
    </row>
    <row r="26" spans="1:13" x14ac:dyDescent="0.25">
      <c r="A26" s="46">
        <v>27</v>
      </c>
      <c r="B26" s="46" t="s">
        <v>320</v>
      </c>
      <c r="C26" s="46" t="s">
        <v>127</v>
      </c>
      <c r="D26" s="46" t="s">
        <v>9</v>
      </c>
      <c r="E26" s="46" t="s">
        <v>167</v>
      </c>
      <c r="F26" s="46" t="s">
        <v>156</v>
      </c>
      <c r="G26" s="46" t="s">
        <v>157</v>
      </c>
      <c r="H26" s="46">
        <v>42</v>
      </c>
      <c r="I26" s="46">
        <v>3</v>
      </c>
      <c r="J26" s="46">
        <v>45</v>
      </c>
      <c r="K26" s="46">
        <v>72</v>
      </c>
      <c r="M26" t="b">
        <f t="shared" si="0"/>
        <v>1</v>
      </c>
    </row>
    <row r="27" spans="1:13" x14ac:dyDescent="0.25">
      <c r="A27" s="46">
        <v>27</v>
      </c>
      <c r="B27" s="46" t="s">
        <v>320</v>
      </c>
      <c r="C27" s="46" t="s">
        <v>129</v>
      </c>
      <c r="D27" s="46" t="s">
        <v>9</v>
      </c>
      <c r="E27" s="46" t="s">
        <v>229</v>
      </c>
      <c r="F27" s="46" t="s">
        <v>156</v>
      </c>
      <c r="G27" s="46" t="s">
        <v>157</v>
      </c>
      <c r="H27" s="46">
        <v>8</v>
      </c>
      <c r="I27" s="46">
        <v>0</v>
      </c>
      <c r="J27" s="46">
        <v>8</v>
      </c>
      <c r="K27" s="46">
        <v>28</v>
      </c>
      <c r="M27" t="b">
        <f t="shared" si="0"/>
        <v>1</v>
      </c>
    </row>
    <row r="28" spans="1:13" x14ac:dyDescent="0.25">
      <c r="A28" s="46">
        <v>27</v>
      </c>
      <c r="B28" s="46" t="s">
        <v>320</v>
      </c>
      <c r="C28" s="46" t="s">
        <v>233</v>
      </c>
      <c r="D28" s="46" t="s">
        <v>9</v>
      </c>
      <c r="E28" s="46" t="s">
        <v>234</v>
      </c>
      <c r="F28" s="46" t="s">
        <v>156</v>
      </c>
      <c r="G28" s="46" t="s">
        <v>157</v>
      </c>
      <c r="H28" s="46">
        <v>13</v>
      </c>
      <c r="I28" s="46">
        <v>4</v>
      </c>
      <c r="J28" s="46">
        <v>17</v>
      </c>
      <c r="K28" s="46">
        <v>28</v>
      </c>
      <c r="M28" t="b">
        <f t="shared" si="0"/>
        <v>1</v>
      </c>
    </row>
    <row r="29" spans="1:13" x14ac:dyDescent="0.25">
      <c r="A29">
        <v>27</v>
      </c>
      <c r="B29" t="s">
        <v>320</v>
      </c>
      <c r="C29" t="s">
        <v>195</v>
      </c>
      <c r="D29" s="46" t="s">
        <v>9</v>
      </c>
      <c r="E29" t="s">
        <v>196</v>
      </c>
      <c r="F29" t="s">
        <v>156</v>
      </c>
      <c r="G29" t="s">
        <v>157</v>
      </c>
      <c r="H29">
        <v>14</v>
      </c>
      <c r="I29">
        <v>1</v>
      </c>
      <c r="J29">
        <v>15</v>
      </c>
      <c r="K29">
        <v>18</v>
      </c>
      <c r="M29" t="b">
        <f t="shared" si="0"/>
        <v>1</v>
      </c>
    </row>
    <row r="30" spans="1:13" x14ac:dyDescent="0.25">
      <c r="A30" s="46">
        <v>27</v>
      </c>
      <c r="B30" s="46" t="s">
        <v>319</v>
      </c>
      <c r="C30" s="46" t="s">
        <v>239</v>
      </c>
      <c r="D30" s="46" t="s">
        <v>9</v>
      </c>
      <c r="E30" s="46" t="s">
        <v>240</v>
      </c>
      <c r="F30" s="46" t="s">
        <v>156</v>
      </c>
      <c r="G30" s="46" t="s">
        <v>157</v>
      </c>
      <c r="H30" s="46">
        <v>0</v>
      </c>
      <c r="I30" s="46">
        <v>0</v>
      </c>
      <c r="J30" s="46">
        <v>0</v>
      </c>
      <c r="K30" s="46">
        <v>0</v>
      </c>
      <c r="M30" t="b">
        <f t="shared" si="0"/>
        <v>1</v>
      </c>
    </row>
    <row r="31" spans="1:13" x14ac:dyDescent="0.25">
      <c r="A31" s="46">
        <v>27</v>
      </c>
      <c r="B31" s="46" t="s">
        <v>320</v>
      </c>
      <c r="C31" s="46" t="s">
        <v>121</v>
      </c>
      <c r="D31" s="46" t="s">
        <v>61</v>
      </c>
      <c r="E31" s="46" t="s">
        <v>190</v>
      </c>
      <c r="F31" s="46" t="s">
        <v>156</v>
      </c>
      <c r="G31" s="46" t="s">
        <v>157</v>
      </c>
      <c r="H31" s="46">
        <v>6</v>
      </c>
      <c r="I31" s="46">
        <v>5</v>
      </c>
      <c r="J31" s="46">
        <v>11</v>
      </c>
      <c r="K31" s="46">
        <v>25</v>
      </c>
      <c r="M31" t="b">
        <f t="shared" si="0"/>
        <v>1</v>
      </c>
    </row>
    <row r="32" spans="1:13" x14ac:dyDescent="0.25">
      <c r="A32" s="46">
        <v>27</v>
      </c>
      <c r="B32" s="46" t="s">
        <v>320</v>
      </c>
      <c r="C32" s="46" t="s">
        <v>113</v>
      </c>
      <c r="D32" s="46" t="s">
        <v>61</v>
      </c>
      <c r="E32" s="46" t="s">
        <v>232</v>
      </c>
      <c r="F32" s="46" t="s">
        <v>156</v>
      </c>
      <c r="G32" s="46" t="s">
        <v>157</v>
      </c>
      <c r="H32" s="46">
        <v>18</v>
      </c>
      <c r="I32" s="46">
        <v>0</v>
      </c>
      <c r="J32" s="46">
        <v>18</v>
      </c>
      <c r="K32" s="46">
        <v>58</v>
      </c>
      <c r="M32" t="b">
        <f t="shared" si="0"/>
        <v>1</v>
      </c>
    </row>
    <row r="33" spans="1:13" x14ac:dyDescent="0.25">
      <c r="A33" s="46">
        <v>27</v>
      </c>
      <c r="B33" s="46" t="s">
        <v>320</v>
      </c>
      <c r="C33" s="46" t="s">
        <v>115</v>
      </c>
      <c r="D33" s="46" t="s">
        <v>61</v>
      </c>
      <c r="E33" s="46" t="s">
        <v>204</v>
      </c>
      <c r="F33" s="46" t="s">
        <v>156</v>
      </c>
      <c r="G33" s="46" t="s">
        <v>157</v>
      </c>
      <c r="H33" s="46">
        <v>3</v>
      </c>
      <c r="I33" s="46">
        <v>0</v>
      </c>
      <c r="J33" s="46">
        <v>3</v>
      </c>
      <c r="K33" s="46">
        <v>34</v>
      </c>
      <c r="M33" t="b">
        <f t="shared" si="0"/>
        <v>1</v>
      </c>
    </row>
    <row r="34" spans="1:13" x14ac:dyDescent="0.25">
      <c r="A34" s="46">
        <v>27</v>
      </c>
      <c r="B34" s="46" t="s">
        <v>320</v>
      </c>
      <c r="C34" s="46" t="s">
        <v>117</v>
      </c>
      <c r="D34" s="46" t="s">
        <v>61</v>
      </c>
      <c r="E34" s="46" t="s">
        <v>219</v>
      </c>
      <c r="F34" s="46" t="s">
        <v>156</v>
      </c>
      <c r="G34" s="46" t="s">
        <v>157</v>
      </c>
      <c r="H34" s="46">
        <v>6</v>
      </c>
      <c r="I34" s="46">
        <v>1</v>
      </c>
      <c r="J34" s="46">
        <v>7</v>
      </c>
      <c r="K34" s="46">
        <v>44</v>
      </c>
      <c r="M34" t="b">
        <f t="shared" ref="M34:M64" si="1">H34+I34=J34</f>
        <v>1</v>
      </c>
    </row>
    <row r="35" spans="1:13" x14ac:dyDescent="0.25">
      <c r="A35">
        <v>27</v>
      </c>
      <c r="B35" t="s">
        <v>320</v>
      </c>
      <c r="C35" t="s">
        <v>120</v>
      </c>
      <c r="D35" t="s">
        <v>61</v>
      </c>
      <c r="E35" t="s">
        <v>181</v>
      </c>
      <c r="F35" t="s">
        <v>156</v>
      </c>
      <c r="G35" t="s">
        <v>157</v>
      </c>
      <c r="H35">
        <v>19</v>
      </c>
      <c r="I35">
        <v>2</v>
      </c>
      <c r="J35">
        <v>21</v>
      </c>
      <c r="K35">
        <v>100</v>
      </c>
      <c r="M35" t="b">
        <f t="shared" si="1"/>
        <v>1</v>
      </c>
    </row>
    <row r="36" spans="1:13" x14ac:dyDescent="0.25">
      <c r="A36" s="46">
        <v>27</v>
      </c>
      <c r="B36" s="46" t="s">
        <v>320</v>
      </c>
      <c r="C36" s="46" t="s">
        <v>116</v>
      </c>
      <c r="D36" s="46" t="s">
        <v>61</v>
      </c>
      <c r="E36" s="46" t="s">
        <v>177</v>
      </c>
      <c r="F36" s="46" t="s">
        <v>156</v>
      </c>
      <c r="G36" s="46" t="s">
        <v>157</v>
      </c>
      <c r="H36" s="46">
        <v>34</v>
      </c>
      <c r="I36" s="46">
        <v>48</v>
      </c>
      <c r="J36" s="46">
        <v>82</v>
      </c>
      <c r="K36" s="46">
        <v>101</v>
      </c>
      <c r="M36" t="b">
        <f t="shared" si="1"/>
        <v>1</v>
      </c>
    </row>
    <row r="37" spans="1:13" x14ac:dyDescent="0.25">
      <c r="A37">
        <v>27</v>
      </c>
      <c r="B37" t="s">
        <v>320</v>
      </c>
      <c r="C37" t="s">
        <v>126</v>
      </c>
      <c r="D37" t="s">
        <v>61</v>
      </c>
      <c r="E37" t="s">
        <v>166</v>
      </c>
      <c r="F37" t="s">
        <v>156</v>
      </c>
      <c r="G37" t="s">
        <v>157</v>
      </c>
      <c r="H37">
        <v>63</v>
      </c>
      <c r="I37">
        <v>28</v>
      </c>
      <c r="J37">
        <v>91</v>
      </c>
      <c r="K37">
        <v>287</v>
      </c>
      <c r="M37" t="b">
        <f t="shared" si="1"/>
        <v>1</v>
      </c>
    </row>
    <row r="38" spans="1:13" x14ac:dyDescent="0.25">
      <c r="A38" s="46">
        <v>27</v>
      </c>
      <c r="B38" s="46" t="s">
        <v>320</v>
      </c>
      <c r="C38" s="46" t="s">
        <v>125</v>
      </c>
      <c r="D38" s="46" t="s">
        <v>61</v>
      </c>
      <c r="E38" s="46" t="s">
        <v>171</v>
      </c>
      <c r="F38" s="46" t="s">
        <v>156</v>
      </c>
      <c r="G38" s="46" t="s">
        <v>157</v>
      </c>
      <c r="H38" s="46">
        <v>12</v>
      </c>
      <c r="I38" s="46">
        <v>11</v>
      </c>
      <c r="J38" s="46">
        <v>23</v>
      </c>
      <c r="K38" s="46">
        <v>597</v>
      </c>
      <c r="M38" t="b">
        <f t="shared" si="1"/>
        <v>1</v>
      </c>
    </row>
    <row r="39" spans="1:13" x14ac:dyDescent="0.25">
      <c r="A39" s="46">
        <v>27</v>
      </c>
      <c r="B39" s="46" t="s">
        <v>320</v>
      </c>
      <c r="C39" s="46" t="s">
        <v>122</v>
      </c>
      <c r="D39" s="46" t="s">
        <v>61</v>
      </c>
      <c r="E39" s="46" t="s">
        <v>203</v>
      </c>
      <c r="F39" s="46" t="s">
        <v>156</v>
      </c>
      <c r="G39" s="46" t="s">
        <v>157</v>
      </c>
      <c r="H39" s="46">
        <v>0</v>
      </c>
      <c r="I39" s="46">
        <v>0</v>
      </c>
      <c r="J39" s="46">
        <v>0</v>
      </c>
      <c r="K39" s="46">
        <v>63</v>
      </c>
      <c r="M39" t="b">
        <f t="shared" si="1"/>
        <v>1</v>
      </c>
    </row>
    <row r="40" spans="1:13" x14ac:dyDescent="0.25">
      <c r="A40" s="46">
        <v>27</v>
      </c>
      <c r="B40" s="46" t="s">
        <v>320</v>
      </c>
      <c r="C40" s="46" t="s">
        <v>124</v>
      </c>
      <c r="D40" s="46" t="s">
        <v>61</v>
      </c>
      <c r="E40" s="46" t="s">
        <v>178</v>
      </c>
      <c r="F40" s="46" t="s">
        <v>156</v>
      </c>
      <c r="G40" s="46" t="s">
        <v>157</v>
      </c>
      <c r="H40" s="46">
        <v>2</v>
      </c>
      <c r="I40" s="46">
        <v>5</v>
      </c>
      <c r="J40" s="46">
        <v>7</v>
      </c>
      <c r="K40" s="46">
        <v>12</v>
      </c>
      <c r="M40" t="b">
        <f t="shared" si="1"/>
        <v>1</v>
      </c>
    </row>
    <row r="41" spans="1:13" x14ac:dyDescent="0.25">
      <c r="A41" s="46">
        <v>27</v>
      </c>
      <c r="B41" s="46" t="s">
        <v>319</v>
      </c>
      <c r="C41" s="46" t="s">
        <v>151</v>
      </c>
      <c r="D41" s="46" t="s">
        <v>60</v>
      </c>
      <c r="E41" s="46" t="s">
        <v>225</v>
      </c>
      <c r="F41" s="46" t="s">
        <v>156</v>
      </c>
      <c r="G41" s="46" t="s">
        <v>157</v>
      </c>
      <c r="H41" s="46">
        <v>7</v>
      </c>
      <c r="I41" s="46">
        <v>13</v>
      </c>
      <c r="J41" s="46">
        <v>20</v>
      </c>
      <c r="K41" s="46">
        <v>50</v>
      </c>
      <c r="M41" t="b">
        <f t="shared" si="1"/>
        <v>1</v>
      </c>
    </row>
    <row r="42" spans="1:13" x14ac:dyDescent="0.25">
      <c r="A42" s="46">
        <v>27</v>
      </c>
      <c r="B42" s="46" t="s">
        <v>319</v>
      </c>
      <c r="C42" s="46" t="s">
        <v>149</v>
      </c>
      <c r="D42" s="46" t="s">
        <v>60</v>
      </c>
      <c r="E42" s="46" t="s">
        <v>224</v>
      </c>
      <c r="F42" s="46" t="s">
        <v>156</v>
      </c>
      <c r="G42" s="46" t="s">
        <v>157</v>
      </c>
      <c r="H42" s="46">
        <v>2</v>
      </c>
      <c r="I42" s="46">
        <v>0</v>
      </c>
      <c r="J42" s="46">
        <v>2</v>
      </c>
      <c r="K42" s="46">
        <v>6</v>
      </c>
      <c r="M42" t="b">
        <f t="shared" si="1"/>
        <v>1</v>
      </c>
    </row>
    <row r="43" spans="1:13" x14ac:dyDescent="0.25">
      <c r="A43">
        <v>27</v>
      </c>
      <c r="B43" t="s">
        <v>320</v>
      </c>
      <c r="C43" t="s">
        <v>110</v>
      </c>
      <c r="D43" t="s">
        <v>60</v>
      </c>
      <c r="E43" t="s">
        <v>194</v>
      </c>
      <c r="F43" t="s">
        <v>156</v>
      </c>
      <c r="G43" t="s">
        <v>157</v>
      </c>
      <c r="H43">
        <v>9</v>
      </c>
      <c r="I43">
        <v>12</v>
      </c>
      <c r="J43">
        <v>21</v>
      </c>
      <c r="K43">
        <v>101</v>
      </c>
      <c r="M43" t="b">
        <f t="shared" si="1"/>
        <v>1</v>
      </c>
    </row>
    <row r="44" spans="1:13" x14ac:dyDescent="0.25">
      <c r="A44" s="46">
        <v>27</v>
      </c>
      <c r="B44" s="46" t="s">
        <v>319</v>
      </c>
      <c r="C44" s="46" t="s">
        <v>146</v>
      </c>
      <c r="D44" s="46" t="s">
        <v>60</v>
      </c>
      <c r="E44" s="46" t="s">
        <v>205</v>
      </c>
      <c r="F44" s="46" t="s">
        <v>156</v>
      </c>
      <c r="G44" s="46" t="s">
        <v>157</v>
      </c>
      <c r="H44" s="46">
        <v>10</v>
      </c>
      <c r="I44" s="46">
        <v>19</v>
      </c>
      <c r="J44" s="46">
        <v>29</v>
      </c>
      <c r="K44" s="46">
        <v>52</v>
      </c>
      <c r="M44" t="b">
        <f t="shared" si="1"/>
        <v>1</v>
      </c>
    </row>
    <row r="45" spans="1:13" x14ac:dyDescent="0.25">
      <c r="A45" s="46">
        <v>27</v>
      </c>
      <c r="B45" s="46" t="s">
        <v>319</v>
      </c>
      <c r="C45" s="46" t="s">
        <v>142</v>
      </c>
      <c r="D45" s="46" t="s">
        <v>60</v>
      </c>
      <c r="E45" s="46" t="s">
        <v>226</v>
      </c>
      <c r="F45" s="46" t="s">
        <v>156</v>
      </c>
      <c r="G45" s="46" t="s">
        <v>157</v>
      </c>
      <c r="H45" s="46">
        <v>3</v>
      </c>
      <c r="I45" s="46">
        <v>1</v>
      </c>
      <c r="J45" s="46">
        <v>4</v>
      </c>
      <c r="K45" s="46">
        <v>104</v>
      </c>
      <c r="M45" t="b">
        <f t="shared" si="1"/>
        <v>1</v>
      </c>
    </row>
    <row r="46" spans="1:13" x14ac:dyDescent="0.25">
      <c r="A46" s="46">
        <v>27</v>
      </c>
      <c r="B46" s="46" t="s">
        <v>319</v>
      </c>
      <c r="C46" s="46" t="s">
        <v>235</v>
      </c>
      <c r="D46" s="46" t="s">
        <v>60</v>
      </c>
      <c r="E46" s="46" t="s">
        <v>236</v>
      </c>
      <c r="F46" s="46" t="s">
        <v>156</v>
      </c>
      <c r="G46" s="46" t="s">
        <v>157</v>
      </c>
      <c r="H46" s="46">
        <v>1</v>
      </c>
      <c r="I46" s="46">
        <v>10</v>
      </c>
      <c r="J46" s="46">
        <v>11</v>
      </c>
      <c r="K46" s="46">
        <v>15</v>
      </c>
      <c r="M46" t="b">
        <f t="shared" si="1"/>
        <v>1</v>
      </c>
    </row>
    <row r="47" spans="1:13" x14ac:dyDescent="0.25">
      <c r="A47">
        <v>27</v>
      </c>
      <c r="B47" t="s">
        <v>319</v>
      </c>
      <c r="C47" t="s">
        <v>145</v>
      </c>
      <c r="D47" s="46" t="s">
        <v>60</v>
      </c>
      <c r="E47" t="s">
        <v>184</v>
      </c>
      <c r="F47" t="s">
        <v>156</v>
      </c>
      <c r="G47" t="s">
        <v>157</v>
      </c>
      <c r="H47">
        <v>9</v>
      </c>
      <c r="I47">
        <v>5</v>
      </c>
      <c r="J47">
        <v>14</v>
      </c>
      <c r="K47">
        <v>150</v>
      </c>
      <c r="M47" t="b">
        <f t="shared" si="1"/>
        <v>1</v>
      </c>
    </row>
    <row r="48" spans="1:13" x14ac:dyDescent="0.25">
      <c r="A48" s="46">
        <v>27</v>
      </c>
      <c r="B48" s="46" t="s">
        <v>319</v>
      </c>
      <c r="C48" s="46" t="s">
        <v>147</v>
      </c>
      <c r="D48" s="46" t="s">
        <v>60</v>
      </c>
      <c r="E48" s="46" t="s">
        <v>199</v>
      </c>
      <c r="F48" s="46" t="s">
        <v>156</v>
      </c>
      <c r="G48" s="46" t="s">
        <v>157</v>
      </c>
      <c r="H48" s="46">
        <v>0</v>
      </c>
      <c r="I48" s="46">
        <v>1</v>
      </c>
      <c r="J48" s="46">
        <v>1</v>
      </c>
      <c r="K48" s="46">
        <v>74</v>
      </c>
      <c r="M48" t="b">
        <f t="shared" si="1"/>
        <v>1</v>
      </c>
    </row>
    <row r="49" spans="1:13" x14ac:dyDescent="0.25">
      <c r="A49" s="46">
        <v>27</v>
      </c>
      <c r="B49" s="46" t="s">
        <v>319</v>
      </c>
      <c r="C49" s="46" t="s">
        <v>143</v>
      </c>
      <c r="D49" s="46" t="s">
        <v>60</v>
      </c>
      <c r="E49" s="46" t="s">
        <v>213</v>
      </c>
      <c r="F49" s="46" t="s">
        <v>156</v>
      </c>
      <c r="G49" s="46" t="s">
        <v>157</v>
      </c>
      <c r="H49" s="46">
        <v>5</v>
      </c>
      <c r="I49" s="46">
        <v>10</v>
      </c>
      <c r="J49" s="46">
        <v>15</v>
      </c>
      <c r="K49" s="46">
        <v>22</v>
      </c>
      <c r="M49" t="b">
        <f t="shared" si="1"/>
        <v>1</v>
      </c>
    </row>
    <row r="50" spans="1:13" s="76" customFormat="1" x14ac:dyDescent="0.25">
      <c r="A50" s="75">
        <v>27</v>
      </c>
      <c r="B50" s="75" t="s">
        <v>319</v>
      </c>
      <c r="C50" s="75" t="s">
        <v>137</v>
      </c>
      <c r="D50" s="75" t="s">
        <v>62</v>
      </c>
      <c r="E50" s="75" t="s">
        <v>198</v>
      </c>
      <c r="F50" s="75" t="s">
        <v>156</v>
      </c>
      <c r="G50" s="75" t="s">
        <v>157</v>
      </c>
      <c r="H50" s="75">
        <v>65</v>
      </c>
      <c r="I50" s="75">
        <v>7</v>
      </c>
      <c r="J50" s="75">
        <v>72</v>
      </c>
      <c r="K50" s="75">
        <v>64</v>
      </c>
      <c r="L50" s="76" t="s">
        <v>441</v>
      </c>
      <c r="M50" s="76" t="b">
        <f t="shared" si="1"/>
        <v>1</v>
      </c>
    </row>
    <row r="51" spans="1:13" x14ac:dyDescent="0.25">
      <c r="A51" s="46">
        <v>27</v>
      </c>
      <c r="B51" s="46" t="s">
        <v>319</v>
      </c>
      <c r="C51" s="46" t="s">
        <v>135</v>
      </c>
      <c r="D51" s="46" t="s">
        <v>62</v>
      </c>
      <c r="E51" s="46" t="s">
        <v>197</v>
      </c>
      <c r="F51" s="46" t="s">
        <v>156</v>
      </c>
      <c r="G51" s="46" t="s">
        <v>157</v>
      </c>
      <c r="H51" s="46">
        <v>13</v>
      </c>
      <c r="I51" s="46">
        <v>1</v>
      </c>
      <c r="J51" s="46">
        <v>14</v>
      </c>
      <c r="K51" s="46">
        <v>14</v>
      </c>
      <c r="M51" t="b">
        <f t="shared" si="1"/>
        <v>1</v>
      </c>
    </row>
    <row r="52" spans="1:13" s="76" customFormat="1" x14ac:dyDescent="0.25">
      <c r="A52" s="76">
        <v>27</v>
      </c>
      <c r="B52" s="76" t="s">
        <v>319</v>
      </c>
      <c r="C52" s="76" t="s">
        <v>134</v>
      </c>
      <c r="D52" s="76" t="s">
        <v>62</v>
      </c>
      <c r="E52" s="76" t="s">
        <v>168</v>
      </c>
      <c r="F52" s="76" t="s">
        <v>156</v>
      </c>
      <c r="G52" s="76" t="s">
        <v>157</v>
      </c>
      <c r="H52" s="76">
        <v>0</v>
      </c>
      <c r="I52" s="76">
        <v>0</v>
      </c>
      <c r="J52" s="76">
        <v>0</v>
      </c>
      <c r="K52" s="76">
        <v>0</v>
      </c>
      <c r="L52" s="76" t="s">
        <v>440</v>
      </c>
      <c r="M52" s="76" t="b">
        <f t="shared" si="1"/>
        <v>1</v>
      </c>
    </row>
    <row r="53" spans="1:13" x14ac:dyDescent="0.25">
      <c r="A53" s="46">
        <v>27</v>
      </c>
      <c r="B53" s="46" t="s">
        <v>319</v>
      </c>
      <c r="C53" s="46" t="s">
        <v>131</v>
      </c>
      <c r="D53" s="46" t="s">
        <v>62</v>
      </c>
      <c r="E53" s="46" t="s">
        <v>202</v>
      </c>
      <c r="F53" s="46" t="s">
        <v>156</v>
      </c>
      <c r="G53" s="46" t="s">
        <v>157</v>
      </c>
      <c r="H53" s="46">
        <v>41</v>
      </c>
      <c r="I53" s="46">
        <v>0</v>
      </c>
      <c r="J53" s="46">
        <v>41</v>
      </c>
      <c r="K53" s="46">
        <v>45</v>
      </c>
      <c r="M53" t="b">
        <f t="shared" si="1"/>
        <v>1</v>
      </c>
    </row>
    <row r="54" spans="1:13" x14ac:dyDescent="0.25">
      <c r="A54" s="46">
        <v>27</v>
      </c>
      <c r="B54" s="46" t="s">
        <v>319</v>
      </c>
      <c r="C54" s="46" t="s">
        <v>132</v>
      </c>
      <c r="D54" s="46" t="s">
        <v>62</v>
      </c>
      <c r="E54" s="46" t="s">
        <v>160</v>
      </c>
      <c r="F54" s="46" t="s">
        <v>156</v>
      </c>
      <c r="G54" s="46" t="s">
        <v>157</v>
      </c>
      <c r="H54" s="46">
        <v>115</v>
      </c>
      <c r="I54" s="46">
        <v>31</v>
      </c>
      <c r="J54" s="46">
        <v>146</v>
      </c>
      <c r="K54" s="46">
        <v>185</v>
      </c>
      <c r="M54" t="b">
        <f t="shared" si="1"/>
        <v>1</v>
      </c>
    </row>
    <row r="55" spans="1:13" x14ac:dyDescent="0.25">
      <c r="A55" s="46">
        <v>27</v>
      </c>
      <c r="B55" s="46" t="s">
        <v>319</v>
      </c>
      <c r="C55" s="46" t="s">
        <v>130</v>
      </c>
      <c r="D55" s="46" t="s">
        <v>62</v>
      </c>
      <c r="E55" s="46" t="s">
        <v>321</v>
      </c>
      <c r="F55" s="46" t="s">
        <v>156</v>
      </c>
      <c r="G55" s="46" t="s">
        <v>157</v>
      </c>
      <c r="H55" s="46">
        <v>6</v>
      </c>
      <c r="I55" s="46">
        <v>4</v>
      </c>
      <c r="J55" s="46">
        <v>10</v>
      </c>
      <c r="K55" s="46">
        <v>10</v>
      </c>
      <c r="M55" t="b">
        <f t="shared" si="1"/>
        <v>1</v>
      </c>
    </row>
    <row r="56" spans="1:13" x14ac:dyDescent="0.25">
      <c r="A56" s="46">
        <v>27</v>
      </c>
      <c r="B56" s="46" t="s">
        <v>319</v>
      </c>
      <c r="C56" s="46" t="s">
        <v>243</v>
      </c>
      <c r="D56" s="46" t="s">
        <v>62</v>
      </c>
      <c r="E56" s="46" t="s">
        <v>244</v>
      </c>
      <c r="F56" s="46" t="s">
        <v>156</v>
      </c>
      <c r="G56" s="46" t="s">
        <v>157</v>
      </c>
      <c r="H56" s="46">
        <v>5</v>
      </c>
      <c r="I56" s="46">
        <v>0</v>
      </c>
      <c r="J56" s="46">
        <v>5</v>
      </c>
      <c r="K56" s="46">
        <v>8</v>
      </c>
      <c r="M56" t="b">
        <f t="shared" si="1"/>
        <v>1</v>
      </c>
    </row>
    <row r="57" spans="1:13" s="76" customFormat="1" x14ac:dyDescent="0.25">
      <c r="A57" s="75">
        <v>27</v>
      </c>
      <c r="B57" s="75" t="s">
        <v>319</v>
      </c>
      <c r="C57" s="75" t="s">
        <v>133</v>
      </c>
      <c r="D57" s="75" t="s">
        <v>62</v>
      </c>
      <c r="E57" s="75" t="s">
        <v>218</v>
      </c>
      <c r="F57" s="75" t="s">
        <v>156</v>
      </c>
      <c r="G57" s="75" t="s">
        <v>157</v>
      </c>
      <c r="H57" s="75">
        <v>6</v>
      </c>
      <c r="I57" s="75">
        <v>4</v>
      </c>
      <c r="J57" s="75">
        <v>10</v>
      </c>
      <c r="K57" s="75">
        <v>50</v>
      </c>
      <c r="L57" s="76" t="s">
        <v>442</v>
      </c>
      <c r="M57" s="76" t="b">
        <f t="shared" si="1"/>
        <v>1</v>
      </c>
    </row>
    <row r="58" spans="1:13" x14ac:dyDescent="0.25">
      <c r="A58" s="46">
        <v>27</v>
      </c>
      <c r="B58" s="46" t="s">
        <v>319</v>
      </c>
      <c r="C58" s="46" t="s">
        <v>152</v>
      </c>
      <c r="D58" s="46" t="s">
        <v>62</v>
      </c>
      <c r="E58" s="46" t="s">
        <v>165</v>
      </c>
      <c r="F58" s="46" t="s">
        <v>156</v>
      </c>
      <c r="G58" s="46" t="s">
        <v>157</v>
      </c>
      <c r="H58" s="46">
        <v>131</v>
      </c>
      <c r="I58" s="46">
        <v>16</v>
      </c>
      <c r="J58" s="46">
        <v>147</v>
      </c>
      <c r="K58" s="46">
        <v>162</v>
      </c>
      <c r="M58" t="b">
        <f t="shared" si="1"/>
        <v>1</v>
      </c>
    </row>
    <row r="59" spans="1:13" x14ac:dyDescent="0.25">
      <c r="A59" s="46">
        <v>27</v>
      </c>
      <c r="B59" s="46" t="s">
        <v>319</v>
      </c>
      <c r="C59" s="46" t="s">
        <v>154</v>
      </c>
      <c r="D59" s="46" t="s">
        <v>62</v>
      </c>
      <c r="E59" s="46" t="s">
        <v>214</v>
      </c>
      <c r="F59" s="46" t="s">
        <v>156</v>
      </c>
      <c r="G59" s="46" t="s">
        <v>157</v>
      </c>
      <c r="H59" s="46">
        <v>8</v>
      </c>
      <c r="I59" s="46">
        <v>13</v>
      </c>
      <c r="J59" s="46">
        <v>21</v>
      </c>
      <c r="K59" s="46">
        <v>60</v>
      </c>
      <c r="M59" t="b">
        <f t="shared" si="1"/>
        <v>1</v>
      </c>
    </row>
    <row r="60" spans="1:13" x14ac:dyDescent="0.25">
      <c r="A60">
        <v>27</v>
      </c>
      <c r="B60" t="s">
        <v>319</v>
      </c>
      <c r="C60" t="s">
        <v>138</v>
      </c>
      <c r="D60" t="s">
        <v>62</v>
      </c>
      <c r="E60" t="s">
        <v>159</v>
      </c>
      <c r="F60" t="s">
        <v>156</v>
      </c>
      <c r="G60" t="s">
        <v>157</v>
      </c>
      <c r="H60">
        <v>100</v>
      </c>
      <c r="I60">
        <v>5</v>
      </c>
      <c r="J60">
        <v>105</v>
      </c>
      <c r="K60">
        <v>133</v>
      </c>
      <c r="M60" t="b">
        <f t="shared" si="1"/>
        <v>1</v>
      </c>
    </row>
    <row r="61" spans="1:13" x14ac:dyDescent="0.25">
      <c r="A61" s="46">
        <v>27</v>
      </c>
      <c r="B61" s="46" t="s">
        <v>319</v>
      </c>
      <c r="C61" s="46" t="s">
        <v>136</v>
      </c>
      <c r="D61" s="46" t="s">
        <v>62</v>
      </c>
      <c r="E61" s="46" t="s">
        <v>212</v>
      </c>
      <c r="F61" s="46" t="s">
        <v>156</v>
      </c>
      <c r="G61" s="46" t="s">
        <v>157</v>
      </c>
      <c r="H61" s="46">
        <v>30</v>
      </c>
      <c r="I61" s="46">
        <v>0</v>
      </c>
      <c r="J61" s="46">
        <v>30</v>
      </c>
      <c r="K61" s="46">
        <v>63</v>
      </c>
      <c r="M61" t="b">
        <f t="shared" si="1"/>
        <v>1</v>
      </c>
    </row>
    <row r="62" spans="1:13" x14ac:dyDescent="0.25">
      <c r="A62">
        <v>27</v>
      </c>
      <c r="B62" t="s">
        <v>319</v>
      </c>
      <c r="C62" t="s">
        <v>241</v>
      </c>
      <c r="D62" t="s">
        <v>62</v>
      </c>
      <c r="E62" t="s">
        <v>242</v>
      </c>
      <c r="F62" t="s">
        <v>156</v>
      </c>
      <c r="G62" t="s">
        <v>157</v>
      </c>
      <c r="H62">
        <v>49</v>
      </c>
      <c r="I62">
        <v>5</v>
      </c>
      <c r="J62">
        <v>54</v>
      </c>
      <c r="K62">
        <v>66</v>
      </c>
      <c r="M62" t="b">
        <f t="shared" si="1"/>
        <v>1</v>
      </c>
    </row>
    <row r="63" spans="1:13" x14ac:dyDescent="0.25">
      <c r="A63" s="46">
        <v>27</v>
      </c>
      <c r="B63" s="46" t="s">
        <v>319</v>
      </c>
      <c r="C63" s="46" t="s">
        <v>153</v>
      </c>
      <c r="D63" s="46" t="s">
        <v>63</v>
      </c>
      <c r="E63" s="46" t="s">
        <v>193</v>
      </c>
      <c r="F63" s="46" t="s">
        <v>156</v>
      </c>
      <c r="G63" s="46" t="s">
        <v>157</v>
      </c>
      <c r="H63" s="46">
        <v>2</v>
      </c>
      <c r="I63" s="46">
        <v>4</v>
      </c>
      <c r="J63" s="46">
        <v>6</v>
      </c>
      <c r="K63" s="46">
        <v>9</v>
      </c>
      <c r="M63" t="b">
        <f t="shared" si="1"/>
        <v>1</v>
      </c>
    </row>
    <row r="64" spans="1:13" x14ac:dyDescent="0.25">
      <c r="A64" s="46">
        <v>27</v>
      </c>
      <c r="B64" s="46" t="s">
        <v>319</v>
      </c>
      <c r="C64" s="46" t="s">
        <v>148</v>
      </c>
      <c r="D64" s="46" t="s">
        <v>63</v>
      </c>
      <c r="E64" s="46" t="s">
        <v>215</v>
      </c>
      <c r="F64" s="46" t="s">
        <v>156</v>
      </c>
      <c r="G64" s="46" t="s">
        <v>157</v>
      </c>
      <c r="H64" s="46">
        <v>3</v>
      </c>
      <c r="I64" s="46">
        <v>2</v>
      </c>
      <c r="J64" s="46">
        <v>5</v>
      </c>
      <c r="K64" s="46">
        <v>32</v>
      </c>
      <c r="M64" t="b">
        <f t="shared" si="1"/>
        <v>1</v>
      </c>
    </row>
    <row r="65" spans="1:11" x14ac:dyDescent="0.25">
      <c r="D65" s="46"/>
    </row>
    <row r="66" spans="1:11" x14ac:dyDescent="0.25">
      <c r="A66" s="46"/>
      <c r="B66" s="46"/>
      <c r="C66" s="46"/>
      <c r="D66" s="46"/>
      <c r="E66" s="46"/>
      <c r="F66" s="46"/>
      <c r="G66" s="46"/>
      <c r="H66" s="46"/>
      <c r="I66" s="46"/>
      <c r="J66" s="46"/>
      <c r="K66" s="46"/>
    </row>
    <row r="67" spans="1:11" x14ac:dyDescent="0.25">
      <c r="A67" s="46"/>
      <c r="B67" s="46"/>
      <c r="C67" s="46"/>
      <c r="D67" s="46"/>
      <c r="E67" s="46"/>
      <c r="F67" s="46"/>
      <c r="G67" s="46"/>
      <c r="H67" s="46"/>
      <c r="I67" s="46"/>
      <c r="J67" s="46"/>
      <c r="K67" s="46"/>
    </row>
    <row r="68" spans="1:11" x14ac:dyDescent="0.25">
      <c r="A68" s="46"/>
      <c r="B68" s="46"/>
      <c r="C68" s="46"/>
      <c r="D68" s="46"/>
      <c r="E68" s="46"/>
      <c r="F68" s="46"/>
      <c r="G68" s="46"/>
      <c r="H68" s="46"/>
      <c r="I68" s="46"/>
      <c r="J68" s="46"/>
      <c r="K68" s="46"/>
    </row>
    <row r="69" spans="1:11" x14ac:dyDescent="0.25">
      <c r="A69" s="46"/>
      <c r="B69" s="46"/>
      <c r="C69" s="46"/>
      <c r="D69" s="46"/>
      <c r="E69" s="46"/>
      <c r="F69" s="46"/>
      <c r="G69" s="46"/>
      <c r="H69" s="46"/>
      <c r="I69" s="46"/>
      <c r="J69" s="46"/>
      <c r="K69" s="46"/>
    </row>
    <row r="70" spans="1:11" x14ac:dyDescent="0.25">
      <c r="A70" s="46"/>
      <c r="B70" s="46"/>
      <c r="C70" s="46"/>
      <c r="D70" s="46"/>
      <c r="E70" s="46"/>
      <c r="F70" s="46"/>
      <c r="G70" s="46"/>
      <c r="H70" s="46"/>
      <c r="I70" s="46"/>
      <c r="J70" s="46"/>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D74" s="46"/>
    </row>
    <row r="75" spans="1:11" x14ac:dyDescent="0.25">
      <c r="D75" s="46"/>
    </row>
    <row r="76" spans="1:11" x14ac:dyDescent="0.25">
      <c r="D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D80" s="46"/>
    </row>
    <row r="81" spans="1:11" x14ac:dyDescent="0.25">
      <c r="A81" s="46"/>
      <c r="B81" s="46"/>
      <c r="C81" s="46"/>
      <c r="D81" s="46"/>
      <c r="E81" s="46"/>
      <c r="F81" s="46"/>
      <c r="G81" s="46"/>
      <c r="H81" s="46"/>
      <c r="I81" s="46"/>
      <c r="J81" s="46"/>
      <c r="K81" s="46"/>
    </row>
    <row r="82" spans="1:11" x14ac:dyDescent="0.25">
      <c r="D82" s="46"/>
    </row>
    <row r="83" spans="1:11" x14ac:dyDescent="0.25">
      <c r="D83" s="46"/>
    </row>
    <row r="84" spans="1:11" x14ac:dyDescent="0.25">
      <c r="D84" s="46"/>
    </row>
    <row r="85" spans="1:11" x14ac:dyDescent="0.25">
      <c r="A85" s="46"/>
      <c r="B85" s="46"/>
      <c r="C85" s="46"/>
      <c r="D85" s="46"/>
      <c r="E85" s="46"/>
      <c r="F85" s="46"/>
      <c r="G85" s="46"/>
      <c r="H85" s="46"/>
      <c r="I85" s="46"/>
      <c r="J85" s="46"/>
      <c r="K85" s="46"/>
    </row>
  </sheetData>
  <sortState ref="A2:M85">
    <sortCondition ref="D2:D85"/>
    <sortCondition ref="C2:C8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0D957D2-51BF-4A89-94A5-CEC597280C4F}"/>
</file>

<file path=customXml/itemProps2.xml><?xml version="1.0" encoding="utf-8"?>
<ds:datastoreItem xmlns:ds="http://schemas.openxmlformats.org/officeDocument/2006/customXml" ds:itemID="{FF76DFE6-98A3-4586-B86B-461ACD60E1D2}"/>
</file>

<file path=customXml/itemProps3.xml><?xml version="1.0" encoding="utf-8"?>
<ds:datastoreItem xmlns:ds="http://schemas.openxmlformats.org/officeDocument/2006/customXml" ds:itemID="{1771EF62-A208-41BC-ADCF-838DBB4CA3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vt:lpstr>
      <vt:lpstr>Weekly Data Input</vt:lpstr>
      <vt:lpstr>InfRateZo2</vt:lpstr>
      <vt:lpstr>InfRateZo</vt:lpstr>
      <vt:lpstr>InfRateTotal</vt:lpstr>
      <vt:lpstr>InfRateCollectionSite</vt:lpstr>
      <vt:lpstr>InfRateCI</vt:lpstr>
      <vt:lpstr>InfRateZone</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1222400</vt:r8>
  </property>
</Properties>
</file>