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37\"/>
    </mc:Choice>
  </mc:AlternateContent>
  <bookViews>
    <workbookView xWindow="0" yWindow="0" windowWidth="28800" windowHeight="15525" tabRatio="905" activeTab="1"/>
  </bookViews>
  <sheets>
    <sheet name="READ ME" sheetId="65" r:id="rId1"/>
    <sheet name="Weekly Data Input" sheetId="2" r:id="rId2"/>
    <sheet name="InfRateTotal" sheetId="94" r:id="rId3"/>
    <sheet name="InfRateZone"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71027"/>
  <pivotCaches>
    <pivotCache cacheId="44" r:id="rId15"/>
    <pivotCache cacheId="45" r:id="rId16"/>
  </pivotCaches>
</workbook>
</file>

<file path=xl/calcChain.xml><?xml version="1.0" encoding="utf-8"?>
<calcChain xmlns="http://schemas.openxmlformats.org/spreadsheetml/2006/main">
  <c r="V20" i="2" l="1"/>
  <c r="V3" i="2" l="1"/>
  <c r="V4" i="2"/>
  <c r="V5" i="2"/>
  <c r="V6" i="2"/>
  <c r="V7" i="2"/>
  <c r="V8" i="2"/>
  <c r="V9" i="2"/>
  <c r="V10" i="2"/>
  <c r="V11" i="2"/>
  <c r="V12" i="2"/>
  <c r="V13" i="2"/>
  <c r="V14" i="2"/>
  <c r="V15" i="2"/>
  <c r="V16" i="2"/>
  <c r="V17" i="2"/>
  <c r="V18" i="2"/>
  <c r="V19"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2" i="2"/>
  <c r="M73" i="5" l="1"/>
  <c r="F12" i="5" s="1"/>
  <c r="L73" i="5"/>
  <c r="E12" i="5" s="1"/>
  <c r="L71" i="5"/>
  <c r="E10" i="5" s="1"/>
  <c r="M71" i="5"/>
  <c r="F10" i="5" s="1"/>
  <c r="M70" i="5"/>
  <c r="F9" i="5" s="1"/>
  <c r="M69" i="5"/>
  <c r="F8" i="5" s="1"/>
  <c r="M68" i="5"/>
  <c r="F7" i="5" s="1"/>
  <c r="M67" i="5"/>
  <c r="F6" i="5" s="1"/>
  <c r="L70" i="5"/>
  <c r="E9" i="5" s="1"/>
  <c r="L69" i="5"/>
  <c r="E8" i="5" s="1"/>
  <c r="L68" i="5"/>
  <c r="E7" i="5" s="1"/>
  <c r="L67" i="5"/>
  <c r="E6" i="5" s="1"/>
  <c r="K8" i="61"/>
  <c r="J9" i="61"/>
  <c r="H6" i="64"/>
  <c r="I7" i="64"/>
  <c r="G9" i="6"/>
  <c r="K10" i="61"/>
  <c r="I9" i="6"/>
  <c r="I6" i="64"/>
  <c r="H11" i="6"/>
  <c r="I7" i="6"/>
  <c r="G10" i="6"/>
  <c r="G8" i="6"/>
  <c r="H10" i="6"/>
  <c r="J9" i="64"/>
  <c r="H7" i="64"/>
  <c r="J6" i="61"/>
  <c r="J10" i="61"/>
  <c r="I10" i="64"/>
  <c r="J8" i="64"/>
  <c r="I8" i="64"/>
  <c r="I10" i="6"/>
  <c r="K7" i="61"/>
  <c r="K6" i="61"/>
  <c r="H7" i="6"/>
  <c r="J7" i="61"/>
  <c r="I9" i="61"/>
  <c r="I7" i="61"/>
  <c r="I10" i="61"/>
  <c r="H8" i="64"/>
  <c r="J10" i="64"/>
  <c r="H10" i="64"/>
  <c r="G7" i="6"/>
  <c r="I9" i="64"/>
  <c r="I6" i="61"/>
  <c r="I11" i="6"/>
  <c r="J7" i="64"/>
  <c r="H8" i="6"/>
  <c r="K9" i="61"/>
  <c r="H9" i="64"/>
  <c r="I8" i="61"/>
  <c r="H9" i="6"/>
  <c r="I8" i="6"/>
  <c r="J6" i="64"/>
  <c r="J8" i="61"/>
  <c r="G11" i="6"/>
  <c r="H8" i="63"/>
  <c r="J8" i="63"/>
  <c r="I6" i="63"/>
  <c r="H7" i="63"/>
  <c r="H5" i="63"/>
  <c r="I8" i="63"/>
  <c r="J5" i="63"/>
  <c r="I5" i="63"/>
  <c r="H6" i="63"/>
  <c r="I9" i="63"/>
  <c r="H9" i="63"/>
  <c r="J7" i="63"/>
  <c r="J6" i="63"/>
  <c r="J9" i="63"/>
  <c r="I7"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<sst xmlns="http://schemas.openxmlformats.org/spreadsheetml/2006/main" count="1297" uniqueCount="286">
  <si>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</si>
  <si>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</si>
  <si>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</si>
  <si>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</si>
  <si>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</si>
  <si>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</si>
  <si>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</si>
  <si>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</si>
  <si>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</si>
  <si>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</si>
  <si>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</si>
  <si>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</si>
  <si>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</si>
  <si>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</si>
  <si>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</si>
  <si>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</si>
  <si>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</si>
  <si>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</si>
  <si>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</si>
  <si>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</si>
  <si>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</si>
  <si>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</si>
  <si>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</si>
  <si>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</si>
  <si>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</si>
  <si>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</si>
  <si>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</si>
  <si>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</si>
  <si>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</si>
  <si>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</si>
  <si>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</si>
  <si>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</si>
  <si>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</si>
  <si>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</si>
  <si>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</si>
  <si>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</si>
  <si>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</si>
  <si>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</si>
  <si>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</si>
  <si>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</si>
  <si>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</si>
  <si>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</si>
  <si>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</si>
  <si>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</si>
  <si>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</si>
  <si>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</si>
  <si>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</si>
  <si>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</si>
  <si>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</si>
  <si>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</si>
  <si>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</si>
  <si>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</si>
  <si>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</si>
  <si>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</si>
  <si>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</si>
  <si>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</si>
  <si>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</si>
  <si>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</si>
  <si>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</si>
  <si>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</si>
  <si>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</si>
  <si>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</si>
  <si>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</si>
  <si>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</si>
  <si>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</si>
  <si>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</si>
  <si>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</si>
  <si>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</si>
  <si>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</si>
  <si>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</si>
  <si>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</si>
  <si>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</si>
  <si>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</si>
  <si>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</si>
  <si>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</si>
  <si>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</si>
  <si>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</si>
  <si>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</si>
  <si>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</si>
  <si>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</si>
  <si>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</si>
  <si>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</si>
  <si>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</si>
  <si>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</si>
  <si>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</si>
  <si>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</si>
  <si>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</si>
  <si>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</si>
  <si>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</si>
  <si>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</si>
  <si>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</si>
  <si>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</si>
  <si>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</si>
  <si>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</si>
  <si>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</si>
  <si>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</si>
  <si>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</si>
  <si>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</si>
  <si>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</si>
  <si>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</si>
  <si>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</si>
  <si>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</si>
  <si>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</si>
  <si>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</si>
  <si>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</si>
  <si>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CSU-10172</t>
  </si>
  <si>
    <t>LC</t>
  </si>
  <si>
    <t>FC-037</t>
  </si>
  <si>
    <t>L</t>
  </si>
  <si>
    <t>Cx.</t>
  </si>
  <si>
    <t>F</t>
  </si>
  <si>
    <t>CSU-10173</t>
  </si>
  <si>
    <t>FC-062</t>
  </si>
  <si>
    <t>CSU-10174</t>
  </si>
  <si>
    <t>FC-029gr</t>
  </si>
  <si>
    <t>G</t>
  </si>
  <si>
    <t>CSU-10175</t>
  </si>
  <si>
    <t>FC-029</t>
  </si>
  <si>
    <t>CSU-10176</t>
  </si>
  <si>
    <t>FC-093</t>
  </si>
  <si>
    <t>CSU-10177</t>
  </si>
  <si>
    <t>FC-068</t>
  </si>
  <si>
    <t>CSU-10178</t>
  </si>
  <si>
    <t>FC-071</t>
  </si>
  <si>
    <t>CSU-10179</t>
  </si>
  <si>
    <t>FC-014</t>
  </si>
  <si>
    <t>CSU-10180</t>
  </si>
  <si>
    <t>CSU-10181</t>
  </si>
  <si>
    <t>FC-019</t>
  </si>
  <si>
    <t>CSU-10182</t>
  </si>
  <si>
    <t>FC-067</t>
  </si>
  <si>
    <t>CSU-10183</t>
  </si>
  <si>
    <t>FC-072</t>
  </si>
  <si>
    <t>CSU-10184</t>
  </si>
  <si>
    <t>FC-092gr</t>
  </si>
  <si>
    <t>CSU-10185</t>
  </si>
  <si>
    <t>FC-006</t>
  </si>
  <si>
    <t>CSU-10186</t>
  </si>
  <si>
    <t>CSU-10187</t>
  </si>
  <si>
    <t>FC-036</t>
  </si>
  <si>
    <t>CSU-10188</t>
  </si>
  <si>
    <t>CSU-10189</t>
  </si>
  <si>
    <t>FC-066</t>
  </si>
  <si>
    <t>CSU-10190</t>
  </si>
  <si>
    <t>CSU-10191</t>
  </si>
  <si>
    <t>FC-038</t>
  </si>
  <si>
    <t>CSU-10192</t>
  </si>
  <si>
    <t>CSU-10193</t>
  </si>
  <si>
    <t>FC-069</t>
  </si>
  <si>
    <t>CSU-10194</t>
  </si>
  <si>
    <t>FC-040</t>
  </si>
  <si>
    <t>CSU-10195</t>
  </si>
  <si>
    <t>CSU-10196</t>
  </si>
  <si>
    <t>FC-040gr</t>
  </si>
  <si>
    <t>CSU-10197</t>
  </si>
  <si>
    <t>FC-046</t>
  </si>
  <si>
    <t>CSU-10198</t>
  </si>
  <si>
    <t>CSU-10199</t>
  </si>
  <si>
    <t>FC-023</t>
  </si>
  <si>
    <t>CSU-10200</t>
  </si>
  <si>
    <t>FC-027</t>
  </si>
  <si>
    <t>CSU-10201</t>
  </si>
  <si>
    <t>CSU-10202</t>
  </si>
  <si>
    <t>FC-004</t>
  </si>
  <si>
    <t>CSU-10203</t>
  </si>
  <si>
    <t>FC-039</t>
  </si>
  <si>
    <t>CSU-10204</t>
  </si>
  <si>
    <t>FC-075gr</t>
  </si>
  <si>
    <t>CSU-10205</t>
  </si>
  <si>
    <t>FC-064</t>
  </si>
  <si>
    <t>CSU-10206</t>
  </si>
  <si>
    <t>FC-074</t>
  </si>
  <si>
    <t>CSU-10207</t>
  </si>
  <si>
    <t>FC-075</t>
  </si>
  <si>
    <t>CSU-10208</t>
  </si>
  <si>
    <t>CSU-10209</t>
  </si>
  <si>
    <t>FC-053</t>
  </si>
  <si>
    <t>CSU-10210</t>
  </si>
  <si>
    <t>FC-049</t>
  </si>
  <si>
    <t>CSU-10211</t>
  </si>
  <si>
    <t>FC-052</t>
  </si>
  <si>
    <t>CSU-10212</t>
  </si>
  <si>
    <t>CSU-10213</t>
  </si>
  <si>
    <t>FC-011</t>
  </si>
  <si>
    <t>CSU-10214</t>
  </si>
  <si>
    <t>CSU-10215</t>
  </si>
  <si>
    <t>CSU-10216</t>
  </si>
  <si>
    <t>CSU-10217</t>
  </si>
  <si>
    <t>CSU-10218</t>
  </si>
  <si>
    <t>FC-061</t>
  </si>
  <si>
    <t>CSU-10219</t>
  </si>
  <si>
    <t>FC-063gr</t>
  </si>
  <si>
    <t>CSU-10220</t>
  </si>
  <si>
    <t>FC-015</t>
  </si>
  <si>
    <t>CSU-10221</t>
  </si>
  <si>
    <t>FC-058</t>
  </si>
  <si>
    <t>CSU-10222</t>
  </si>
  <si>
    <t>FC-073</t>
  </si>
  <si>
    <t>CSU-10223</t>
  </si>
  <si>
    <t>FC-041</t>
  </si>
  <si>
    <t>CSU-10224</t>
  </si>
  <si>
    <t>FC-090gr</t>
  </si>
  <si>
    <t>09/15/2016</t>
  </si>
  <si>
    <t>Golden Currant</t>
  </si>
  <si>
    <t>LIGHT</t>
  </si>
  <si>
    <t>NO</t>
  </si>
  <si>
    <t>09/13/2016</t>
  </si>
  <si>
    <t>502 Crest Drive</t>
  </si>
  <si>
    <t>Redwood</t>
  </si>
  <si>
    <t>Lochside Lane</t>
  </si>
  <si>
    <t>09/14/2016</t>
  </si>
  <si>
    <t>Egret and Rookery</t>
  </si>
  <si>
    <t>North Linden</t>
  </si>
  <si>
    <t>Hemlock</t>
  </si>
  <si>
    <t>North Sage Creek</t>
  </si>
  <si>
    <t>Bens Park</t>
  </si>
  <si>
    <t>Fort Collins Vistors Center</t>
  </si>
  <si>
    <t>Linden Lake Rd</t>
  </si>
  <si>
    <t>West Chase @ Kechter Farm</t>
  </si>
  <si>
    <t>603 Gilgalad Way</t>
  </si>
  <si>
    <t>Holley Environ. Plant Research Ctr</t>
  </si>
  <si>
    <t>Fishback</t>
  </si>
  <si>
    <t>Casa Grande and Downing</t>
  </si>
  <si>
    <t>422 Lake Drive Alley</t>
  </si>
  <si>
    <t>Poudre River Drive at bike trail</t>
  </si>
  <si>
    <t>Waters Edge at Blue Mesa</t>
  </si>
  <si>
    <t>Bighorn Drive</t>
  </si>
  <si>
    <t>San Luis</t>
  </si>
  <si>
    <t>Silvergate Road</t>
  </si>
  <si>
    <t>Lopez Elementary School</t>
  </si>
  <si>
    <t>Fossil Creek South (Greenstone)</t>
  </si>
  <si>
    <t>Edora Park</t>
  </si>
  <si>
    <t>Red Fox Meadows FCNA</t>
  </si>
  <si>
    <t>725 Westshore Court</t>
  </si>
  <si>
    <t>118 Grant</t>
  </si>
  <si>
    <t>Stuart and Dorset</t>
  </si>
  <si>
    <t>Spring Creek Trail @ Michener Dr</t>
  </si>
  <si>
    <t>Chelsea Ridge</t>
  </si>
  <si>
    <t>Boltz</t>
  </si>
  <si>
    <t>Rockcreek</t>
  </si>
  <si>
    <t>FC-050</t>
  </si>
  <si>
    <t>Golden Meadows Ditch</t>
  </si>
  <si>
    <t>FC-059</t>
  </si>
  <si>
    <t>Springwood and Lockwood</t>
  </si>
  <si>
    <t>FC-057</t>
  </si>
  <si>
    <t>Registry Ridge- End of Ranger Dr</t>
  </si>
  <si>
    <t>FC-001</t>
  </si>
  <si>
    <t>Magic Carpet</t>
  </si>
  <si>
    <t>FC-054</t>
  </si>
  <si>
    <t>737 Parliament Court</t>
  </si>
  <si>
    <t>FC-034</t>
  </si>
  <si>
    <t>Country Club</t>
  </si>
  <si>
    <t>FC-063</t>
  </si>
  <si>
    <t>FC-047</t>
  </si>
  <si>
    <t>Keenland &amp; Twin Oak</t>
  </si>
  <si>
    <t>FC-031</t>
  </si>
  <si>
    <t>Willow Springs</t>
  </si>
  <si>
    <t>FC-060</t>
  </si>
  <si>
    <t>808 Pondersosa</t>
  </si>
  <si>
    <t>Positive</t>
  </si>
  <si>
    <t>Negative</t>
  </si>
  <si>
    <t>FC-pipi</t>
  </si>
  <si>
    <t>FC-tars</t>
  </si>
  <si>
    <t>SW-pipi</t>
  </si>
  <si>
    <t>SW-tars</t>
  </si>
  <si>
    <t>SE-pipi</t>
  </si>
  <si>
    <t>SE-tars</t>
  </si>
  <si>
    <t>NE-tars</t>
  </si>
  <si>
    <t>NE-pipi</t>
  </si>
  <si>
    <t>NW-tars</t>
  </si>
  <si>
    <t>NW-pipi</t>
  </si>
  <si>
    <t>PIR-CS</t>
  </si>
  <si>
    <t>Prospect Ponds @ Drake Water</t>
  </si>
  <si>
    <t>Infection Rate</t>
  </si>
  <si>
    <t>Lower Limit</t>
  </si>
  <si>
    <t>Upper Limit</t>
  </si>
  <si>
    <t>Scale</t>
  </si>
  <si>
    <t>Point Est Method</t>
  </si>
  <si>
    <t>CI Method</t>
  </si>
  <si>
    <t>Num Pools</t>
  </si>
  <si>
    <t>Num Pos Pools</t>
  </si>
  <si>
    <t>Num Individuals</t>
  </si>
  <si>
    <t>Bias Corrected MLE</t>
  </si>
  <si>
    <t>Corrected Score</t>
  </si>
  <si>
    <t>Score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</si>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</sst>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1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0" borderId="15" xfId="0" applyFont="1" applyFill="1" applyBorder="1" applyAlignment="1">
      <alignment horizontal="left" vertical="center"/>
    </xf>
    <xf numFmtId="164" fontId="14" fillId="0" borderId="13" xfId="0" applyNumberFormat="1" applyFont="1" applyFill="1" applyBorder="1" applyAlignment="1">
      <alignment horizontal="left" vertical="center"/>
    </xf>
    <xf numFmtId="0" fontId="0" fillId="0" borderId="0" xfId="0" applyFill="1" applyAlignment="1">
      <alignment wrapText="1"/>
    </xf>
    <xf numFmtId="0" fontId="0" fillId="0" borderId="0" xfId="0" applyFill="1"/>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8" fillId="0" borderId="3" xfId="0" applyNumberFormat="1" applyFont="1" applyBorder="1" applyAlignment="1">
      <alignment horizontal="right" vertical="center" wrapText="1"/>
    </xf>
    <xf numFmtId="2" fontId="0" fillId="0" borderId="16" xfId="0" applyNumberFormat="1" applyBorder="1" applyAlignment="1">
      <alignment horizontal="center"/>
    </xf>
    <xf numFmtId="2" fontId="8" fillId="0" borderId="17" xfId="0" applyNumberFormat="1" applyFont="1" applyBorder="1" applyAlignment="1">
      <alignment horizontal="right" vertical="center" wrapText="1"/>
    </xf>
    <xf numFmtId="2" fontId="0" fillId="0" borderId="18" xfId="0" applyNumberFormat="1" applyBorder="1" applyAlignment="1">
      <alignment horizontal="center"/>
    </xf>
    <xf numFmtId="2" fontId="0" fillId="0" borderId="19" xfId="0" applyNumberFormat="1" applyBorder="1" applyAlignment="1">
      <alignment horizontal="center"/>
    </xf>
    <xf numFmtId="167" fontId="8" fillId="0" borderId="8" xfId="0" applyNumberFormat="1" applyFont="1" applyBorder="1" applyAlignment="1">
      <alignment horizontal="right"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32.394577314815" createdVersion="6" refreshedVersion="6" minRefreshableVersion="3" recordCount="33">
  <cacheSource type="worksheet">
    <worksheetSource ref="A1:K34" sheet="Weekly 009 input (- Grav, Mal)"/>
  </cacheSource>
  <cacheFields count="11">
    <cacheField name="Week" numFmtId="0">
      <sharedItems containsSemiMixedTypes="0" containsString="0" containsNumber="1" containsInteger="1" minValue="37" maxValue="37" count="1">
        <n v="37"/>
      </sharedItems>
    </cacheField>
    <cacheField name="Trap Date" numFmtId="0">
      <sharedItems/>
    </cacheField>
    <cacheField name="Trap Number" numFmtId="0">
      <sharedItems/>
    </cacheField>
    <cacheField name="Zone" numFmtId="0">
      <sharedItems count="4">
        <s v="NW"/>
        <s v="NE"/>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7"/>
    </cacheField>
    <cacheField name="Cx pipiens" numFmtId="0">
      <sharedItems containsSemiMixedTypes="0" containsString="0" containsNumber="1" containsInteger="1" minValue="0" maxValue="173"/>
    </cacheField>
    <cacheField name="Total CX" numFmtId="0">
      <sharedItems containsSemiMixedTypes="0" containsString="0" containsNumber="1" containsInteger="1" minValue="1" maxValue="174"/>
    </cacheField>
    <cacheField name="Total Females" numFmtId="0">
      <sharedItems containsSemiMixedTypes="0" containsString="0" containsNumber="1" containsInteger="1" minValue="1" maxValue="1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32.394672337963" createdVersion="6" refreshedVersion="6" minRefreshableVersion="3" recordCount="53">
  <cacheSource type="worksheet">
    <worksheetSource ref="A1:R54"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719" maxValue="19771"/>
    </cacheField>
    <cacheField name="Week" numFmtId="0">
      <sharedItems containsSemiMixedTypes="0" containsString="0" containsNumber="1" containsInteger="1" minValue="37" maxValue="37" count="1">
        <n v="37"/>
      </sharedItems>
    </cacheField>
    <cacheField name="Trap Date" numFmtId="164">
      <sharedItems containsSemiMixedTypes="0" containsNonDate="0" containsDate="1" containsString="0" minDate="2016-09-13T00:00:00" maxDate="2016-09-16T00:00:00" count="3">
        <d v="2016-09-13T00:00:00"/>
        <d v="2016-09-14T00:00:00"/>
        <d v="2016-09-15T00:00:00"/>
      </sharedItems>
    </cacheField>
    <cacheField name="County" numFmtId="0">
      <sharedItems/>
    </cacheField>
    <cacheField name="Account" numFmtId="0">
      <sharedItems/>
    </cacheField>
    <cacheField name="Collection Site (Trap ID)" numFmtId="0">
      <sharedItems/>
    </cacheField>
    <cacheField name="Zone" numFmtId="0">
      <sharedItems count="4">
        <s v="SW"/>
        <s v="SE"/>
        <s v="NE"/>
        <s v="N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1" maxValue="19"/>
    </cacheField>
    <cacheField name="No. Deplete" numFmtId="0">
      <sharedItems containsString="0" containsBlank="1" containsNumber="1" containsInteger="1" minValue="1" maxValue="55"/>
    </cacheField>
    <cacheField name="Total" numFmtId="0">
      <sharedItems containsSemiMixedTypes="0" containsString="0" containsNumber="1" containsInteger="1" minValue="1" maxValue="55"/>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x v="0"/>
    <s v="09/15/2016"/>
    <s v="FC-011"/>
    <x v="0"/>
    <s v="Golden Currant"/>
    <s v="LIGHT"/>
    <s v="NO"/>
    <n v="1"/>
    <n v="173"/>
    <n v="174"/>
    <n v="175"/>
  </r>
  <r>
    <x v="0"/>
    <s v="09/13/2016"/>
    <s v="FC-066"/>
    <x v="1"/>
    <s v="Prospect Ponds @ Drake Water"/>
    <s v="LIGHT"/>
    <s v="NO"/>
    <n v="6"/>
    <n v="55"/>
    <n v="61"/>
    <n v="68"/>
  </r>
  <r>
    <x v="0"/>
    <s v="09/13/2016"/>
    <s v="FC-038"/>
    <x v="1"/>
    <s v="Lochside Lane"/>
    <s v="LIGHT"/>
    <s v="NO"/>
    <n v="5"/>
    <n v="6"/>
    <n v="11"/>
    <n v="22"/>
  </r>
  <r>
    <x v="0"/>
    <s v="09/14/2016"/>
    <s v="FC-053"/>
    <x v="2"/>
    <s v="Egret and Rookery"/>
    <s v="LIGHT"/>
    <s v="NO"/>
    <n v="0"/>
    <n v="9"/>
    <n v="9"/>
    <n v="26"/>
  </r>
  <r>
    <x v="0"/>
    <s v="09/13/2016"/>
    <s v="FC-040"/>
    <x v="1"/>
    <s v="Redwood"/>
    <s v="LIGHT"/>
    <s v="NO"/>
    <n v="2"/>
    <n v="6"/>
    <n v="8"/>
    <n v="9"/>
  </r>
  <r>
    <x v="0"/>
    <s v="09/13/2016"/>
    <s v="FC-006"/>
    <x v="1"/>
    <s v="North Linden"/>
    <s v="LIGHT"/>
    <s v="NO"/>
    <n v="7"/>
    <n v="1"/>
    <n v="8"/>
    <n v="11"/>
  </r>
  <r>
    <x v="0"/>
    <s v="09/13/2016"/>
    <s v="FC-036"/>
    <x v="0"/>
    <s v="Hemlock"/>
    <s v="LIGHT"/>
    <s v="NO"/>
    <n v="4"/>
    <n v="4"/>
    <n v="8"/>
    <n v="19"/>
  </r>
  <r>
    <x v="0"/>
    <s v="09/14/2016"/>
    <s v="FC-075"/>
    <x v="2"/>
    <s v="North Sage Creek"/>
    <s v="LIGHT"/>
    <s v="NO"/>
    <n v="2"/>
    <n v="4"/>
    <n v="6"/>
    <n v="9"/>
  </r>
  <r>
    <x v="0"/>
    <s v="09/13/2016"/>
    <s v="FC-014"/>
    <x v="1"/>
    <s v="Fort Collins Vistors Center"/>
    <s v="LIGHT"/>
    <s v="NO"/>
    <n v="1"/>
    <n v="3"/>
    <n v="4"/>
    <n v="5"/>
  </r>
  <r>
    <x v="0"/>
    <s v="09/13/2016"/>
    <s v="FC-069"/>
    <x v="1"/>
    <s v="Linden Lake Rd"/>
    <s v="LIGHT"/>
    <s v="NO"/>
    <n v="4"/>
    <n v="0"/>
    <n v="4"/>
    <n v="10"/>
  </r>
  <r>
    <x v="0"/>
    <s v="09/14/2016"/>
    <s v="FC-064"/>
    <x v="2"/>
    <s v="West Chase @ Kechter Farm"/>
    <s v="LIGHT"/>
    <s v="NO"/>
    <n v="4"/>
    <n v="0"/>
    <n v="4"/>
    <n v="25"/>
  </r>
  <r>
    <x v="0"/>
    <s v="09/15/2016"/>
    <s v="FC-052"/>
    <x v="0"/>
    <s v="603 Gilgalad Way"/>
    <s v="LIGHT"/>
    <s v="NO"/>
    <n v="3"/>
    <n v="1"/>
    <n v="4"/>
    <n v="4"/>
  </r>
  <r>
    <x v="0"/>
    <s v="09/15/2016"/>
    <s v="FC-061"/>
    <x v="0"/>
    <s v="Holley Environ. Plant Research Ctr"/>
    <s v="LIGHT"/>
    <s v="NO"/>
    <n v="3"/>
    <n v="0"/>
    <n v="3"/>
    <n v="3"/>
  </r>
  <r>
    <x v="0"/>
    <s v="09/15/2016"/>
    <s v="FC-041"/>
    <x v="0"/>
    <s v="Fishback"/>
    <s v="LIGHT"/>
    <s v="NO"/>
    <n v="3"/>
    <n v="0"/>
    <n v="3"/>
    <n v="12"/>
  </r>
  <r>
    <x v="0"/>
    <s v="09/15/2016"/>
    <s v="FC-049"/>
    <x v="3"/>
    <s v="Casa Grande and Downing"/>
    <s v="LIGHT"/>
    <s v="NO"/>
    <n v="3"/>
    <n v="0"/>
    <n v="3"/>
    <n v="3"/>
  </r>
  <r>
    <x v="0"/>
    <s v="09/13/2016"/>
    <s v="FC-072"/>
    <x v="1"/>
    <s v="422 Lake Drive Alley"/>
    <s v="LIGHT"/>
    <s v="NO"/>
    <n v="3"/>
    <n v="0"/>
    <n v="3"/>
    <n v="3"/>
  </r>
  <r>
    <x v="0"/>
    <s v="09/13/2016"/>
    <s v="FC-067"/>
    <x v="1"/>
    <s v="Poudre River Drive at bike trail"/>
    <s v="LIGHT"/>
    <s v="NO"/>
    <n v="3"/>
    <n v="0"/>
    <n v="3"/>
    <n v="19"/>
  </r>
  <r>
    <x v="0"/>
    <s v="09/13/2016"/>
    <s v="FC-062"/>
    <x v="3"/>
    <s v="Waters Edge at Blue Mesa"/>
    <s v="LIGHT"/>
    <s v="NO"/>
    <n v="3"/>
    <n v="0"/>
    <n v="3"/>
    <n v="3"/>
  </r>
  <r>
    <x v="0"/>
    <s v="09/14/2016"/>
    <s v="FC-004"/>
    <x v="2"/>
    <s v="Bighorn Drive"/>
    <s v="LIGHT"/>
    <s v="NO"/>
    <n v="3"/>
    <n v="0"/>
    <n v="3"/>
    <n v="3"/>
  </r>
  <r>
    <x v="0"/>
    <s v="09/14/2016"/>
    <s v="FC-027"/>
    <x v="2"/>
    <s v="San Luis"/>
    <s v="LIGHT"/>
    <s v="NO"/>
    <n v="1"/>
    <n v="1"/>
    <n v="2"/>
    <n v="2"/>
  </r>
  <r>
    <x v="0"/>
    <s v="09/13/2016"/>
    <s v="FC-071"/>
    <x v="3"/>
    <s v="Silvergate Road"/>
    <s v="LIGHT"/>
    <s v="NO"/>
    <n v="2"/>
    <n v="0"/>
    <n v="2"/>
    <n v="2"/>
  </r>
  <r>
    <x v="0"/>
    <s v="09/13/2016"/>
    <s v="FC-093"/>
    <x v="3"/>
    <s v="Lopez Elementary School"/>
    <s v="LIGHT"/>
    <s v="NO"/>
    <n v="0"/>
    <n v="2"/>
    <n v="2"/>
    <n v="3"/>
  </r>
  <r>
    <x v="0"/>
    <s v="09/14/2016"/>
    <s v="FC-039"/>
    <x v="2"/>
    <s v="Fossil Creek South (Greenstone)"/>
    <s v="LIGHT"/>
    <s v="NO"/>
    <n v="2"/>
    <n v="0"/>
    <n v="2"/>
    <n v="22"/>
  </r>
  <r>
    <x v="0"/>
    <s v="09/13/2016"/>
    <s v="FC-019"/>
    <x v="1"/>
    <s v="Edora Park"/>
    <s v="LIGHT"/>
    <s v="NO"/>
    <n v="2"/>
    <n v="0"/>
    <n v="2"/>
    <n v="4"/>
  </r>
  <r>
    <x v="0"/>
    <s v="09/13/2016"/>
    <s v="FC-029"/>
    <x v="2"/>
    <s v="Bens Park"/>
    <s v="LIGHT"/>
    <s v="NO"/>
    <n v="2"/>
    <n v="0"/>
    <n v="2"/>
    <n v="4"/>
  </r>
  <r>
    <x v="0"/>
    <s v="09/14/2016"/>
    <s v="FC-046"/>
    <x v="2"/>
    <s v="725 Westshore Court"/>
    <s v="LIGHT"/>
    <s v="NO"/>
    <n v="1"/>
    <n v="1"/>
    <n v="2"/>
    <n v="4"/>
  </r>
  <r>
    <x v="0"/>
    <s v="09/15/2016"/>
    <s v="FC-073"/>
    <x v="0"/>
    <s v="118 Grant"/>
    <s v="LIGHT"/>
    <s v="NO"/>
    <n v="1"/>
    <n v="0"/>
    <n v="1"/>
    <n v="1"/>
  </r>
  <r>
    <x v="0"/>
    <s v="09/15/2016"/>
    <s v="FC-015"/>
    <x v="0"/>
    <s v="Stuart and Dorset"/>
    <s v="LIGHT"/>
    <s v="NO"/>
    <n v="0"/>
    <n v="1"/>
    <n v="1"/>
    <n v="1"/>
  </r>
  <r>
    <x v="0"/>
    <s v="09/15/2016"/>
    <s v="FC-058"/>
    <x v="3"/>
    <s v="Spring Creek Trail @ Michener Dr"/>
    <s v="LIGHT"/>
    <s v="NO"/>
    <n v="0"/>
    <n v="1"/>
    <n v="1"/>
    <n v="1"/>
  </r>
  <r>
    <x v="0"/>
    <s v="09/13/2016"/>
    <s v="FC-037"/>
    <x v="3"/>
    <s v="Chelsea Ridge"/>
    <s v="LIGHT"/>
    <s v="NO"/>
    <n v="0"/>
    <n v="1"/>
    <n v="1"/>
    <n v="4"/>
  </r>
  <r>
    <x v="0"/>
    <s v="09/13/2016"/>
    <s v="FC-068"/>
    <x v="3"/>
    <s v="502 Crest Drive"/>
    <s v="LIGHT"/>
    <s v="NO"/>
    <n v="1"/>
    <n v="0"/>
    <n v="1"/>
    <n v="1"/>
  </r>
  <r>
    <x v="0"/>
    <s v="09/14/2016"/>
    <s v="FC-023"/>
    <x v="2"/>
    <s v="Boltz"/>
    <s v="LIGHT"/>
    <s v="NO"/>
    <n v="1"/>
    <n v="0"/>
    <n v="1"/>
    <n v="8"/>
  </r>
  <r>
    <x v="0"/>
    <s v="09/14/2016"/>
    <s v="FC-074"/>
    <x v="2"/>
    <s v="Rockcreek"/>
    <s v="LIGHT"/>
    <s v="NO"/>
    <n v="1"/>
    <n v="0"/>
    <n v="1"/>
    <n v="3"/>
  </r>
</pivotCacheRecords>
</file>

<file path=xl/pivotCache/pivotCacheRecords2.xml><?xml version="1.0" encoding="utf-8"?>
<pivotCacheRecords xmlns="http://schemas.openxmlformats.org/spreadsheetml/2006/main" xmlns:r="http://schemas.openxmlformats.org/officeDocument/2006/relationships" count="53">
  <r>
    <n v="2016"/>
    <s v="CSU-10172"/>
    <n v="19719"/>
    <x v="0"/>
    <x v="0"/>
    <s v="LC"/>
    <s v="FC"/>
    <s v="FC-037"/>
    <x v="0"/>
    <s v="L"/>
    <s v="Cx."/>
    <x v="0"/>
    <s v="F"/>
    <m/>
    <n v="1"/>
    <n v="1"/>
    <n v="0"/>
    <s v="Negative"/>
  </r>
  <r>
    <n v="2016"/>
    <s v="CSU-10173"/>
    <n v="19720"/>
    <x v="0"/>
    <x v="0"/>
    <s v="LC"/>
    <s v="FC"/>
    <s v="FC-062"/>
    <x v="0"/>
    <s v="L"/>
    <s v="Cx."/>
    <x v="1"/>
    <s v="F"/>
    <m/>
    <n v="3"/>
    <n v="3"/>
    <n v="0"/>
    <s v="Negative"/>
  </r>
  <r>
    <n v="2016"/>
    <s v="CSU-10174"/>
    <n v="19721"/>
    <x v="0"/>
    <x v="0"/>
    <s v="LC"/>
    <s v="FC"/>
    <s v="FC-029gr"/>
    <x v="1"/>
    <s v="G"/>
    <s v="Cx."/>
    <x v="0"/>
    <s v="F"/>
    <n v="4"/>
    <m/>
    <n v="4"/>
    <n v="0"/>
    <s v="Negative"/>
  </r>
  <r>
    <n v="2016"/>
    <s v="CSU-10175"/>
    <n v="19722"/>
    <x v="0"/>
    <x v="0"/>
    <s v="LC"/>
    <s v="FC"/>
    <s v="FC-029"/>
    <x v="1"/>
    <s v="L"/>
    <s v="Cx."/>
    <x v="1"/>
    <s v="F"/>
    <m/>
    <n v="2"/>
    <n v="2"/>
    <n v="0"/>
    <s v="Negative"/>
  </r>
  <r>
    <n v="2016"/>
    <s v="CSU-10176"/>
    <n v="19723"/>
    <x v="0"/>
    <x v="0"/>
    <s v="LC"/>
    <s v="FC"/>
    <s v="FC-093"/>
    <x v="0"/>
    <s v="L"/>
    <s v="Cx."/>
    <x v="0"/>
    <s v="F"/>
    <m/>
    <n v="2"/>
    <n v="2"/>
    <n v="0"/>
    <s v="Negative"/>
  </r>
  <r>
    <n v="2016"/>
    <s v="CSU-10177"/>
    <n v="19724"/>
    <x v="0"/>
    <x v="0"/>
    <s v="LC"/>
    <s v="FC"/>
    <s v="FC-068"/>
    <x v="0"/>
    <s v="L"/>
    <s v="Cx."/>
    <x v="1"/>
    <s v="F"/>
    <m/>
    <n v="1"/>
    <n v="1"/>
    <n v="0"/>
    <s v="Negative"/>
  </r>
  <r>
    <n v="2016"/>
    <s v="CSU-10178"/>
    <n v="19725"/>
    <x v="0"/>
    <x v="0"/>
    <s v="LC"/>
    <s v="FC"/>
    <s v="FC-071"/>
    <x v="0"/>
    <s v="L"/>
    <s v="Cx."/>
    <x v="1"/>
    <s v="F"/>
    <m/>
    <n v="2"/>
    <n v="2"/>
    <n v="0"/>
    <s v="Negative"/>
  </r>
  <r>
    <n v="2016"/>
    <s v="CSU-10179"/>
    <n v="19726"/>
    <x v="0"/>
    <x v="0"/>
    <s v="LC"/>
    <s v="FC"/>
    <s v="FC-014"/>
    <x v="2"/>
    <s v="L"/>
    <s v="Cx."/>
    <x v="1"/>
    <s v="F"/>
    <m/>
    <n v="1"/>
    <n v="1"/>
    <n v="0"/>
    <s v="Negative"/>
  </r>
  <r>
    <n v="2016"/>
    <s v="CSU-10180"/>
    <n v="19727"/>
    <x v="0"/>
    <x v="0"/>
    <s v="LC"/>
    <s v="FC"/>
    <s v="FC-014"/>
    <x v="2"/>
    <s v="L"/>
    <s v="Cx."/>
    <x v="0"/>
    <s v="F"/>
    <m/>
    <n v="3"/>
    <n v="3"/>
    <n v="0"/>
    <s v="Negative"/>
  </r>
  <r>
    <n v="2016"/>
    <s v="CSU-10181"/>
    <n v="19728"/>
    <x v="0"/>
    <x v="0"/>
    <s v="LC"/>
    <s v="FC"/>
    <s v="FC-019"/>
    <x v="2"/>
    <s v="L"/>
    <s v="Cx."/>
    <x v="0"/>
    <s v="F"/>
    <m/>
    <n v="2"/>
    <n v="2"/>
    <n v="0"/>
    <s v="Negative"/>
  </r>
  <r>
    <n v="2016"/>
    <s v="CSU-10182"/>
    <n v="19729"/>
    <x v="0"/>
    <x v="0"/>
    <s v="LC"/>
    <s v="FC"/>
    <s v="FC-067"/>
    <x v="2"/>
    <s v="L"/>
    <s v="Cx."/>
    <x v="1"/>
    <s v="F"/>
    <m/>
    <n v="3"/>
    <n v="3"/>
    <n v="0"/>
    <s v="Negative"/>
  </r>
  <r>
    <n v="2016"/>
    <s v="CSU-10183"/>
    <n v="19730"/>
    <x v="0"/>
    <x v="0"/>
    <s v="LC"/>
    <s v="FC"/>
    <s v="FC-072"/>
    <x v="2"/>
    <s v="L"/>
    <s v="Cx."/>
    <x v="1"/>
    <s v="F"/>
    <m/>
    <n v="3"/>
    <n v="3"/>
    <n v="0"/>
    <s v="Negative"/>
  </r>
  <r>
    <n v="2016"/>
    <s v="CSU-10184"/>
    <n v="19731"/>
    <x v="0"/>
    <x v="0"/>
    <s v="LC"/>
    <s v="FC"/>
    <s v="FC-092gr"/>
    <x v="2"/>
    <s v="G"/>
    <s v="Cx."/>
    <x v="0"/>
    <s v="F"/>
    <n v="1"/>
    <m/>
    <n v="1"/>
    <n v="0"/>
    <s v="Negative"/>
  </r>
  <r>
    <n v="2016"/>
    <s v="CSU-10185"/>
    <n v="19732"/>
    <x v="0"/>
    <x v="0"/>
    <s v="LC"/>
    <s v="FC"/>
    <s v="FC-006"/>
    <x v="2"/>
    <s v="L"/>
    <s v="Cx."/>
    <x v="1"/>
    <s v="F"/>
    <m/>
    <n v="1"/>
    <n v="1"/>
    <n v="0"/>
    <s v="Negative"/>
  </r>
  <r>
    <n v="2016"/>
    <s v="CSU-10186"/>
    <n v="19733"/>
    <x v="0"/>
    <x v="0"/>
    <s v="LC"/>
    <s v="FC"/>
    <s v="FC-006"/>
    <x v="2"/>
    <s v="L"/>
    <s v="Cx."/>
    <x v="0"/>
    <s v="F"/>
    <m/>
    <n v="7"/>
    <n v="7"/>
    <n v="0"/>
    <s v="Negative"/>
  </r>
  <r>
    <n v="2016"/>
    <s v="CSU-10187"/>
    <n v="19734"/>
    <x v="0"/>
    <x v="0"/>
    <s v="LC"/>
    <s v="FC"/>
    <s v="FC-036"/>
    <x v="3"/>
    <s v="L"/>
    <s v="Cx."/>
    <x v="1"/>
    <s v="F"/>
    <m/>
    <n v="4"/>
    <n v="4"/>
    <n v="0"/>
    <s v="Negative"/>
  </r>
  <r>
    <n v="2016"/>
    <s v="CSU-10188"/>
    <n v="19735"/>
    <x v="0"/>
    <x v="0"/>
    <s v="LC"/>
    <s v="FC"/>
    <s v="FC-036"/>
    <x v="3"/>
    <s v="L"/>
    <s v="Cx."/>
    <x v="0"/>
    <s v="F"/>
    <m/>
    <n v="4"/>
    <n v="4"/>
    <n v="0"/>
    <s v="Negative"/>
  </r>
  <r>
    <n v="2016"/>
    <s v="CSU-10189"/>
    <n v="19736"/>
    <x v="0"/>
    <x v="0"/>
    <s v="LC"/>
    <s v="FC"/>
    <s v="FC-066"/>
    <x v="2"/>
    <s v="L"/>
    <s v="Cx."/>
    <x v="1"/>
    <s v="F"/>
    <m/>
    <n v="6"/>
    <n v="6"/>
    <n v="0"/>
    <s v="Negative"/>
  </r>
  <r>
    <n v="2016"/>
    <s v="CSU-10190"/>
    <n v="19737"/>
    <x v="0"/>
    <x v="0"/>
    <s v="LC"/>
    <s v="FC"/>
    <s v="FC-066"/>
    <x v="2"/>
    <s v="L"/>
    <s v="Cx."/>
    <x v="0"/>
    <s v="F"/>
    <m/>
    <n v="55"/>
    <n v="55"/>
    <n v="0"/>
    <s v="Negative"/>
  </r>
  <r>
    <n v="2016"/>
    <s v="CSU-10191"/>
    <n v="19738"/>
    <x v="0"/>
    <x v="0"/>
    <s v="LC"/>
    <s v="FC"/>
    <s v="FC-038"/>
    <x v="2"/>
    <s v="L"/>
    <s v="Cx."/>
    <x v="1"/>
    <s v="F"/>
    <m/>
    <n v="5"/>
    <n v="5"/>
    <n v="0"/>
    <s v="Negative"/>
  </r>
  <r>
    <n v="2016"/>
    <s v="CSU-10192"/>
    <n v="19739"/>
    <x v="0"/>
    <x v="0"/>
    <s v="LC"/>
    <s v="FC"/>
    <s v="FC-038"/>
    <x v="2"/>
    <s v="L"/>
    <s v="Cx."/>
    <x v="0"/>
    <s v="F"/>
    <m/>
    <n v="6"/>
    <n v="6"/>
    <n v="0"/>
    <s v="Negative"/>
  </r>
  <r>
    <n v="2016"/>
    <s v="CSU-10193"/>
    <n v="19740"/>
    <x v="0"/>
    <x v="0"/>
    <s v="LC"/>
    <s v="FC"/>
    <s v="FC-069"/>
    <x v="2"/>
    <s v="L"/>
    <s v="Cx."/>
    <x v="1"/>
    <s v="F"/>
    <m/>
    <n v="4"/>
    <n v="4"/>
    <n v="0"/>
    <s v="Negative"/>
  </r>
  <r>
    <n v="2016"/>
    <s v="CSU-10194"/>
    <n v="19741"/>
    <x v="0"/>
    <x v="0"/>
    <s v="LC"/>
    <s v="FC"/>
    <s v="FC-040"/>
    <x v="2"/>
    <s v="L"/>
    <s v="Cx."/>
    <x v="1"/>
    <s v="F"/>
    <m/>
    <n v="2"/>
    <n v="2"/>
    <n v="0"/>
    <s v="Negative"/>
  </r>
  <r>
    <n v="2016"/>
    <s v="CSU-10195"/>
    <n v="19742"/>
    <x v="0"/>
    <x v="0"/>
    <s v="LC"/>
    <s v="FC"/>
    <s v="FC-040"/>
    <x v="2"/>
    <s v="L"/>
    <s v="Cx."/>
    <x v="0"/>
    <s v="F"/>
    <m/>
    <n v="6"/>
    <n v="6"/>
    <n v="0"/>
    <s v="Negative"/>
  </r>
  <r>
    <n v="2016"/>
    <s v="CSU-10196"/>
    <n v="19743"/>
    <x v="0"/>
    <x v="0"/>
    <s v="LC"/>
    <s v="FC"/>
    <s v="FC-040gr"/>
    <x v="2"/>
    <s v="G"/>
    <s v="Cx."/>
    <x v="0"/>
    <s v="F"/>
    <n v="19"/>
    <m/>
    <n v="19"/>
    <n v="0"/>
    <s v="Negative"/>
  </r>
  <r>
    <n v="2016"/>
    <s v="CSU-10197"/>
    <n v="19744"/>
    <x v="0"/>
    <x v="1"/>
    <s v="LC"/>
    <s v="FC"/>
    <s v="FC-046"/>
    <x v="1"/>
    <s v="L"/>
    <s v="Cx."/>
    <x v="1"/>
    <s v="F"/>
    <m/>
    <n v="1"/>
    <n v="1"/>
    <n v="0"/>
    <s v="Negative"/>
  </r>
  <r>
    <n v="2016"/>
    <s v="CSU-10198"/>
    <n v="19745"/>
    <x v="0"/>
    <x v="1"/>
    <s v="LC"/>
    <s v="FC"/>
    <s v="FC-046"/>
    <x v="1"/>
    <s v="L"/>
    <s v="Cx."/>
    <x v="0"/>
    <s v="F"/>
    <m/>
    <n v="1"/>
    <n v="1"/>
    <n v="0"/>
    <s v="Negative"/>
  </r>
  <r>
    <n v="2016"/>
    <s v="CSU-10199"/>
    <n v="19746"/>
    <x v="0"/>
    <x v="1"/>
    <s v="LC"/>
    <s v="FC"/>
    <s v="FC-023"/>
    <x v="1"/>
    <s v="L"/>
    <s v="Cx."/>
    <x v="1"/>
    <s v="F"/>
    <m/>
    <n v="1"/>
    <n v="1"/>
    <n v="0"/>
    <s v="Negative"/>
  </r>
  <r>
    <n v="2016"/>
    <s v="CSU-10200"/>
    <n v="19747"/>
    <x v="0"/>
    <x v="1"/>
    <s v="LC"/>
    <s v="FC"/>
    <s v="FC-027"/>
    <x v="1"/>
    <s v="L"/>
    <s v="Cx."/>
    <x v="1"/>
    <s v="F"/>
    <m/>
    <n v="1"/>
    <n v="1"/>
    <n v="0"/>
    <s v="Negative"/>
  </r>
  <r>
    <n v="2016"/>
    <s v="CSU-10201"/>
    <n v="19748"/>
    <x v="0"/>
    <x v="1"/>
    <s v="LC"/>
    <s v="FC"/>
    <s v="FC-027"/>
    <x v="1"/>
    <s v="L"/>
    <s v="Cx."/>
    <x v="0"/>
    <s v="F"/>
    <m/>
    <n v="1"/>
    <n v="1"/>
    <n v="0"/>
    <s v="Negative"/>
  </r>
  <r>
    <n v="2016"/>
    <s v="CSU-10202"/>
    <n v="19749"/>
    <x v="0"/>
    <x v="1"/>
    <s v="LC"/>
    <s v="FC"/>
    <s v="FC-004"/>
    <x v="1"/>
    <s v="L"/>
    <s v="Cx."/>
    <x v="1"/>
    <s v="F"/>
    <m/>
    <n v="3"/>
    <n v="3"/>
    <n v="0"/>
    <s v="Negative"/>
  </r>
  <r>
    <n v="2016"/>
    <s v="CSU-10203"/>
    <n v="19750"/>
    <x v="0"/>
    <x v="1"/>
    <s v="LC"/>
    <s v="FC"/>
    <s v="FC-039"/>
    <x v="1"/>
    <s v="L"/>
    <s v="Cx."/>
    <x v="1"/>
    <s v="F"/>
    <m/>
    <n v="2"/>
    <n v="2"/>
    <n v="0"/>
    <s v="Negative"/>
  </r>
  <r>
    <n v="2016"/>
    <s v="CSU-10204"/>
    <n v="19751"/>
    <x v="0"/>
    <x v="1"/>
    <s v="LC"/>
    <s v="FC"/>
    <s v="FC-075gr"/>
    <x v="1"/>
    <s v="G"/>
    <s v="Cx."/>
    <x v="0"/>
    <s v="F"/>
    <n v="5"/>
    <m/>
    <n v="5"/>
    <n v="0"/>
    <s v="Negative"/>
  </r>
  <r>
    <n v="2016"/>
    <s v="CSU-10205"/>
    <n v="19752"/>
    <x v="0"/>
    <x v="1"/>
    <s v="LC"/>
    <s v="FC"/>
    <s v="FC-064"/>
    <x v="1"/>
    <s v="L"/>
    <s v="Cx."/>
    <x v="1"/>
    <s v="F"/>
    <m/>
    <n v="4"/>
    <n v="4"/>
    <n v="0"/>
    <s v="Negative"/>
  </r>
  <r>
    <n v="2016"/>
    <s v="CSU-10206"/>
    <n v="19753"/>
    <x v="0"/>
    <x v="1"/>
    <s v="LC"/>
    <s v="FC"/>
    <s v="FC-074"/>
    <x v="1"/>
    <s v="L"/>
    <s v="Cx."/>
    <x v="1"/>
    <s v="F"/>
    <m/>
    <n v="1"/>
    <n v="1"/>
    <n v="0"/>
    <s v="Negative"/>
  </r>
  <r>
    <n v="2016"/>
    <s v="CSU-10207"/>
    <n v="19754"/>
    <x v="0"/>
    <x v="1"/>
    <s v="LC"/>
    <s v="FC"/>
    <s v="FC-075"/>
    <x v="1"/>
    <s v="L"/>
    <s v="Cx."/>
    <x v="1"/>
    <s v="F"/>
    <m/>
    <n v="2"/>
    <n v="2"/>
    <n v="0"/>
    <s v="Negative"/>
  </r>
  <r>
    <n v="2016"/>
    <s v="CSU-10208"/>
    <n v="19755"/>
    <x v="0"/>
    <x v="1"/>
    <s v="LC"/>
    <s v="FC"/>
    <s v="FC-075"/>
    <x v="1"/>
    <s v="L"/>
    <s v="Cx."/>
    <x v="0"/>
    <s v="F"/>
    <m/>
    <n v="4"/>
    <n v="4"/>
    <n v="0"/>
    <s v="Negative"/>
  </r>
  <r>
    <n v="2016"/>
    <s v="CSU-10209"/>
    <n v="19756"/>
    <x v="0"/>
    <x v="1"/>
    <s v="LC"/>
    <s v="FC"/>
    <s v="FC-053"/>
    <x v="1"/>
    <s v="L"/>
    <s v="Cx."/>
    <x v="0"/>
    <s v="F"/>
    <m/>
    <n v="9"/>
    <n v="9"/>
    <n v="0"/>
    <s v="Negative"/>
  </r>
  <r>
    <n v="2016"/>
    <s v="CSU-10210"/>
    <n v="19757"/>
    <x v="0"/>
    <x v="2"/>
    <s v="LC"/>
    <s v="FC"/>
    <s v="FC-049"/>
    <x v="0"/>
    <s v="L"/>
    <s v="Cx."/>
    <x v="1"/>
    <s v="F"/>
    <m/>
    <n v="3"/>
    <n v="3"/>
    <n v="0"/>
    <s v="Negative"/>
  </r>
  <r>
    <n v="2016"/>
    <s v="CSU-10211"/>
    <n v="19758"/>
    <x v="0"/>
    <x v="2"/>
    <s v="LC"/>
    <s v="FC"/>
    <s v="FC-052"/>
    <x v="3"/>
    <s v="L"/>
    <s v="Cx."/>
    <x v="1"/>
    <s v="F"/>
    <m/>
    <n v="3"/>
    <n v="3"/>
    <n v="0"/>
    <s v="Negative"/>
  </r>
  <r>
    <n v="2016"/>
    <s v="CSU-10212"/>
    <n v="19759"/>
    <x v="0"/>
    <x v="2"/>
    <s v="LC"/>
    <s v="FC"/>
    <s v="FC-052"/>
    <x v="3"/>
    <s v="L"/>
    <s v="Cx."/>
    <x v="0"/>
    <s v="F"/>
    <m/>
    <n v="1"/>
    <n v="1"/>
    <n v="0"/>
    <s v="Negative"/>
  </r>
  <r>
    <n v="2016"/>
    <s v="CSU-10213"/>
    <n v="19760"/>
    <x v="0"/>
    <x v="2"/>
    <s v="LC"/>
    <s v="FC"/>
    <s v="FC-011"/>
    <x v="3"/>
    <s v="L"/>
    <s v="Cx."/>
    <x v="1"/>
    <s v="F"/>
    <m/>
    <n v="1"/>
    <n v="1"/>
    <n v="0"/>
    <s v="Negative"/>
  </r>
  <r>
    <n v="2016"/>
    <s v="CSU-10214"/>
    <n v="19761"/>
    <x v="0"/>
    <x v="2"/>
    <s v="LC"/>
    <s v="FC"/>
    <s v="FC-011"/>
    <x v="3"/>
    <s v="L"/>
    <s v="Cx."/>
    <x v="0"/>
    <s v="F"/>
    <m/>
    <n v="50"/>
    <n v="50"/>
    <n v="0"/>
    <s v="Negative"/>
  </r>
  <r>
    <n v="2016"/>
    <s v="CSU-10215"/>
    <n v="19762"/>
    <x v="0"/>
    <x v="2"/>
    <s v="LC"/>
    <s v="FC"/>
    <s v="FC-011"/>
    <x v="3"/>
    <s v="L"/>
    <s v="Cx."/>
    <x v="0"/>
    <s v="F"/>
    <m/>
    <n v="50"/>
    <n v="50"/>
    <n v="0"/>
    <s v="Negative"/>
  </r>
  <r>
    <n v="2016"/>
    <s v="CSU-10216"/>
    <n v="19763"/>
    <x v="0"/>
    <x v="2"/>
    <s v="LC"/>
    <s v="FC"/>
    <s v="FC-011"/>
    <x v="3"/>
    <s v="L"/>
    <s v="Cx."/>
    <x v="0"/>
    <s v="F"/>
    <m/>
    <n v="50"/>
    <n v="50"/>
    <n v="0"/>
    <s v="Negative"/>
  </r>
  <r>
    <n v="2016"/>
    <s v="CSU-10217"/>
    <n v="19764"/>
    <x v="0"/>
    <x v="2"/>
    <s v="LC"/>
    <s v="FC"/>
    <s v="FC-011"/>
    <x v="3"/>
    <s v="L"/>
    <s v="Cx."/>
    <x v="0"/>
    <s v="F"/>
    <m/>
    <n v="23"/>
    <n v="23"/>
    <n v="0"/>
    <s v="Negative"/>
  </r>
  <r>
    <n v="2016"/>
    <s v="CSU-10218"/>
    <n v="19765"/>
    <x v="0"/>
    <x v="2"/>
    <s v="LC"/>
    <s v="FC"/>
    <s v="FC-061"/>
    <x v="3"/>
    <s v="L"/>
    <s v="Cx."/>
    <x v="1"/>
    <s v="F"/>
    <m/>
    <n v="3"/>
    <n v="3"/>
    <n v="0"/>
    <s v="Negative"/>
  </r>
  <r>
    <n v="2016"/>
    <s v="CSU-10219"/>
    <n v="19766"/>
    <x v="0"/>
    <x v="2"/>
    <s v="LC"/>
    <s v="FC"/>
    <s v="FC-063gr"/>
    <x v="3"/>
    <s v="G"/>
    <s v="Cx."/>
    <x v="0"/>
    <s v="F"/>
    <n v="2"/>
    <m/>
    <n v="2"/>
    <n v="0"/>
    <s v="Negative"/>
  </r>
  <r>
    <n v="2016"/>
    <s v="CSU-10220"/>
    <n v="19767"/>
    <x v="0"/>
    <x v="2"/>
    <s v="LC"/>
    <s v="FC"/>
    <s v="FC-015"/>
    <x v="3"/>
    <s v="L"/>
    <s v="Cx."/>
    <x v="0"/>
    <s v="F"/>
    <m/>
    <n v="1"/>
    <n v="1"/>
    <n v="0"/>
    <s v="Negative"/>
  </r>
  <r>
    <n v="2016"/>
    <s v="CSU-10221"/>
    <n v="19768"/>
    <x v="0"/>
    <x v="2"/>
    <s v="LC"/>
    <s v="FC"/>
    <s v="FC-058"/>
    <x v="0"/>
    <s v="L"/>
    <s v="Cx."/>
    <x v="0"/>
    <s v="F"/>
    <m/>
    <n v="1"/>
    <n v="1"/>
    <n v="0"/>
    <s v="Negative"/>
  </r>
  <r>
    <n v="2016"/>
    <s v="CSU-10222"/>
    <n v="19769"/>
    <x v="0"/>
    <x v="2"/>
    <s v="LC"/>
    <s v="FC"/>
    <s v="FC-073"/>
    <x v="3"/>
    <s v="L"/>
    <s v="Cx."/>
    <x v="1"/>
    <s v="F"/>
    <m/>
    <n v="1"/>
    <n v="1"/>
    <n v="0"/>
    <s v="Negative"/>
  </r>
  <r>
    <n v="2016"/>
    <s v="CSU-10223"/>
    <n v="19770"/>
    <x v="0"/>
    <x v="2"/>
    <s v="LC"/>
    <s v="FC"/>
    <s v="FC-041"/>
    <x v="3"/>
    <s v="L"/>
    <s v="Cx."/>
    <x v="1"/>
    <s v="F"/>
    <m/>
    <n v="3"/>
    <n v="3"/>
    <n v="0"/>
    <s v="Negative"/>
  </r>
  <r>
    <n v="2016"/>
    <s v="CSU-10224"/>
    <n v="19771"/>
    <x v="0"/>
    <x v="2"/>
    <s v="LC"/>
    <s v="FC"/>
    <s v="FC-090gr"/>
    <x v="3"/>
    <s v="G"/>
    <s v="Cx."/>
    <x v="0"/>
    <s v="F"/>
    <n v="15"/>
    <m/>
    <n v="15"/>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4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pivotField axis="axisRow" showAll="0">
      <items count="5">
        <item x="1"/>
        <item x="0"/>
        <item x="2"/>
        <item x="3"/>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4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2"/>
        <item x="3"/>
        <item x="1"/>
        <item x="0"/>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2"/>
        <item x="3"/>
        <item x="1"/>
        <item x="0"/>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4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5">
        <item x="3"/>
        <item x="2"/>
        <item x="1"/>
        <item x="0"/>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8" sqref="A8"/>
    </sheetView>
  </sheetViews>
  <sheetFormatPr defaultRowHeight="15" x14ac:dyDescent="0.25"/>
  <cols>
    <col min="1" max="1" width="34.42578125" customWidth="1"/>
    <col min="2" max="2" width="14.140625" customWidth="1"/>
    <col min="3" max="3" width="6.42578125" customWidth="1"/>
    <col min="4" max="4" width="9.85546875" customWidth="1"/>
    <col min="7" max="7" width="12.42578125" customWidth="1"/>
    <col min="8" max="8" width="9.140625" customWidth="1"/>
  </cols>
  <sheetData>
    <row r="1" spans="1:10" x14ac:dyDescent="0.25">
      <c r="A1" s="33" t="s">
        <v>79</v>
      </c>
      <c r="G1" s="75" t="s">
        <v>55</v>
      </c>
      <c r="H1" s="75"/>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61</v>
      </c>
      <c r="B6" s="2">
        <v>8</v>
      </c>
      <c r="C6" s="2">
        <v>8</v>
      </c>
      <c r="D6" s="2">
        <v>16</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60</v>
      </c>
      <c r="B7" s="2">
        <v>9</v>
      </c>
      <c r="C7" s="2">
        <v>6</v>
      </c>
      <c r="D7" s="2">
        <v>15</v>
      </c>
      <c r="G7" s="1" t="s">
        <v>61</v>
      </c>
      <c r="H7" s="2">
        <f>GETPIVOTDATA("CSU Pool Number     (CMC enters)",$A$4,"Zone","NE","Spp","pipiens")</f>
        <v>8</v>
      </c>
      <c r="I7" s="2">
        <f>GETPIVOTDATA("CSU Pool Number     (CMC enters)",$A$4,"Zone","NE","Spp","tarsalis")</f>
        <v>8</v>
      </c>
      <c r="J7" s="2">
        <f>GETPIVOTDATA("CSU Pool Number     (CMC enters)",$A$4,"Zone","NE")</f>
        <v>16</v>
      </c>
    </row>
    <row r="8" spans="1:10" x14ac:dyDescent="0.25">
      <c r="A8" s="1" t="s">
        <v>62</v>
      </c>
      <c r="B8" s="2">
        <v>6</v>
      </c>
      <c r="C8" s="2">
        <v>9</v>
      </c>
      <c r="D8" s="2">
        <v>15</v>
      </c>
      <c r="G8" s="1" t="s">
        <v>60</v>
      </c>
      <c r="H8" s="2">
        <f>GETPIVOTDATA("CSU Pool Number     (CMC enters)",$A$4,"Zone","NW","Spp","pipiens")</f>
        <v>9</v>
      </c>
      <c r="I8" s="2">
        <f>GETPIVOTDATA("CSU Pool Number     (CMC enters)",$A$4,"Zone","NW","Spp","tarsalis")</f>
        <v>6</v>
      </c>
      <c r="J8" s="2">
        <f>GETPIVOTDATA("CSU Pool Number     (CMC enters)",$A$4,"Zone","NW")</f>
        <v>15</v>
      </c>
    </row>
    <row r="9" spans="1:10" x14ac:dyDescent="0.25">
      <c r="A9" s="1" t="s">
        <v>63</v>
      </c>
      <c r="B9" s="2">
        <v>3</v>
      </c>
      <c r="C9" s="2">
        <v>4</v>
      </c>
      <c r="D9" s="2">
        <v>7</v>
      </c>
      <c r="G9" s="1" t="s">
        <v>62</v>
      </c>
      <c r="H9" s="2">
        <f>GETPIVOTDATA("CSU Pool Number     (CMC enters)",$A$4,"Zone","SE","Spp","pipiens")</f>
        <v>6</v>
      </c>
      <c r="I9" s="2">
        <f>GETPIVOTDATA("CSU Pool Number     (CMC enters)",$A$4,"Zone","SE","Spp","tarsalis")</f>
        <v>9</v>
      </c>
      <c r="J9" s="2">
        <f>GETPIVOTDATA("CSU Pool Number     (CMC enters)",$A$4,"Zone","SE")</f>
        <v>15</v>
      </c>
    </row>
    <row r="10" spans="1:10" x14ac:dyDescent="0.25">
      <c r="A10" s="1" t="s">
        <v>7</v>
      </c>
      <c r="B10" s="2">
        <v>26</v>
      </c>
      <c r="C10" s="2">
        <v>27</v>
      </c>
      <c r="D10" s="2">
        <v>53</v>
      </c>
      <c r="G10" s="1" t="s">
        <v>63</v>
      </c>
      <c r="H10" s="2">
        <f>GETPIVOTDATA("CSU Pool Number     (CMC enters)",$A$4,"Zone","SW","Spp","pipiens")</f>
        <v>3</v>
      </c>
      <c r="I10" s="2">
        <f>GETPIVOTDATA("CSU Pool Number     (CMC enters)",$A$4,"Zone","SW","Spp","tarsalis")</f>
        <v>4</v>
      </c>
      <c r="J10" s="2">
        <f>GETPIVOTDATA("CSU Pool Number     (CMC enters)",$A$4,"Zone","SW")</f>
        <v>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
  <sheetViews>
    <sheetView workbookViewId="0">
      <selection activeCell="B8" sqref="B8"/>
    </sheetView>
  </sheetViews>
  <sheetFormatPr defaultRowHeight="15" x14ac:dyDescent="0.25"/>
  <cols>
    <col min="1" max="1" width="24.42578125" customWidth="1"/>
    <col min="2" max="2" width="14.140625" customWidth="1"/>
    <col min="3" max="3" width="6.42578125" customWidth="1"/>
    <col min="4" max="4" width="9.85546875" customWidth="1"/>
    <col min="5" max="123" width="16.28515625" bestFit="1" customWidth="1"/>
    <col min="124" max="124" width="11.28515625" bestFit="1" customWidth="1"/>
  </cols>
  <sheetData>
    <row r="1" spans="1:9" x14ac:dyDescent="0.25">
      <c r="A1" s="75" t="s">
        <v>79</v>
      </c>
      <c r="B1" s="75"/>
      <c r="C1" s="75"/>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1</v>
      </c>
      <c r="C7" s="2">
        <v>0</v>
      </c>
      <c r="D7" s="2">
        <v>1</v>
      </c>
      <c r="F7" s="1" t="s">
        <v>60</v>
      </c>
      <c r="G7" s="2">
        <f>GETPIVOTDATA("Test code (CSU enters)",$A$5,"Zone","NW","Spp","pipiens")</f>
        <v>1</v>
      </c>
      <c r="H7" s="2">
        <f>GETPIVOTDATA("Test code (CSU enters)",$A$5,"Zone","NW","Spp","tarsalis")</f>
        <v>0</v>
      </c>
      <c r="I7" s="2">
        <f>GETPIVOTDATA("Test code (CSU enters)",$A$5,"Zone","NW")</f>
        <v>1</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7</v>
      </c>
      <c r="B11" s="2">
        <v>1</v>
      </c>
      <c r="C11" s="2">
        <v>0</v>
      </c>
      <c r="D11" s="2">
        <v>1</v>
      </c>
      <c r="F11" s="1" t="s">
        <v>9</v>
      </c>
      <c r="G11" s="2" t="e">
        <f>GETPIVOTDATA("Test code (CSU enters)",$A$5,"Zone","LV","Spp","pipiens")</f>
        <v>#REF!</v>
      </c>
      <c r="H11" s="2" t="e">
        <f>GETPIVOTDATA("Test code (CSU enters)",$A$5,"Zone","LV","Spp","tarsalis")</f>
        <v>#REF!</v>
      </c>
      <c r="I11" s="2" t="e">
        <f>GETPIVOTDATA("Test code (CSU enters)",$A$5,"Zone","LV")</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I18" sqref="I18"/>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7" t="s">
        <v>93</v>
      </c>
      <c r="F1" s="68" t="s">
        <v>273</v>
      </c>
    </row>
    <row r="2" spans="1:6" x14ac:dyDescent="0.25">
      <c r="A2" t="s">
        <v>47</v>
      </c>
      <c r="B2" t="s">
        <v>15</v>
      </c>
      <c r="C2" s="31">
        <v>2.9817415170439978</v>
      </c>
      <c r="E2" t="s">
        <v>261</v>
      </c>
      <c r="F2" s="31">
        <v>2.9817415170439978</v>
      </c>
    </row>
    <row r="3" spans="1:6" x14ac:dyDescent="0.25">
      <c r="A3" t="s">
        <v>47</v>
      </c>
      <c r="B3" t="s">
        <v>16</v>
      </c>
      <c r="C3" s="31">
        <v>0</v>
      </c>
      <c r="E3" t="s">
        <v>262</v>
      </c>
      <c r="F3" s="31">
        <v>0</v>
      </c>
    </row>
    <row r="4" spans="1:6" x14ac:dyDescent="0.25">
      <c r="A4" t="s">
        <v>9</v>
      </c>
      <c r="B4" t="s">
        <v>15</v>
      </c>
      <c r="C4" s="31">
        <v>0</v>
      </c>
    </row>
    <row r="5" spans="1:6" x14ac:dyDescent="0.25">
      <c r="A5" t="s">
        <v>9</v>
      </c>
      <c r="B5" t="s">
        <v>16</v>
      </c>
      <c r="C5" s="3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2" sqref="C2"/>
    </sheetView>
  </sheetViews>
  <sheetFormatPr defaultRowHeight="15" x14ac:dyDescent="0.25"/>
  <cols>
    <col min="2" max="2" width="15.7109375" customWidth="1"/>
    <col min="3" max="3" width="13.140625" customWidth="1"/>
  </cols>
  <sheetData>
    <row r="1" spans="1:6" x14ac:dyDescent="0.25">
      <c r="A1" s="34" t="s">
        <v>67</v>
      </c>
      <c r="B1" s="34" t="s">
        <v>66</v>
      </c>
      <c r="C1" s="34" t="s">
        <v>64</v>
      </c>
      <c r="E1" s="67" t="s">
        <v>94</v>
      </c>
      <c r="F1" s="68" t="s">
        <v>273</v>
      </c>
    </row>
    <row r="2" spans="1:6" x14ac:dyDescent="0.25">
      <c r="A2" t="s">
        <v>60</v>
      </c>
      <c r="B2" t="s">
        <v>15</v>
      </c>
      <c r="C2" s="31">
        <v>4.6806310314112309</v>
      </c>
      <c r="E2" t="s">
        <v>268</v>
      </c>
      <c r="F2" s="31">
        <v>0</v>
      </c>
    </row>
    <row r="3" spans="1:6" x14ac:dyDescent="0.25">
      <c r="A3" t="s">
        <v>60</v>
      </c>
      <c r="B3" t="s">
        <v>16</v>
      </c>
      <c r="C3" s="31">
        <v>0</v>
      </c>
      <c r="E3" t="s">
        <v>267</v>
      </c>
      <c r="F3" s="31">
        <v>0</v>
      </c>
    </row>
    <row r="4" spans="1:6" x14ac:dyDescent="0.25">
      <c r="A4" t="s">
        <v>61</v>
      </c>
      <c r="B4" t="s">
        <v>15</v>
      </c>
      <c r="C4" s="31">
        <v>0</v>
      </c>
      <c r="E4" t="s">
        <v>270</v>
      </c>
      <c r="F4" s="31">
        <v>4.6806310314112309</v>
      </c>
    </row>
    <row r="5" spans="1:6" x14ac:dyDescent="0.25">
      <c r="A5" t="s">
        <v>61</v>
      </c>
      <c r="B5" t="s">
        <v>16</v>
      </c>
      <c r="C5" s="31">
        <v>0</v>
      </c>
      <c r="E5" t="s">
        <v>269</v>
      </c>
      <c r="F5" s="31">
        <v>0</v>
      </c>
    </row>
    <row r="6" spans="1:6" x14ac:dyDescent="0.25">
      <c r="A6" t="s">
        <v>62</v>
      </c>
      <c r="B6" t="s">
        <v>15</v>
      </c>
      <c r="C6" s="31">
        <v>0</v>
      </c>
      <c r="E6" t="s">
        <v>265</v>
      </c>
      <c r="F6" s="31">
        <v>0</v>
      </c>
    </row>
    <row r="7" spans="1:6" x14ac:dyDescent="0.25">
      <c r="A7" t="s">
        <v>62</v>
      </c>
      <c r="B7" t="s">
        <v>16</v>
      </c>
      <c r="C7" s="31">
        <v>0</v>
      </c>
      <c r="E7" t="s">
        <v>266</v>
      </c>
      <c r="F7" s="31">
        <v>0</v>
      </c>
    </row>
    <row r="8" spans="1:6" x14ac:dyDescent="0.25">
      <c r="A8" t="s">
        <v>63</v>
      </c>
      <c r="B8" t="s">
        <v>15</v>
      </c>
      <c r="C8" s="31">
        <v>0</v>
      </c>
      <c r="E8" t="s">
        <v>263</v>
      </c>
      <c r="F8" s="31">
        <v>0</v>
      </c>
    </row>
    <row r="9" spans="1:6" x14ac:dyDescent="0.25">
      <c r="A9" t="s">
        <v>63</v>
      </c>
      <c r="B9" t="s">
        <v>16</v>
      </c>
      <c r="C9" s="31">
        <v>0</v>
      </c>
      <c r="E9" t="s">
        <v>264</v>
      </c>
      <c r="F9"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91"/>
  <sheetViews>
    <sheetView topLeftCell="A49" zoomScale="80" zoomScaleNormal="80" workbookViewId="0">
      <selection activeCell="U60" sqref="U6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80" t="s">
        <v>11</v>
      </c>
      <c r="D1" s="81"/>
      <c r="E1" s="80" t="s">
        <v>12</v>
      </c>
      <c r="F1" s="81"/>
      <c r="G1" s="88"/>
      <c r="H1" s="89"/>
      <c r="I1" s="90"/>
    </row>
    <row r="2" spans="1:13" ht="27" customHeight="1" x14ac:dyDescent="0.25">
      <c r="B2" s="5"/>
      <c r="C2" s="82"/>
      <c r="D2" s="83"/>
      <c r="E2" s="82" t="s">
        <v>13</v>
      </c>
      <c r="F2" s="83"/>
      <c r="G2" s="91" t="s">
        <v>14</v>
      </c>
      <c r="H2" s="92"/>
      <c r="I2" s="93"/>
    </row>
    <row r="3" spans="1:13" ht="15.75" thickBot="1" x14ac:dyDescent="0.3">
      <c r="B3" s="5"/>
      <c r="C3" s="84"/>
      <c r="D3" s="85"/>
      <c r="E3" s="86"/>
      <c r="F3" s="87"/>
      <c r="G3" s="86"/>
      <c r="H3" s="94"/>
      <c r="I3" s="87"/>
    </row>
    <row r="4" spans="1:13" ht="15.75" customHeight="1" x14ac:dyDescent="0.25">
      <c r="B4" s="5" t="s">
        <v>10</v>
      </c>
      <c r="C4" s="76" t="s">
        <v>15</v>
      </c>
      <c r="D4" s="76" t="s">
        <v>16</v>
      </c>
      <c r="E4" s="7" t="s">
        <v>17</v>
      </c>
      <c r="F4" s="7" t="s">
        <v>17</v>
      </c>
      <c r="G4" s="78" t="s">
        <v>18</v>
      </c>
      <c r="H4" s="78" t="s">
        <v>19</v>
      </c>
      <c r="I4" s="9" t="s">
        <v>20</v>
      </c>
    </row>
    <row r="5" spans="1:13" ht="15.75" thickBot="1" x14ac:dyDescent="0.3">
      <c r="B5" s="6"/>
      <c r="C5" s="77"/>
      <c r="D5" s="77"/>
      <c r="E5" s="8" t="s">
        <v>5</v>
      </c>
      <c r="F5" s="8" t="s">
        <v>6</v>
      </c>
      <c r="G5" s="79"/>
      <c r="H5" s="79"/>
      <c r="I5" s="10" t="s">
        <v>21</v>
      </c>
    </row>
    <row r="6" spans="1:13" ht="26.25" thickBot="1" x14ac:dyDescent="0.3">
      <c r="B6" s="11" t="s">
        <v>56</v>
      </c>
      <c r="C6" s="26">
        <f>G37</f>
        <v>19.888888888888889</v>
      </c>
      <c r="D6" s="26">
        <f>H37</f>
        <v>1.6666666666666667</v>
      </c>
      <c r="E6" s="47">
        <f>L67/1000</f>
        <v>4.6806310314112306E-3</v>
      </c>
      <c r="F6" s="47">
        <f>M67/1000</f>
        <v>0</v>
      </c>
      <c r="G6" s="32">
        <f>C6*E6</f>
        <v>9.3092550513623362E-2</v>
      </c>
      <c r="H6" s="32">
        <f>D6*F6</f>
        <v>0</v>
      </c>
      <c r="I6" s="32">
        <f>G6+H6</f>
        <v>9.3092550513623362E-2</v>
      </c>
    </row>
    <row r="7" spans="1:13" ht="26.25" thickBot="1" x14ac:dyDescent="0.3">
      <c r="B7" s="11" t="s">
        <v>57</v>
      </c>
      <c r="C7" s="26">
        <f t="shared" ref="C7:C10" si="0">G38</f>
        <v>7.1</v>
      </c>
      <c r="D7" s="26">
        <f t="shared" ref="D7:D10" si="1">H38</f>
        <v>3.3</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1</v>
      </c>
      <c r="D8" s="26">
        <f t="shared" si="1"/>
        <v>1.1333333333333333</v>
      </c>
      <c r="E8" s="47">
        <f t="shared" si="2"/>
        <v>0</v>
      </c>
      <c r="F8" s="47">
        <f t="shared" si="3"/>
        <v>0</v>
      </c>
      <c r="G8" s="32">
        <f t="shared" si="4"/>
        <v>0</v>
      </c>
      <c r="H8" s="32">
        <f t="shared" si="5"/>
        <v>0</v>
      </c>
      <c r="I8" s="32">
        <f t="shared" si="6"/>
        <v>0</v>
      </c>
    </row>
    <row r="9" spans="1:13" ht="26.25" thickBot="1" x14ac:dyDescent="0.3">
      <c r="B9" s="11" t="s">
        <v>58</v>
      </c>
      <c r="C9" s="26">
        <f t="shared" si="0"/>
        <v>0.44444444444444442</v>
      </c>
      <c r="D9" s="26">
        <f t="shared" si="1"/>
        <v>1</v>
      </c>
      <c r="E9" s="47">
        <f t="shared" si="2"/>
        <v>0</v>
      </c>
      <c r="F9" s="47">
        <f t="shared" si="3"/>
        <v>0</v>
      </c>
      <c r="G9" s="32">
        <f t="shared" si="4"/>
        <v>0</v>
      </c>
      <c r="H9" s="32">
        <f t="shared" si="5"/>
        <v>0</v>
      </c>
      <c r="I9" s="32">
        <f t="shared" si="6"/>
        <v>0</v>
      </c>
    </row>
    <row r="10" spans="1:13" ht="26.25" thickBot="1" x14ac:dyDescent="0.3">
      <c r="B10" s="11" t="s">
        <v>22</v>
      </c>
      <c r="C10" s="26">
        <f t="shared" si="0"/>
        <v>6.2558139534883717</v>
      </c>
      <c r="D10" s="26">
        <f t="shared" si="1"/>
        <v>1.7209302325581395</v>
      </c>
      <c r="E10" s="47">
        <f t="shared" si="2"/>
        <v>2.9817415170439979E-3</v>
      </c>
      <c r="F10" s="47">
        <f t="shared" si="3"/>
        <v>0</v>
      </c>
      <c r="G10" s="32">
        <f>C10*E10</f>
        <v>1.8653220188019428E-2</v>
      </c>
      <c r="H10" s="32">
        <f>D10*F10</f>
        <v>0</v>
      </c>
      <c r="I10" s="32">
        <f t="shared" si="6"/>
        <v>1.8653220188019428E-2</v>
      </c>
    </row>
    <row r="11" spans="1:13" ht="15.75" thickBot="1" x14ac:dyDescent="0.3">
      <c r="B11" s="11"/>
      <c r="C11" s="12"/>
      <c r="D11" s="12"/>
      <c r="E11" s="47"/>
      <c r="F11" s="47"/>
      <c r="G11" s="32"/>
      <c r="H11" s="32"/>
      <c r="I11" s="32"/>
    </row>
    <row r="12" spans="1:13" ht="15.75" thickBot="1" x14ac:dyDescent="0.3">
      <c r="B12" s="11" t="s">
        <v>9</v>
      </c>
      <c r="C12" s="29" t="e">
        <f>G43</f>
        <v>#REF!</v>
      </c>
      <c r="D12" s="29" t="e">
        <f>H43</f>
        <v>#REF!</v>
      </c>
      <c r="E12" s="47">
        <f>L73/1000</f>
        <v>0</v>
      </c>
      <c r="F12" s="47">
        <f>M73/1000</f>
        <v>0</v>
      </c>
      <c r="G12" s="32" t="e">
        <f>C12*E12</f>
        <v>#REF!</v>
      </c>
      <c r="H12" s="32" t="e">
        <f>D12*F12</f>
        <v>#REF!</v>
      </c>
      <c r="I12" s="32" t="e">
        <f>G12+H12</f>
        <v>#REF!</v>
      </c>
    </row>
    <row r="13" spans="1:13" ht="15.75" thickBot="1" x14ac:dyDescent="0.3"/>
    <row r="14" spans="1:13" ht="15" customHeight="1" x14ac:dyDescent="0.25">
      <c r="A14" t="s">
        <v>54</v>
      </c>
      <c r="B14" s="16"/>
      <c r="C14" s="95" t="s">
        <v>56</v>
      </c>
      <c r="D14" s="96"/>
      <c r="E14" s="95" t="s">
        <v>57</v>
      </c>
      <c r="F14" s="96"/>
      <c r="G14" s="95" t="s">
        <v>59</v>
      </c>
      <c r="H14" s="96"/>
      <c r="I14" s="95" t="s">
        <v>58</v>
      </c>
      <c r="J14" s="96"/>
      <c r="K14" s="95" t="s">
        <v>22</v>
      </c>
      <c r="L14" s="96"/>
      <c r="M14" s="19"/>
    </row>
    <row r="15" spans="1:13" ht="15.75" thickBot="1" x14ac:dyDescent="0.3">
      <c r="B15" s="17"/>
      <c r="C15" s="97"/>
      <c r="D15" s="98"/>
      <c r="E15" s="97"/>
      <c r="F15" s="98"/>
      <c r="G15" s="97"/>
      <c r="H15" s="98"/>
      <c r="I15" s="97"/>
      <c r="J15" s="98"/>
      <c r="K15" s="97"/>
      <c r="L15" s="98"/>
      <c r="M15" s="20"/>
    </row>
    <row r="16" spans="1:13" ht="26.25" thickBot="1" x14ac:dyDescent="0.3">
      <c r="B16" s="18" t="s">
        <v>8</v>
      </c>
      <c r="C16" s="21" t="s">
        <v>23</v>
      </c>
      <c r="D16" s="21" t="s">
        <v>24</v>
      </c>
      <c r="E16" s="21" t="s">
        <v>23</v>
      </c>
      <c r="F16" s="48" t="s">
        <v>24</v>
      </c>
      <c r="G16" s="21" t="s">
        <v>23</v>
      </c>
      <c r="H16" s="48" t="s">
        <v>24</v>
      </c>
      <c r="I16" s="21" t="s">
        <v>23</v>
      </c>
      <c r="J16" s="48" t="s">
        <v>24</v>
      </c>
      <c r="K16" s="21" t="s">
        <v>23</v>
      </c>
      <c r="L16" s="48" t="s">
        <v>24</v>
      </c>
      <c r="M16" s="21" t="s">
        <v>9</v>
      </c>
    </row>
    <row r="17" spans="1:13" ht="15.75" thickBot="1" x14ac:dyDescent="0.3">
      <c r="B17" s="49">
        <v>24</v>
      </c>
      <c r="C17" s="53">
        <v>0</v>
      </c>
      <c r="D17" s="50">
        <v>0</v>
      </c>
      <c r="E17" s="53">
        <v>0</v>
      </c>
      <c r="F17" s="50">
        <v>0</v>
      </c>
      <c r="G17" s="53">
        <v>0</v>
      </c>
      <c r="H17" s="50">
        <v>6.3721999999999997E-3</v>
      </c>
      <c r="I17" s="53">
        <v>0</v>
      </c>
      <c r="J17" s="50">
        <v>0</v>
      </c>
      <c r="K17" s="53">
        <v>0</v>
      </c>
      <c r="L17" s="50">
        <v>2.310872354827171E-3</v>
      </c>
      <c r="M17" s="53">
        <v>0</v>
      </c>
    </row>
    <row r="18" spans="1:13" ht="15.75" thickBot="1" x14ac:dyDescent="0.3">
      <c r="B18" s="49">
        <v>25</v>
      </c>
      <c r="C18" s="53">
        <v>0</v>
      </c>
      <c r="D18" s="50">
        <v>0</v>
      </c>
      <c r="E18" s="53">
        <v>0</v>
      </c>
      <c r="F18" s="50">
        <v>1.8774300000000001E-2</v>
      </c>
      <c r="G18" s="53">
        <v>0</v>
      </c>
      <c r="H18" s="50">
        <v>0</v>
      </c>
      <c r="I18" s="53">
        <v>0</v>
      </c>
      <c r="J18" s="50">
        <v>0</v>
      </c>
      <c r="K18" s="53">
        <v>0</v>
      </c>
      <c r="L18" s="50">
        <v>3.7680930482037458E-3</v>
      </c>
      <c r="M18" s="53">
        <v>0</v>
      </c>
    </row>
    <row r="19" spans="1:13" ht="15.75" thickBot="1" x14ac:dyDescent="0.3">
      <c r="B19" s="49">
        <v>26</v>
      </c>
      <c r="C19" s="53">
        <v>0</v>
      </c>
      <c r="D19" s="50">
        <v>0</v>
      </c>
      <c r="E19" s="53">
        <v>0</v>
      </c>
      <c r="F19" s="50">
        <v>9.7776000000000009E-3</v>
      </c>
      <c r="G19" s="53">
        <v>0</v>
      </c>
      <c r="H19" s="50">
        <v>1.8501699999999999E-2</v>
      </c>
      <c r="I19" s="53">
        <v>0</v>
      </c>
      <c r="J19" s="50">
        <v>1.16285E-2</v>
      </c>
      <c r="K19" s="53">
        <v>0</v>
      </c>
      <c r="L19" s="50">
        <v>1.1468048137997683E-2</v>
      </c>
      <c r="M19" s="53">
        <v>5.245073303271084E-2</v>
      </c>
    </row>
    <row r="20" spans="1:13" ht="15.75" thickBot="1" x14ac:dyDescent="0.3">
      <c r="B20" s="49">
        <v>27</v>
      </c>
      <c r="C20" s="54">
        <v>0</v>
      </c>
      <c r="D20" s="50">
        <v>0</v>
      </c>
      <c r="E20" s="54">
        <v>0</v>
      </c>
      <c r="F20" s="50">
        <v>4.0647552933751996E-2</v>
      </c>
      <c r="G20" s="53">
        <v>0.11263022017481102</v>
      </c>
      <c r="H20" s="50">
        <v>7.1589000000000002E-3</v>
      </c>
      <c r="I20" s="53">
        <v>0</v>
      </c>
      <c r="J20" s="50">
        <v>0</v>
      </c>
      <c r="K20" s="53">
        <v>4.166599714789182E-2</v>
      </c>
      <c r="L20" s="50">
        <v>1.2877096216512543E-2</v>
      </c>
      <c r="M20" s="53">
        <v>0.10861780914105174</v>
      </c>
    </row>
    <row r="21" spans="1:13" ht="15.75" thickBot="1" x14ac:dyDescent="0.3">
      <c r="B21" s="49">
        <v>28</v>
      </c>
      <c r="C21" s="53">
        <v>0</v>
      </c>
      <c r="D21" s="50">
        <v>0</v>
      </c>
      <c r="E21" s="53">
        <v>4.2654800508561297E-2</v>
      </c>
      <c r="F21" s="50">
        <v>4.1391000835061531E-2</v>
      </c>
      <c r="G21" s="53">
        <v>0</v>
      </c>
      <c r="H21" s="50">
        <v>0.1194880889603864</v>
      </c>
      <c r="I21" s="53">
        <v>0</v>
      </c>
      <c r="J21" s="50">
        <v>1.10096E-2</v>
      </c>
      <c r="K21" s="53">
        <v>1.0424494309736075E-2</v>
      </c>
      <c r="L21" s="50">
        <v>5.0170215439748055E-2</v>
      </c>
      <c r="M21" s="53">
        <v>0</v>
      </c>
    </row>
    <row r="22" spans="1:13" ht="15.75" thickBot="1" x14ac:dyDescent="0.3">
      <c r="B22" s="49">
        <v>29</v>
      </c>
      <c r="C22" s="53">
        <v>0.11228771074789032</v>
      </c>
      <c r="D22" s="50">
        <v>0.11412426705542533</v>
      </c>
      <c r="E22" s="53">
        <v>4.3709521706545032E-2</v>
      </c>
      <c r="F22" s="50">
        <v>0.15544689999999997</v>
      </c>
      <c r="G22" s="53">
        <v>1.3941543284367431E-2</v>
      </c>
      <c r="H22" s="50">
        <v>0.3556589</v>
      </c>
      <c r="I22" s="53">
        <v>0</v>
      </c>
      <c r="J22" s="50">
        <v>3.6847699999999997E-2</v>
      </c>
      <c r="K22" s="53">
        <v>3.5966527195270784E-2</v>
      </c>
      <c r="L22" s="50">
        <v>0.18404600770427676</v>
      </c>
      <c r="M22" s="53">
        <v>6.5984642803146448E-2</v>
      </c>
    </row>
    <row r="23" spans="1:13" ht="15.75" thickBot="1" x14ac:dyDescent="0.3">
      <c r="B23" s="49">
        <v>30</v>
      </c>
      <c r="C23" s="53">
        <v>0</v>
      </c>
      <c r="D23" s="50">
        <v>0.12836757316874287</v>
      </c>
      <c r="E23" s="53">
        <v>9.9010673518150336E-2</v>
      </c>
      <c r="F23" s="50">
        <v>0.17618547045558217</v>
      </c>
      <c r="G23" s="53">
        <v>0.46822200087074251</v>
      </c>
      <c r="H23" s="50">
        <v>0.31145640112101491</v>
      </c>
      <c r="I23" s="53">
        <v>0</v>
      </c>
      <c r="J23" s="50">
        <v>9.3182299999999996E-2</v>
      </c>
      <c r="K23" s="53">
        <v>0.18718112143775698</v>
      </c>
      <c r="L23" s="50">
        <v>0.19031609671605768</v>
      </c>
      <c r="M23" s="53">
        <v>0.11556245260910994</v>
      </c>
    </row>
    <row r="24" spans="1:13" ht="15.75" thickBot="1" x14ac:dyDescent="0.3">
      <c r="B24" s="49">
        <v>31</v>
      </c>
      <c r="C24" s="53">
        <v>0.24845162129480719</v>
      </c>
      <c r="D24" s="50">
        <v>0.19638383038889326</v>
      </c>
      <c r="E24" s="53">
        <v>0.45135446023693016</v>
      </c>
      <c r="F24" s="50">
        <v>0.18242749092950958</v>
      </c>
      <c r="G24" s="53">
        <v>0.39757109332372353</v>
      </c>
      <c r="H24" s="50">
        <v>0.20621614181958181</v>
      </c>
      <c r="I24" s="53">
        <v>0.35904222921787032</v>
      </c>
      <c r="J24" s="50">
        <v>6.0853287335230676E-2</v>
      </c>
      <c r="K24" s="53">
        <v>0.37316024637371314</v>
      </c>
      <c r="L24" s="50">
        <v>0.18863058745500902</v>
      </c>
      <c r="M24" s="53">
        <v>0</v>
      </c>
    </row>
    <row r="25" spans="1:13" ht="15.75" thickBot="1" x14ac:dyDescent="0.3">
      <c r="B25" s="49">
        <v>32</v>
      </c>
      <c r="C25" s="53">
        <v>0.28341805302732825</v>
      </c>
      <c r="D25" s="50">
        <v>0.15227360076844429</v>
      </c>
      <c r="E25" s="53">
        <v>0.58418006497865238</v>
      </c>
      <c r="F25" s="50">
        <v>0.31470231336694138</v>
      </c>
      <c r="G25" s="53">
        <v>0.38173606571763619</v>
      </c>
      <c r="H25" s="50">
        <v>0.38534694138798203</v>
      </c>
      <c r="I25" s="53">
        <v>0.29735740558917589</v>
      </c>
      <c r="J25" s="50">
        <v>8.9430430214423609E-2</v>
      </c>
      <c r="K25" s="53">
        <v>0.43888754471005742</v>
      </c>
      <c r="L25" s="50">
        <v>0.25668196245911118</v>
      </c>
      <c r="M25" s="53">
        <v>0.48659653346596199</v>
      </c>
    </row>
    <row r="26" spans="1:13" ht="15.75" thickBot="1" x14ac:dyDescent="0.3">
      <c r="B26" s="49">
        <v>33</v>
      </c>
      <c r="C26" s="53">
        <v>0.19728924886859073</v>
      </c>
      <c r="D26" s="50">
        <v>0.18774752664862557</v>
      </c>
      <c r="E26" s="53">
        <v>0.93175358979634004</v>
      </c>
      <c r="F26" s="50">
        <v>0.35275219502825739</v>
      </c>
      <c r="G26" s="53">
        <v>0.41001906571303998</v>
      </c>
      <c r="H26" s="50">
        <v>0.25890097035805321</v>
      </c>
      <c r="I26" s="53">
        <v>0.21834758616174157</v>
      </c>
      <c r="J26" s="50">
        <v>5.6851330171674E-2</v>
      </c>
      <c r="K26" s="53">
        <v>0.4767376110744499</v>
      </c>
      <c r="L26" s="50">
        <v>0.22197707400449748</v>
      </c>
      <c r="M26" s="53">
        <v>0.19478831973307376</v>
      </c>
    </row>
    <row r="27" spans="1:13" ht="15.75" thickBot="1" x14ac:dyDescent="0.3">
      <c r="B27" s="49">
        <v>34</v>
      </c>
      <c r="C27" s="53">
        <v>0.10608831647940203</v>
      </c>
      <c r="D27" s="50">
        <v>0.14035534568046981</v>
      </c>
      <c r="E27" s="53">
        <v>9.6776611694656248E-2</v>
      </c>
      <c r="F27" s="50">
        <v>0.15779742049789733</v>
      </c>
      <c r="G27" s="53">
        <v>0.19043509078466861</v>
      </c>
      <c r="H27" s="50">
        <v>0.32777904179655093</v>
      </c>
      <c r="I27" s="53">
        <v>0</v>
      </c>
      <c r="J27" s="50">
        <v>5.1218048395847697E-2</v>
      </c>
      <c r="K27" s="53">
        <v>0.11307924333115169</v>
      </c>
      <c r="L27" s="50">
        <v>0.18728282853665851</v>
      </c>
      <c r="M27" s="53">
        <v>0.23645363336162711</v>
      </c>
    </row>
    <row r="28" spans="1:13" ht="15.75" thickBot="1" x14ac:dyDescent="0.3">
      <c r="B28" s="49">
        <v>35</v>
      </c>
      <c r="C28" s="53">
        <v>8.0592073446782486E-2</v>
      </c>
      <c r="D28" s="50">
        <v>4.335731195516504E-2</v>
      </c>
      <c r="E28" s="53">
        <v>0.14693820076618433</v>
      </c>
      <c r="F28" s="50">
        <v>0.14162417961513102</v>
      </c>
      <c r="G28" s="53">
        <v>0.24821919032846149</v>
      </c>
      <c r="H28" s="50">
        <v>0.20382188653161887</v>
      </c>
      <c r="I28" s="53">
        <v>0</v>
      </c>
      <c r="J28" s="50">
        <v>0.14801054102234854</v>
      </c>
      <c r="K28" s="53">
        <v>0.14979964776149127</v>
      </c>
      <c r="L28" s="50">
        <v>0.1439366748784412</v>
      </c>
      <c r="M28" s="53">
        <v>0</v>
      </c>
    </row>
    <row r="29" spans="1:13" ht="15.75" thickBot="1" x14ac:dyDescent="0.3">
      <c r="B29" s="49">
        <v>36</v>
      </c>
      <c r="C29" s="53">
        <v>0</v>
      </c>
      <c r="D29" s="52">
        <v>5.1723037505435936E-2</v>
      </c>
      <c r="E29" s="53">
        <v>0</v>
      </c>
      <c r="F29" s="52">
        <v>8.3553176158545545E-2</v>
      </c>
      <c r="G29" s="53">
        <v>0</v>
      </c>
      <c r="H29" s="52">
        <v>0</v>
      </c>
      <c r="I29" s="53">
        <v>0</v>
      </c>
      <c r="J29" s="52">
        <v>0</v>
      </c>
      <c r="K29" s="53">
        <v>0</v>
      </c>
      <c r="L29" s="52">
        <v>3.5916385208361226E-2</v>
      </c>
      <c r="M29" s="51" t="s">
        <v>285</v>
      </c>
    </row>
    <row r="30" spans="1:13" ht="15.75" thickBot="1" x14ac:dyDescent="0.3">
      <c r="B30" s="49">
        <v>37</v>
      </c>
      <c r="C30" s="74">
        <v>9.3092550513623362E-2</v>
      </c>
      <c r="D30" s="53">
        <v>0</v>
      </c>
      <c r="E30" s="53">
        <v>0</v>
      </c>
      <c r="F30" s="53">
        <v>5.0416000000000002E-2</v>
      </c>
      <c r="G30" s="53">
        <v>0</v>
      </c>
      <c r="H30" s="53">
        <v>2.7E-2</v>
      </c>
      <c r="I30" s="53">
        <v>0</v>
      </c>
      <c r="J30" s="53">
        <v>0</v>
      </c>
      <c r="K30" s="53">
        <v>1.8653220188019428E-2</v>
      </c>
      <c r="L30" s="53">
        <v>2.1445116279069771E-2</v>
      </c>
      <c r="M30" s="51" t="s">
        <v>285</v>
      </c>
    </row>
    <row r="31" spans="1:13" ht="15.75" thickBot="1" x14ac:dyDescent="0.3"/>
    <row r="32" spans="1:13" x14ac:dyDescent="0.25">
      <c r="A32" t="s">
        <v>50</v>
      </c>
      <c r="B32" s="4"/>
      <c r="C32" s="80" t="s">
        <v>25</v>
      </c>
      <c r="D32" s="99"/>
      <c r="E32" s="81"/>
      <c r="F32" s="15"/>
      <c r="G32" s="80" t="s">
        <v>28</v>
      </c>
      <c r="H32" s="99"/>
      <c r="I32" s="81"/>
    </row>
    <row r="33" spans="1:13" ht="38.25" x14ac:dyDescent="0.25">
      <c r="B33" s="5"/>
      <c r="C33" s="82" t="s">
        <v>26</v>
      </c>
      <c r="D33" s="100"/>
      <c r="E33" s="83"/>
      <c r="F33" s="14" t="s">
        <v>27</v>
      </c>
      <c r="G33" s="82"/>
      <c r="H33" s="101"/>
      <c r="I33" s="83"/>
    </row>
    <row r="34" spans="1:13" ht="15.75" thickBot="1" x14ac:dyDescent="0.3">
      <c r="B34" s="5"/>
      <c r="C34" s="86"/>
      <c r="D34" s="94"/>
      <c r="E34" s="87"/>
      <c r="F34" s="22"/>
      <c r="G34" s="84"/>
      <c r="H34" s="102"/>
      <c r="I34" s="85"/>
    </row>
    <row r="35" spans="1:13" x14ac:dyDescent="0.25">
      <c r="B35" s="5" t="s">
        <v>10</v>
      </c>
      <c r="C35" s="76" t="s">
        <v>15</v>
      </c>
      <c r="D35" s="76" t="s">
        <v>16</v>
      </c>
      <c r="E35" s="103" t="s">
        <v>29</v>
      </c>
      <c r="F35" s="22"/>
      <c r="G35" s="105" t="s">
        <v>30</v>
      </c>
      <c r="H35" s="105" t="s">
        <v>31</v>
      </c>
      <c r="I35" s="27" t="s">
        <v>20</v>
      </c>
    </row>
    <row r="36" spans="1:13" ht="15.75" thickBot="1" x14ac:dyDescent="0.3">
      <c r="B36" s="6"/>
      <c r="C36" s="77"/>
      <c r="D36" s="77"/>
      <c r="E36" s="104"/>
      <c r="F36" s="13"/>
      <c r="G36" s="106"/>
      <c r="H36" s="106"/>
      <c r="I36" s="28" t="s">
        <v>32</v>
      </c>
    </row>
    <row r="37" spans="1:13" ht="26.25" thickBot="1" x14ac:dyDescent="0.3">
      <c r="B37" s="11" t="s">
        <v>56</v>
      </c>
      <c r="C37" s="59">
        <f>'Total Number Of Ind'!H7</f>
        <v>179</v>
      </c>
      <c r="D37" s="59">
        <f>'Total Number Of Ind'!I7</f>
        <v>15</v>
      </c>
      <c r="E37" s="59">
        <f>C37+D37</f>
        <v>194</v>
      </c>
      <c r="F37" s="59">
        <v>9</v>
      </c>
      <c r="G37" s="26">
        <f>C37/F37</f>
        <v>19.888888888888889</v>
      </c>
      <c r="H37" s="26">
        <f>D37/F37</f>
        <v>1.6666666666666667</v>
      </c>
      <c r="I37" s="26">
        <f>E37/F37</f>
        <v>21.555555555555557</v>
      </c>
    </row>
    <row r="38" spans="1:13" ht="26.25" thickBot="1" x14ac:dyDescent="0.3">
      <c r="B38" s="11" t="s">
        <v>57</v>
      </c>
      <c r="C38" s="59">
        <f>'Total Number Of Ind'!H6</f>
        <v>71</v>
      </c>
      <c r="D38" s="59">
        <f>'Total Number Of Ind'!I6</f>
        <v>33</v>
      </c>
      <c r="E38" s="59">
        <f t="shared" ref="E38:E40" si="7">C38+D38</f>
        <v>104</v>
      </c>
      <c r="F38" s="59">
        <v>10</v>
      </c>
      <c r="G38" s="26">
        <f t="shared" ref="G38:G43" si="8">C38/F38</f>
        <v>7.1</v>
      </c>
      <c r="H38" s="26">
        <f t="shared" ref="H38:H41" si="9">D38/F38</f>
        <v>3.3</v>
      </c>
      <c r="I38" s="26">
        <f t="shared" ref="I38:I43" si="10">E38/F38</f>
        <v>10.4</v>
      </c>
    </row>
    <row r="39" spans="1:13" ht="26.25" thickBot="1" x14ac:dyDescent="0.3">
      <c r="B39" s="11" t="s">
        <v>59</v>
      </c>
      <c r="C39" s="59">
        <f>'Total Number Of Ind'!H8</f>
        <v>15</v>
      </c>
      <c r="D39" s="59">
        <f>'Total Number Of Ind'!I8</f>
        <v>17</v>
      </c>
      <c r="E39" s="59">
        <f t="shared" si="7"/>
        <v>32</v>
      </c>
      <c r="F39" s="59">
        <v>15</v>
      </c>
      <c r="G39" s="26">
        <f t="shared" si="8"/>
        <v>1</v>
      </c>
      <c r="H39" s="26">
        <f>D39/F39</f>
        <v>1.1333333333333333</v>
      </c>
      <c r="I39" s="26">
        <f t="shared" si="10"/>
        <v>2.1333333333333333</v>
      </c>
    </row>
    <row r="40" spans="1:13" ht="26.25" thickBot="1" x14ac:dyDescent="0.3">
      <c r="B40" s="11" t="s">
        <v>58</v>
      </c>
      <c r="C40" s="59">
        <f>'Total Number Of Ind'!H9</f>
        <v>4</v>
      </c>
      <c r="D40" s="59">
        <f>'Total Number Of Ind'!I9</f>
        <v>9</v>
      </c>
      <c r="E40" s="59">
        <f t="shared" si="7"/>
        <v>13</v>
      </c>
      <c r="F40" s="59">
        <v>9</v>
      </c>
      <c r="G40" s="26">
        <f t="shared" si="8"/>
        <v>0.44444444444444442</v>
      </c>
      <c r="H40" s="26">
        <f t="shared" si="9"/>
        <v>1</v>
      </c>
      <c r="I40" s="26">
        <f t="shared" si="10"/>
        <v>1.4444444444444444</v>
      </c>
    </row>
    <row r="41" spans="1:13" ht="26.25" thickBot="1" x14ac:dyDescent="0.3">
      <c r="B41" s="11" t="s">
        <v>22</v>
      </c>
      <c r="C41" s="59">
        <f>SUM(C37:C40)</f>
        <v>269</v>
      </c>
      <c r="D41" s="59">
        <f>SUM(D37:D40)</f>
        <v>74</v>
      </c>
      <c r="E41" s="59">
        <f>SUM(E37:E40)</f>
        <v>343</v>
      </c>
      <c r="F41" s="59">
        <v>43</v>
      </c>
      <c r="G41" s="26">
        <f t="shared" si="8"/>
        <v>6.2558139534883717</v>
      </c>
      <c r="H41" s="26">
        <f t="shared" si="9"/>
        <v>1.7209302325581395</v>
      </c>
      <c r="I41" s="26">
        <f>E41/F41</f>
        <v>7.9767441860465116</v>
      </c>
    </row>
    <row r="42" spans="1:13" ht="15.75" thickBot="1" x14ac:dyDescent="0.3">
      <c r="B42" s="11"/>
      <c r="C42" s="59"/>
      <c r="D42" s="59"/>
      <c r="E42" s="59"/>
      <c r="F42" s="59"/>
      <c r="G42" s="26"/>
      <c r="H42" s="26"/>
      <c r="I42" s="26"/>
    </row>
    <row r="43" spans="1:13" ht="15.75" thickBot="1" x14ac:dyDescent="0.3">
      <c r="B43" s="11" t="s">
        <v>9</v>
      </c>
      <c r="C43" s="59" t="e">
        <f>'Total Number Of Ind'!H5</f>
        <v>#REF!</v>
      </c>
      <c r="D43" s="59" t="e">
        <f>'Total Number Of Ind'!I5</f>
        <v>#REF!</v>
      </c>
      <c r="E43" s="59" t="e">
        <f>C43+D43</f>
        <v>#REF!</v>
      </c>
      <c r="F43" s="59">
        <v>0</v>
      </c>
      <c r="G43" s="26" t="e">
        <f t="shared" si="8"/>
        <v>#REF!</v>
      </c>
      <c r="H43" s="26" t="e">
        <f>D43/F43</f>
        <v>#REF!</v>
      </c>
      <c r="I43" s="26" t="e">
        <f t="shared" si="10"/>
        <v>#REF!</v>
      </c>
    </row>
    <row r="44" spans="1:13" ht="15.75" thickBot="1" x14ac:dyDescent="0.3"/>
    <row r="45" spans="1:13" x14ac:dyDescent="0.25">
      <c r="A45" t="s">
        <v>51</v>
      </c>
      <c r="B45" s="16"/>
      <c r="C45" s="95" t="s">
        <v>56</v>
      </c>
      <c r="D45" s="96"/>
      <c r="E45" s="95" t="s">
        <v>57</v>
      </c>
      <c r="F45" s="96"/>
      <c r="G45" s="95" t="s">
        <v>59</v>
      </c>
      <c r="H45" s="96"/>
      <c r="I45" s="95" t="s">
        <v>58</v>
      </c>
      <c r="J45" s="96"/>
      <c r="K45" s="95" t="s">
        <v>22</v>
      </c>
      <c r="L45" s="96"/>
      <c r="M45" s="19"/>
    </row>
    <row r="46" spans="1:13" ht="15.75" thickBot="1" x14ac:dyDescent="0.3">
      <c r="B46" s="17"/>
      <c r="C46" s="97"/>
      <c r="D46" s="98"/>
      <c r="E46" s="97"/>
      <c r="F46" s="98"/>
      <c r="G46" s="97"/>
      <c r="H46" s="98"/>
      <c r="I46" s="97"/>
      <c r="J46" s="98"/>
      <c r="K46" s="97"/>
      <c r="L46" s="98"/>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5">
        <v>2.292134831460674</v>
      </c>
      <c r="E48" s="30">
        <v>1.9</v>
      </c>
      <c r="F48" s="55">
        <v>8.3775510204081627</v>
      </c>
      <c r="G48" s="30">
        <v>1.8</v>
      </c>
      <c r="H48" s="55">
        <v>10.858156028368795</v>
      </c>
      <c r="I48" s="30">
        <v>0.66666666666666663</v>
      </c>
      <c r="J48" s="55">
        <v>1.1395348837209303</v>
      </c>
      <c r="K48" s="30">
        <v>1.3953488372093024</v>
      </c>
      <c r="L48" s="55">
        <v>6.4106280193236715</v>
      </c>
      <c r="M48" s="30">
        <v>3.0526315789473686</v>
      </c>
    </row>
    <row r="49" spans="1:14" ht="15.75" thickBot="1" x14ac:dyDescent="0.3">
      <c r="B49" s="18">
        <v>25</v>
      </c>
      <c r="C49" s="30">
        <v>2.7777777777777777</v>
      </c>
      <c r="D49" s="55">
        <v>8.0113636363636367</v>
      </c>
      <c r="E49" s="30">
        <v>13</v>
      </c>
      <c r="F49" s="55">
        <v>21.408163265306122</v>
      </c>
      <c r="G49" s="30">
        <v>9.1999999999999993</v>
      </c>
      <c r="H49" s="55">
        <v>26.169014084507044</v>
      </c>
      <c r="I49" s="30">
        <v>2.7777777777777777</v>
      </c>
      <c r="J49" s="55">
        <v>3.6829268292682928</v>
      </c>
      <c r="K49" s="30">
        <v>7.3953488372093021</v>
      </c>
      <c r="L49" s="55">
        <v>16.636585365853659</v>
      </c>
      <c r="M49" s="26">
        <v>18.162162162162161</v>
      </c>
    </row>
    <row r="50" spans="1:14" ht="15.75" thickBot="1" x14ac:dyDescent="0.3">
      <c r="B50" s="18">
        <v>26</v>
      </c>
      <c r="C50" s="30">
        <v>5.4444444444444446</v>
      </c>
      <c r="D50" s="55">
        <v>13.833333333333334</v>
      </c>
      <c r="E50" s="30">
        <v>19.8</v>
      </c>
      <c r="F50" s="55">
        <v>40.03092783505155</v>
      </c>
      <c r="G50" s="30">
        <v>26.333333333333332</v>
      </c>
      <c r="H50" s="55">
        <v>37.070921985815602</v>
      </c>
      <c r="I50" s="30">
        <v>5.7777777777777777</v>
      </c>
      <c r="J50" s="55">
        <v>6.375</v>
      </c>
      <c r="K50" s="30">
        <v>16.13953488372093</v>
      </c>
      <c r="L50" s="55">
        <v>26.240384615384617</v>
      </c>
      <c r="M50" s="26">
        <v>21.486486486486488</v>
      </c>
    </row>
    <row r="51" spans="1:14" ht="15.75" thickBot="1" x14ac:dyDescent="0.3">
      <c r="B51" s="18">
        <v>27</v>
      </c>
      <c r="C51" s="30">
        <v>13</v>
      </c>
      <c r="D51" s="55">
        <v>29.192307692307693</v>
      </c>
      <c r="E51" s="30">
        <v>26.3</v>
      </c>
      <c r="F51" s="55">
        <v>67.744897959183675</v>
      </c>
      <c r="G51" s="30">
        <v>52.384615384615387</v>
      </c>
      <c r="H51" s="55">
        <v>44.028571428571432</v>
      </c>
      <c r="I51" s="30">
        <v>5.5</v>
      </c>
      <c r="J51" s="55">
        <v>11.838709677419354</v>
      </c>
      <c r="K51" s="30">
        <v>31.529411764705884</v>
      </c>
      <c r="L51" s="55">
        <v>41.835978835978835</v>
      </c>
      <c r="M51" s="30">
        <v>21.1875</v>
      </c>
    </row>
    <row r="52" spans="1:14" ht="15.75" thickBot="1" x14ac:dyDescent="0.3">
      <c r="B52" s="18">
        <v>28</v>
      </c>
      <c r="C52" s="30">
        <v>49.444444444444443</v>
      </c>
      <c r="D52" s="55">
        <v>46.666666666666664</v>
      </c>
      <c r="E52" s="30">
        <v>66.7</v>
      </c>
      <c r="F52" s="55">
        <v>88.755102040816325</v>
      </c>
      <c r="G52" s="30">
        <v>47.4</v>
      </c>
      <c r="H52" s="55">
        <v>74.492857142857147</v>
      </c>
      <c r="I52" s="30">
        <v>14.777777777777779</v>
      </c>
      <c r="J52" s="55">
        <v>12.965909090909092</v>
      </c>
      <c r="K52" s="30">
        <v>45.488372093023258</v>
      </c>
      <c r="L52" s="55">
        <v>58.817307692307693</v>
      </c>
      <c r="M52" s="30">
        <v>33.756756756756758</v>
      </c>
    </row>
    <row r="53" spans="1:14" ht="15.75" thickBot="1" x14ac:dyDescent="0.3">
      <c r="B53" s="18">
        <v>29</v>
      </c>
      <c r="C53" s="30">
        <v>44.888888888888886</v>
      </c>
      <c r="D53" s="55">
        <v>55.359550561797754</v>
      </c>
      <c r="E53" s="30">
        <v>68.8</v>
      </c>
      <c r="F53" s="55">
        <v>85.717171717171723</v>
      </c>
      <c r="G53" s="30">
        <v>23.266666666666666</v>
      </c>
      <c r="H53" s="55">
        <v>74.274647887323937</v>
      </c>
      <c r="I53" s="30">
        <v>17.111111111111111</v>
      </c>
      <c r="J53" s="55">
        <v>22.654761904761905</v>
      </c>
      <c r="K53" s="30">
        <v>37.093023255813954</v>
      </c>
      <c r="L53" s="55">
        <v>62.471014492753625</v>
      </c>
      <c r="M53" s="30">
        <v>26.513513513513512</v>
      </c>
    </row>
    <row r="54" spans="1:14" ht="15.75" thickBot="1" x14ac:dyDescent="0.3">
      <c r="B54" s="18">
        <v>30</v>
      </c>
      <c r="C54" s="30">
        <v>44.555555555555557</v>
      </c>
      <c r="D54" s="55">
        <v>52.640449438202246</v>
      </c>
      <c r="E54" s="30">
        <v>56.6</v>
      </c>
      <c r="F54" s="55">
        <v>128.01010101010101</v>
      </c>
      <c r="G54" s="30">
        <v>53.2</v>
      </c>
      <c r="H54" s="55">
        <v>86.75</v>
      </c>
      <c r="I54" s="30">
        <v>22.111111111111111</v>
      </c>
      <c r="J54" s="55">
        <v>19.646341463414632</v>
      </c>
      <c r="K54" s="30">
        <v>45.674418604651166</v>
      </c>
      <c r="L54" s="55">
        <v>75.887804878048783</v>
      </c>
      <c r="M54" s="30">
        <v>35.675675675675677</v>
      </c>
    </row>
    <row r="55" spans="1:14" ht="15.75" thickBot="1" x14ac:dyDescent="0.3">
      <c r="B55" s="18">
        <v>31</v>
      </c>
      <c r="C55" s="30">
        <v>47.444444444444443</v>
      </c>
      <c r="D55" s="55">
        <v>49.121951219512198</v>
      </c>
      <c r="E55" s="30">
        <v>59</v>
      </c>
      <c r="F55" s="55">
        <v>102.62626262626263</v>
      </c>
      <c r="G55" s="30">
        <v>58.466666666666669</v>
      </c>
      <c r="H55" s="55">
        <v>58.826086956521742</v>
      </c>
      <c r="I55" s="30">
        <v>37</v>
      </c>
      <c r="J55" s="55">
        <v>16.310810810810811</v>
      </c>
      <c r="K55" s="30">
        <v>51.790697674418603</v>
      </c>
      <c r="L55" s="55">
        <v>59.829516539440206</v>
      </c>
      <c r="M55" s="30">
        <v>39.702702702702702</v>
      </c>
    </row>
    <row r="56" spans="1:14" ht="15.75" thickBot="1" x14ac:dyDescent="0.3">
      <c r="B56" s="18">
        <v>32</v>
      </c>
      <c r="C56" s="30">
        <v>53.111111111111114</v>
      </c>
      <c r="D56" s="55">
        <v>41.302325581395351</v>
      </c>
      <c r="E56" s="30">
        <v>95.5</v>
      </c>
      <c r="F56" s="55">
        <v>68.141414141414145</v>
      </c>
      <c r="G56" s="30">
        <v>39.333333333333336</v>
      </c>
      <c r="H56" s="55">
        <v>55.255319148936174</v>
      </c>
      <c r="I56" s="30">
        <v>23.222222222222221</v>
      </c>
      <c r="J56" s="55">
        <v>14.867469879518072</v>
      </c>
      <c r="K56" s="30">
        <v>51.906976744186046</v>
      </c>
      <c r="L56" s="55">
        <v>47.244498777506109</v>
      </c>
      <c r="M56" s="30">
        <v>46.5</v>
      </c>
    </row>
    <row r="57" spans="1:14" ht="15.75" thickBot="1" x14ac:dyDescent="0.3">
      <c r="B57" s="18">
        <v>33</v>
      </c>
      <c r="C57" s="30">
        <v>46.444444444444443</v>
      </c>
      <c r="D57" s="55">
        <v>24.864197530864196</v>
      </c>
      <c r="E57" s="30">
        <v>94.1</v>
      </c>
      <c r="F57" s="55">
        <v>49.241758241758241</v>
      </c>
      <c r="G57" s="30">
        <v>32.666666666666664</v>
      </c>
      <c r="H57" s="69">
        <v>33.930769230769229</v>
      </c>
      <c r="I57" s="30">
        <v>13</v>
      </c>
      <c r="J57" s="55">
        <v>8.8518518518518512</v>
      </c>
      <c r="K57" s="30">
        <v>45.720930232558139</v>
      </c>
      <c r="L57" s="55">
        <v>30.347258485639685</v>
      </c>
      <c r="M57" s="30">
        <v>29.486486486486488</v>
      </c>
    </row>
    <row r="58" spans="1:14" ht="15.75" thickBot="1" x14ac:dyDescent="0.3">
      <c r="B58" s="18">
        <v>34</v>
      </c>
      <c r="C58" s="30">
        <v>15</v>
      </c>
      <c r="D58" s="55">
        <v>19.594936708860761</v>
      </c>
      <c r="E58" s="30">
        <v>10.555555555555555</v>
      </c>
      <c r="F58" s="69">
        <v>43.344444444444441</v>
      </c>
      <c r="G58" s="26">
        <v>11.533333333333333</v>
      </c>
      <c r="H58" s="69">
        <v>27.08</v>
      </c>
      <c r="I58" s="30">
        <v>9.8888888888888893</v>
      </c>
      <c r="J58" s="69">
        <v>6.5540540540540544</v>
      </c>
      <c r="K58" s="30">
        <v>11.714285714285714</v>
      </c>
      <c r="L58" s="69">
        <v>25.323369565217391</v>
      </c>
      <c r="M58" s="30">
        <v>16.756756756756758</v>
      </c>
    </row>
    <row r="59" spans="1:14" ht="15.75" thickBot="1" x14ac:dyDescent="0.3">
      <c r="B59" s="18">
        <v>35</v>
      </c>
      <c r="C59" s="70">
        <v>14.888888888888889</v>
      </c>
      <c r="D59" s="71">
        <v>8.0897435897435894</v>
      </c>
      <c r="E59" s="72">
        <v>15.6</v>
      </c>
      <c r="F59" s="71">
        <v>20.795454545454547</v>
      </c>
      <c r="G59" s="72">
        <v>11.466666666666667</v>
      </c>
      <c r="H59" s="71">
        <v>13.563492063492063</v>
      </c>
      <c r="I59" s="72">
        <v>2.7777777777777777</v>
      </c>
      <c r="J59" s="71">
        <v>3.9333333333333331</v>
      </c>
      <c r="K59" s="72">
        <v>11.325581395348838</v>
      </c>
      <c r="L59" s="71">
        <v>12.166212534059946</v>
      </c>
      <c r="M59" s="73">
        <v>10.351351351351351</v>
      </c>
    </row>
    <row r="60" spans="1:14" ht="15.75" thickBot="1" x14ac:dyDescent="0.3">
      <c r="B60" s="18">
        <v>36</v>
      </c>
      <c r="C60" s="30">
        <v>19.444444444444443</v>
      </c>
      <c r="D60" s="53">
        <v>5.1707317073170733</v>
      </c>
      <c r="E60" s="30">
        <v>25.6</v>
      </c>
      <c r="F60" s="53">
        <v>11.685185185185185</v>
      </c>
      <c r="G60" s="30">
        <v>4.5333333333333332</v>
      </c>
      <c r="H60" s="53">
        <v>5.4933333333333332</v>
      </c>
      <c r="I60" s="30">
        <v>5.2222222222222223</v>
      </c>
      <c r="J60" s="53">
        <v>2.125</v>
      </c>
      <c r="K60" s="30">
        <v>12.697674418604651</v>
      </c>
      <c r="L60" s="53">
        <v>6.5495049504950495</v>
      </c>
      <c r="M60" s="30" t="s">
        <v>285</v>
      </c>
    </row>
    <row r="61" spans="1:14" ht="15.75" thickBot="1" x14ac:dyDescent="0.3">
      <c r="B61" s="18">
        <v>37</v>
      </c>
      <c r="C61" s="30">
        <v>21.555555555555557</v>
      </c>
      <c r="D61" s="56">
        <v>4.3666666666666663</v>
      </c>
      <c r="E61" s="30">
        <v>10.4</v>
      </c>
      <c r="F61" s="56">
        <v>8.0606060606060606</v>
      </c>
      <c r="G61" s="30">
        <v>2.1333333333333333</v>
      </c>
      <c r="H61" s="56">
        <v>5.2553191489361701</v>
      </c>
      <c r="I61" s="30">
        <v>1.4444444444444444</v>
      </c>
      <c r="J61" s="56">
        <v>2.8636363636363638</v>
      </c>
      <c r="K61" s="30">
        <v>7.9767441860465116</v>
      </c>
      <c r="L61" s="56">
        <v>5.3560606060606064</v>
      </c>
      <c r="M61" s="21" t="s">
        <v>285</v>
      </c>
    </row>
    <row r="62" spans="1:14" ht="15.75" thickBot="1" x14ac:dyDescent="0.3"/>
    <row r="63" spans="1:14" x14ac:dyDescent="0.25">
      <c r="A63" t="s">
        <v>52</v>
      </c>
      <c r="B63" s="16"/>
      <c r="C63" s="95" t="s">
        <v>34</v>
      </c>
      <c r="D63" s="107"/>
      <c r="E63" s="96"/>
      <c r="F63" s="95" t="s">
        <v>35</v>
      </c>
      <c r="G63" s="107"/>
      <c r="H63" s="96"/>
      <c r="I63" s="95" t="s">
        <v>33</v>
      </c>
      <c r="J63" s="107"/>
      <c r="K63" s="96"/>
      <c r="L63" s="95" t="s">
        <v>37</v>
      </c>
      <c r="M63" s="107"/>
      <c r="N63" s="96"/>
    </row>
    <row r="64" spans="1:14" x14ac:dyDescent="0.25">
      <c r="B64" s="17"/>
      <c r="C64" s="108"/>
      <c r="D64" s="109"/>
      <c r="E64" s="110"/>
      <c r="F64" s="108"/>
      <c r="G64" s="109"/>
      <c r="H64" s="110"/>
      <c r="I64" s="108" t="s">
        <v>36</v>
      </c>
      <c r="J64" s="112"/>
      <c r="K64" s="110"/>
      <c r="L64" s="108"/>
      <c r="M64" s="109"/>
      <c r="N64" s="110"/>
    </row>
    <row r="65" spans="1:19" ht="15.75" thickBot="1" x14ac:dyDescent="0.3">
      <c r="B65" s="17"/>
      <c r="C65" s="97"/>
      <c r="D65" s="111"/>
      <c r="E65" s="98"/>
      <c r="F65" s="97"/>
      <c r="G65" s="111"/>
      <c r="H65" s="98"/>
      <c r="I65" s="86"/>
      <c r="J65" s="94"/>
      <c r="K65" s="87"/>
      <c r="L65" s="97"/>
      <c r="M65" s="111"/>
      <c r="N65" s="98"/>
    </row>
    <row r="66" spans="1:19" ht="15.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9" ht="24.75" thickBot="1" x14ac:dyDescent="0.3">
      <c r="B67" s="18" t="s">
        <v>56</v>
      </c>
      <c r="C67" s="59">
        <f>'Total Number Ind Examined '!I8</f>
        <v>196</v>
      </c>
      <c r="D67" s="59">
        <f>'Total Number Ind Examined '!J8</f>
        <v>15</v>
      </c>
      <c r="E67" s="59">
        <f>C67+D67</f>
        <v>211</v>
      </c>
      <c r="F67" s="60">
        <f>'Total Number of Pools Examined'!H8</f>
        <v>9</v>
      </c>
      <c r="G67" s="60">
        <f>'Total Number of Pools Examined'!I8</f>
        <v>6</v>
      </c>
      <c r="H67" s="60">
        <f>F67+G67</f>
        <v>15</v>
      </c>
      <c r="I67" s="60">
        <f>'Total Number of WNV + Pools'!G7</f>
        <v>1</v>
      </c>
      <c r="J67" s="60">
        <f>'Total Number of WNV + Pools'!H7</f>
        <v>0</v>
      </c>
      <c r="K67" s="60">
        <f>'Total Number of WNV + Pools'!I7</f>
        <v>1</v>
      </c>
      <c r="L67" s="30">
        <f>ZONEINFRATE!C2</f>
        <v>4.6806310314112309</v>
      </c>
      <c r="M67" s="30">
        <f>ZONEINFRATE!C3</f>
        <v>0</v>
      </c>
      <c r="N67" s="30">
        <v>4.422572090798063</v>
      </c>
      <c r="R67" s="67"/>
      <c r="S67" s="68"/>
    </row>
    <row r="68" spans="1:19" ht="24.75" thickBot="1" x14ac:dyDescent="0.3">
      <c r="B68" s="18" t="s">
        <v>57</v>
      </c>
      <c r="C68" s="59">
        <f>'Total Number Ind Examined '!I7</f>
        <v>99</v>
      </c>
      <c r="D68" s="59">
        <f>'Total Number Ind Examined '!J7</f>
        <v>25</v>
      </c>
      <c r="E68" s="59">
        <f t="shared" ref="E68:E71" si="11">C68+D68</f>
        <v>124</v>
      </c>
      <c r="F68" s="60">
        <f>'Total Number of Pools Examined'!H7</f>
        <v>8</v>
      </c>
      <c r="G68" s="60">
        <f>'Total Number of Pools Examined'!I7</f>
        <v>8</v>
      </c>
      <c r="H68" s="60">
        <f t="shared" ref="H68:H71" si="12">F68+G68</f>
        <v>16</v>
      </c>
      <c r="I68" s="60">
        <f>'Total Number of WNV + Pools'!G8</f>
        <v>0</v>
      </c>
      <c r="J68" s="60">
        <f>'Total Number of WNV + Pools'!H8</f>
        <v>0</v>
      </c>
      <c r="K68" s="60">
        <f>'Total Number of WNV + Pools'!I8</f>
        <v>0</v>
      </c>
      <c r="L68" s="30">
        <f>ZONEINFRATE!C4</f>
        <v>0</v>
      </c>
      <c r="M68" s="30">
        <f>ZONEINFRATE!C5</f>
        <v>0</v>
      </c>
      <c r="N68" s="21">
        <v>0</v>
      </c>
      <c r="S68" s="31"/>
    </row>
    <row r="69" spans="1:19" ht="24.75" thickBot="1" x14ac:dyDescent="0.3">
      <c r="B69" s="18" t="s">
        <v>59</v>
      </c>
      <c r="C69" s="59">
        <f>'Total Number Ind Examined '!I9</f>
        <v>24</v>
      </c>
      <c r="D69" s="59">
        <f>'Total Number Ind Examined '!J9</f>
        <v>17</v>
      </c>
      <c r="E69" s="59">
        <f t="shared" si="11"/>
        <v>41</v>
      </c>
      <c r="F69" s="60">
        <f>'Total Number of Pools Examined'!H9</f>
        <v>6</v>
      </c>
      <c r="G69" s="60">
        <f>'Total Number of Pools Examined'!I9</f>
        <v>9</v>
      </c>
      <c r="H69" s="60">
        <f t="shared" si="12"/>
        <v>15</v>
      </c>
      <c r="I69" s="60">
        <f>'Total Number of WNV + Pools'!G9</f>
        <v>0</v>
      </c>
      <c r="J69" s="60">
        <f>'Total Number of WNV + Pools'!H9</f>
        <v>0</v>
      </c>
      <c r="K69" s="60">
        <f>'Total Number of WNV + Pools'!I9</f>
        <v>0</v>
      </c>
      <c r="L69" s="30">
        <f>ZONEINFRATE!C6</f>
        <v>0</v>
      </c>
      <c r="M69" s="30">
        <f>ZONEINFRATE!C7</f>
        <v>0</v>
      </c>
      <c r="N69" s="21">
        <v>0</v>
      </c>
      <c r="S69" s="31"/>
    </row>
    <row r="70" spans="1:19" ht="24.75" thickBot="1" x14ac:dyDescent="0.3">
      <c r="B70" s="18" t="s">
        <v>58</v>
      </c>
      <c r="C70" s="59">
        <f>'Total Number Ind Examined '!I10</f>
        <v>4</v>
      </c>
      <c r="D70" s="59">
        <f>'Total Number Ind Examined '!J10</f>
        <v>9</v>
      </c>
      <c r="E70" s="59">
        <f t="shared" si="11"/>
        <v>13</v>
      </c>
      <c r="F70" s="60">
        <f>'Total Number of Pools Examined'!H10</f>
        <v>3</v>
      </c>
      <c r="G70" s="60">
        <f>'Total Number of Pools Examined'!I10</f>
        <v>4</v>
      </c>
      <c r="H70" s="60">
        <f t="shared" si="12"/>
        <v>7</v>
      </c>
      <c r="I70" s="60">
        <f>'Total Number of WNV + Pools'!G10</f>
        <v>0</v>
      </c>
      <c r="J70" s="60">
        <f>'Total Number of WNV + Pools'!H10</f>
        <v>0</v>
      </c>
      <c r="K70" s="60">
        <f>'Total Number of WNV + Pools'!I10</f>
        <v>0</v>
      </c>
      <c r="L70" s="30">
        <f>ZONEINFRATE!C8</f>
        <v>0</v>
      </c>
      <c r="M70" s="30">
        <f>ZONEINFRATE!C9</f>
        <v>0</v>
      </c>
      <c r="N70" s="21">
        <v>0</v>
      </c>
      <c r="S70" s="31"/>
    </row>
    <row r="71" spans="1:19" ht="24.75" thickBot="1" x14ac:dyDescent="0.3">
      <c r="B71" s="18" t="s">
        <v>22</v>
      </c>
      <c r="C71" s="59">
        <f>SUM(C67:C70)</f>
        <v>323</v>
      </c>
      <c r="D71" s="59">
        <f>SUM(D67:D70)</f>
        <v>66</v>
      </c>
      <c r="E71" s="59">
        <f t="shared" si="11"/>
        <v>389</v>
      </c>
      <c r="F71" s="60">
        <f t="shared" ref="F71:K71" si="13">SUM(F67:F70)</f>
        <v>26</v>
      </c>
      <c r="G71" s="60">
        <f t="shared" si="13"/>
        <v>27</v>
      </c>
      <c r="H71" s="60">
        <f t="shared" si="12"/>
        <v>53</v>
      </c>
      <c r="I71" s="60">
        <f t="shared" si="13"/>
        <v>1</v>
      </c>
      <c r="J71" s="60">
        <f t="shared" si="13"/>
        <v>0</v>
      </c>
      <c r="K71" s="60">
        <f t="shared" si="13"/>
        <v>1</v>
      </c>
      <c r="L71" s="30">
        <f>CITYINFRATE!C2</f>
        <v>2.9817415170439978</v>
      </c>
      <c r="M71" s="30">
        <f>CITYINFRATE!C3</f>
        <v>0</v>
      </c>
      <c r="N71" s="30">
        <v>2.5144904071243559</v>
      </c>
      <c r="S71" s="31"/>
    </row>
    <row r="72" spans="1:19" ht="15.75" thickBot="1" x14ac:dyDescent="0.3">
      <c r="B72" s="18"/>
      <c r="C72" s="60"/>
      <c r="D72" s="60"/>
      <c r="E72" s="60"/>
      <c r="F72" s="60"/>
      <c r="G72" s="60"/>
      <c r="H72" s="60"/>
      <c r="I72" s="60"/>
      <c r="J72" s="60"/>
      <c r="K72" s="60"/>
      <c r="L72" s="30"/>
      <c r="M72" s="30"/>
      <c r="N72" s="21"/>
    </row>
    <row r="73" spans="1:19" ht="15.75" thickBot="1" x14ac:dyDescent="0.3">
      <c r="B73" s="18" t="s">
        <v>9</v>
      </c>
      <c r="C73" s="60" t="e">
        <f>'Total Number Ind Examined '!I6</f>
        <v>#REF!</v>
      </c>
      <c r="D73" s="60" t="e">
        <f>'Total Number Ind Examined '!J6</f>
        <v>#REF!</v>
      </c>
      <c r="E73" s="60" t="e">
        <f>C73+D73</f>
        <v>#REF!</v>
      </c>
      <c r="F73" s="60" t="e">
        <f>'Total Number of Pools Examined'!H6</f>
        <v>#REF!</v>
      </c>
      <c r="G73" s="60" t="e">
        <f>'Total Number of Pools Examined'!I6</f>
        <v>#REF!</v>
      </c>
      <c r="H73" s="60" t="e">
        <f>F73+G73</f>
        <v>#REF!</v>
      </c>
      <c r="I73" s="60" t="e">
        <f>'Total Number of WNV + Pools'!G11</f>
        <v>#REF!</v>
      </c>
      <c r="J73" s="60" t="e">
        <f>'Total Number of WNV + Pools'!H11</f>
        <v>#REF!</v>
      </c>
      <c r="K73" s="60" t="e">
        <f>I73+J73</f>
        <v>#REF!</v>
      </c>
      <c r="L73" s="30">
        <f>CITYINFRATE!C4</f>
        <v>0</v>
      </c>
      <c r="M73" s="30">
        <f>CITYINFRATE!C5</f>
        <v>0</v>
      </c>
      <c r="N73" s="21" t="s">
        <v>285</v>
      </c>
    </row>
    <row r="74" spans="1:19" ht="15.75" thickBot="1" x14ac:dyDescent="0.3"/>
    <row r="75" spans="1:19" x14ac:dyDescent="0.25">
      <c r="A75" t="s">
        <v>53</v>
      </c>
      <c r="B75" s="16"/>
      <c r="C75" s="95" t="s">
        <v>56</v>
      </c>
      <c r="D75" s="96"/>
      <c r="E75" s="95" t="s">
        <v>57</v>
      </c>
      <c r="F75" s="96"/>
      <c r="G75" s="95" t="s">
        <v>59</v>
      </c>
      <c r="H75" s="96"/>
      <c r="I75" s="95" t="s">
        <v>58</v>
      </c>
      <c r="J75" s="96"/>
      <c r="K75" s="95" t="s">
        <v>22</v>
      </c>
      <c r="L75" s="96"/>
      <c r="M75" s="19"/>
    </row>
    <row r="76" spans="1:19" ht="15.75" thickBot="1" x14ac:dyDescent="0.3">
      <c r="B76" s="17"/>
      <c r="C76" s="97"/>
      <c r="D76" s="98"/>
      <c r="E76" s="97"/>
      <c r="F76" s="98"/>
      <c r="G76" s="97"/>
      <c r="H76" s="98"/>
      <c r="I76" s="97"/>
      <c r="J76" s="98"/>
      <c r="K76" s="97"/>
      <c r="L76" s="98"/>
      <c r="M76" s="20"/>
    </row>
    <row r="77" spans="1:19"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9" ht="15.75" thickBot="1" x14ac:dyDescent="0.3">
      <c r="B78" s="18">
        <v>24</v>
      </c>
      <c r="C78" s="30">
        <v>0</v>
      </c>
      <c r="D78" s="57">
        <v>0</v>
      </c>
      <c r="E78" s="30">
        <v>0</v>
      </c>
      <c r="F78" s="57">
        <v>0</v>
      </c>
      <c r="G78" s="30">
        <v>0</v>
      </c>
      <c r="H78" s="57">
        <v>1.3719280144795569</v>
      </c>
      <c r="I78" s="30">
        <v>0</v>
      </c>
      <c r="J78" s="57">
        <v>0</v>
      </c>
      <c r="K78" s="30">
        <v>0</v>
      </c>
      <c r="L78" s="57">
        <v>0.52437624183763432</v>
      </c>
      <c r="M78" s="30">
        <v>0</v>
      </c>
    </row>
    <row r="79" spans="1:19" ht="15.75" thickBot="1" x14ac:dyDescent="0.3">
      <c r="B79" s="18">
        <v>25</v>
      </c>
      <c r="C79" s="30">
        <v>0</v>
      </c>
      <c r="D79" s="57">
        <v>0</v>
      </c>
      <c r="E79" s="30">
        <v>0</v>
      </c>
      <c r="F79" s="57">
        <v>0.62229589194158752</v>
      </c>
      <c r="G79" s="30">
        <v>0</v>
      </c>
      <c r="H79" s="57">
        <v>0</v>
      </c>
      <c r="I79" s="30">
        <v>0</v>
      </c>
      <c r="J79" s="57">
        <v>0</v>
      </c>
      <c r="K79" s="30">
        <v>0</v>
      </c>
      <c r="L79" s="57">
        <v>8.1974574125068422E-2</v>
      </c>
      <c r="M79" s="30">
        <v>0</v>
      </c>
    </row>
    <row r="80" spans="1:19" ht="15.75" thickBot="1" x14ac:dyDescent="0.3">
      <c r="B80" s="18">
        <v>26</v>
      </c>
      <c r="C80" s="30">
        <v>0</v>
      </c>
      <c r="D80" s="57">
        <v>0</v>
      </c>
      <c r="E80" s="30">
        <v>0</v>
      </c>
      <c r="F80" s="57">
        <v>0.10800000000000001</v>
      </c>
      <c r="G80" s="30">
        <v>0</v>
      </c>
      <c r="H80" s="57">
        <v>0.47173578978376163</v>
      </c>
      <c r="I80" s="30">
        <v>0</v>
      </c>
      <c r="J80" s="57">
        <v>0.4821267020419211</v>
      </c>
      <c r="K80" s="30">
        <v>0</v>
      </c>
      <c r="L80" s="57">
        <v>0.29303564979440011</v>
      </c>
      <c r="M80" s="30">
        <v>2.7088887530027521</v>
      </c>
    </row>
    <row r="81" spans="2:13" ht="15.75" thickBot="1" x14ac:dyDescent="0.3">
      <c r="B81" s="18">
        <v>27</v>
      </c>
      <c r="C81" s="30">
        <v>0</v>
      </c>
      <c r="D81" s="57">
        <v>0</v>
      </c>
      <c r="E81" s="30">
        <v>0</v>
      </c>
      <c r="F81" s="57">
        <v>0.242731298767248</v>
      </c>
      <c r="G81" s="30">
        <v>2.5831798379439577</v>
      </c>
      <c r="H81" s="57">
        <v>0.22275287749498812</v>
      </c>
      <c r="I81" s="30">
        <v>0</v>
      </c>
      <c r="J81" s="57">
        <v>0</v>
      </c>
      <c r="K81" s="30">
        <v>1.3930441060912353</v>
      </c>
      <c r="L81" s="57">
        <v>0.20642105669107452</v>
      </c>
      <c r="M81" s="30">
        <v>5.253913926958397</v>
      </c>
    </row>
    <row r="82" spans="2:13" ht="15.75" thickBot="1" x14ac:dyDescent="0.3">
      <c r="B82" s="18">
        <v>28</v>
      </c>
      <c r="C82" s="30">
        <v>0</v>
      </c>
      <c r="D82" s="57">
        <v>0</v>
      </c>
      <c r="E82" s="30">
        <v>1.2550173028906702</v>
      </c>
      <c r="F82" s="57">
        <v>0.42957398266981961</v>
      </c>
      <c r="G82" s="30">
        <v>0</v>
      </c>
      <c r="H82" s="57">
        <v>0.95691347747366229</v>
      </c>
      <c r="I82" s="30">
        <v>0</v>
      </c>
      <c r="J82" s="57">
        <v>0.43789867201821925</v>
      </c>
      <c r="K82" s="30">
        <v>0.42063272382447098</v>
      </c>
      <c r="L82" s="57">
        <v>0.57474506615093801</v>
      </c>
      <c r="M82" s="30">
        <v>0</v>
      </c>
    </row>
    <row r="83" spans="2:13" ht="15.75" thickBot="1" x14ac:dyDescent="0.3">
      <c r="B83" s="18">
        <v>29</v>
      </c>
      <c r="C83" s="30">
        <v>2.25</v>
      </c>
      <c r="D83" s="57">
        <v>1.6105804838081497</v>
      </c>
      <c r="E83" s="30">
        <v>1.1299999999999999</v>
      </c>
      <c r="F83" s="57">
        <v>1.262830343278448</v>
      </c>
      <c r="G83" s="30">
        <v>1.96</v>
      </c>
      <c r="H83" s="57">
        <v>2.8963178113679904</v>
      </c>
      <c r="I83" s="30">
        <v>0</v>
      </c>
      <c r="J83" s="57">
        <v>1.0510843286062497</v>
      </c>
      <c r="K83" s="30">
        <v>1.24</v>
      </c>
      <c r="L83" s="57">
        <v>1.8838478811158623</v>
      </c>
      <c r="M83" s="30">
        <v>2.58</v>
      </c>
    </row>
    <row r="84" spans="2:13" ht="15.75" thickBot="1" x14ac:dyDescent="0.3">
      <c r="B84" s="18">
        <v>30</v>
      </c>
      <c r="C84" s="30">
        <v>0</v>
      </c>
      <c r="D84" s="57">
        <v>2.7854390744040525</v>
      </c>
      <c r="E84" s="30">
        <v>1.3795919065998117</v>
      </c>
      <c r="F84" s="57">
        <v>1.9366937947529137</v>
      </c>
      <c r="G84" s="30">
        <v>10.672201501723027</v>
      </c>
      <c r="H84" s="57">
        <v>3.8543684383131107</v>
      </c>
      <c r="I84" s="30">
        <v>0</v>
      </c>
      <c r="J84" s="57">
        <v>3.2386939593409148</v>
      </c>
      <c r="K84" s="30">
        <v>4.0993906124663244</v>
      </c>
      <c r="L84" s="57">
        <v>2.8820487602511626</v>
      </c>
      <c r="M84" s="30">
        <v>3.5752112237457085</v>
      </c>
    </row>
    <row r="85" spans="2:13" ht="15.75" thickBot="1" x14ac:dyDescent="0.3">
      <c r="B85" s="18">
        <v>31</v>
      </c>
      <c r="C85" s="30">
        <v>4.7132796252955096</v>
      </c>
      <c r="D85" s="57">
        <v>3.9603406702893964</v>
      </c>
      <c r="E85" s="30">
        <v>7.9668540383837634</v>
      </c>
      <c r="F85" s="57">
        <v>1.6053776120323888</v>
      </c>
      <c r="G85" s="30">
        <v>9.5125684796590129</v>
      </c>
      <c r="H85" s="57">
        <v>4.154607454601873</v>
      </c>
      <c r="I85" s="30">
        <v>6.9970052421996849</v>
      </c>
      <c r="J85" s="57">
        <v>2.9675473140006599</v>
      </c>
      <c r="K85" s="30">
        <v>8.0161294169513901</v>
      </c>
      <c r="L85" s="57">
        <v>2.9621719516231884</v>
      </c>
      <c r="M85" s="30">
        <v>0</v>
      </c>
    </row>
    <row r="86" spans="2:13" ht="15.75" thickBot="1" x14ac:dyDescent="0.3">
      <c r="B86" s="18">
        <v>32</v>
      </c>
      <c r="C86" s="30">
        <v>4.9771514072940457</v>
      </c>
      <c r="D86" s="57">
        <v>4.1280062926574672</v>
      </c>
      <c r="E86" s="30">
        <v>6.3914791859425968</v>
      </c>
      <c r="F86" s="57">
        <v>6.0572949967821703</v>
      </c>
      <c r="G86" s="30">
        <v>13.259092133110377</v>
      </c>
      <c r="H86" s="57">
        <v>7.6336146347042781</v>
      </c>
      <c r="I86" s="30">
        <v>16.699083698897603</v>
      </c>
      <c r="J86" s="57">
        <v>9.5154931734195909</v>
      </c>
      <c r="K86" s="30">
        <v>9.1218525237008734</v>
      </c>
      <c r="L86" s="57">
        <v>5.9712338197476829</v>
      </c>
      <c r="M86" s="30">
        <v>7.3392345990564669</v>
      </c>
    </row>
    <row r="87" spans="2:13" ht="15.75" thickBot="1" x14ac:dyDescent="0.3">
      <c r="B87" s="18">
        <v>33</v>
      </c>
      <c r="C87" s="30">
        <v>4.2555118379284886</v>
      </c>
      <c r="D87" s="57">
        <v>7.8857803782312628</v>
      </c>
      <c r="E87" s="30">
        <v>10.492945717099229</v>
      </c>
      <c r="F87" s="57">
        <v>6.7783680312540708</v>
      </c>
      <c r="G87" s="30">
        <v>13.59978718089471</v>
      </c>
      <c r="H87" s="57">
        <v>9.778127845819796</v>
      </c>
      <c r="I87" s="30">
        <v>22.103100796771056</v>
      </c>
      <c r="J87" s="57">
        <v>3.8412612515831315</v>
      </c>
      <c r="K87" s="30">
        <v>10.81422636564038</v>
      </c>
      <c r="L87" s="57">
        <v>8.0366071063080113</v>
      </c>
      <c r="M87" s="30">
        <v>7.3660025981430497</v>
      </c>
    </row>
    <row r="88" spans="2:13" ht="15.75" thickBot="1" x14ac:dyDescent="0.3">
      <c r="B88" s="18">
        <v>34</v>
      </c>
      <c r="C88" s="30">
        <v>13.048183147866625</v>
      </c>
      <c r="D88" s="57">
        <v>6.9613136599243006</v>
      </c>
      <c r="E88" s="30">
        <v>11.032737481449766</v>
      </c>
      <c r="F88" s="57">
        <v>3.5755338185884478</v>
      </c>
      <c r="G88" s="30">
        <v>17.003241710898227</v>
      </c>
      <c r="H88" s="57">
        <v>11.008235349774395</v>
      </c>
      <c r="I88" s="30">
        <v>0</v>
      </c>
      <c r="J88" s="57">
        <v>11.477528721383241</v>
      </c>
      <c r="K88" s="30">
        <v>12.124782413164489</v>
      </c>
      <c r="L88" s="57">
        <v>7.5178958806054039</v>
      </c>
      <c r="M88" s="30">
        <v>15.919150037896616</v>
      </c>
    </row>
    <row r="89" spans="2:13" ht="15.75" thickBot="1" x14ac:dyDescent="0.3">
      <c r="B89" s="18">
        <v>35</v>
      </c>
      <c r="C89" s="30">
        <v>5.7980119234968388</v>
      </c>
      <c r="D89" s="57">
        <v>10.087990557444293</v>
      </c>
      <c r="E89" s="30">
        <v>9.9950153936944108</v>
      </c>
      <c r="F89" s="57">
        <v>5.5917272417445476</v>
      </c>
      <c r="G89" s="30">
        <v>23.700489689749752</v>
      </c>
      <c r="H89" s="57">
        <v>14.823468552836312</v>
      </c>
      <c r="I89" s="30">
        <v>0</v>
      </c>
      <c r="J89" s="57">
        <v>50.474499280621231</v>
      </c>
      <c r="K89" s="30">
        <v>13.578525545490391</v>
      </c>
      <c r="L89" s="57">
        <v>10.875692299118176</v>
      </c>
      <c r="M89" s="30">
        <v>0</v>
      </c>
    </row>
    <row r="90" spans="2:13" ht="15.75" thickBot="1" x14ac:dyDescent="0.3">
      <c r="B90" s="18">
        <v>36</v>
      </c>
      <c r="C90" s="30">
        <v>0</v>
      </c>
      <c r="D90" s="58">
        <v>21.92</v>
      </c>
      <c r="E90" s="30">
        <v>0</v>
      </c>
      <c r="F90" s="58">
        <v>4.8600000000000003</v>
      </c>
      <c r="G90" s="30">
        <v>0</v>
      </c>
      <c r="H90" s="58">
        <v>0</v>
      </c>
      <c r="I90" s="30">
        <v>0</v>
      </c>
      <c r="J90" s="58">
        <v>0</v>
      </c>
      <c r="K90" s="30">
        <v>0</v>
      </c>
      <c r="L90" s="58">
        <v>3.36</v>
      </c>
      <c r="M90" s="30" t="s">
        <v>285</v>
      </c>
    </row>
    <row r="91" spans="2:13" ht="15.75" thickBot="1" x14ac:dyDescent="0.3">
      <c r="B91" s="18">
        <v>37</v>
      </c>
      <c r="C91" s="30">
        <v>4.422572090798063</v>
      </c>
      <c r="D91" s="56">
        <v>0</v>
      </c>
      <c r="E91" s="30">
        <v>0</v>
      </c>
      <c r="F91" s="56">
        <v>5.04</v>
      </c>
      <c r="G91" s="30">
        <v>0</v>
      </c>
      <c r="H91" s="56">
        <v>3.7</v>
      </c>
      <c r="I91" s="30">
        <v>0</v>
      </c>
      <c r="J91" s="56">
        <v>0</v>
      </c>
      <c r="K91" s="30">
        <v>2.5144904071243559</v>
      </c>
      <c r="L91" s="56">
        <v>3.51</v>
      </c>
      <c r="M91" s="21" t="s">
        <v>285</v>
      </c>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2" workbookViewId="0">
      <selection activeCell="C2" sqref="C2:C54"/>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271</v>
      </c>
    </row>
    <row r="2" spans="1:22" x14ac:dyDescent="0.25">
      <c r="A2" s="39">
        <v>2016</v>
      </c>
      <c r="B2" s="37" t="s">
        <v>105</v>
      </c>
      <c r="C2" s="37">
        <v>19778</v>
      </c>
      <c r="D2" s="37">
        <v>37</v>
      </c>
      <c r="E2" s="38">
        <v>42626</v>
      </c>
      <c r="F2" s="37" t="s">
        <v>106</v>
      </c>
      <c r="G2" s="37" t="s">
        <v>47</v>
      </c>
      <c r="H2" s="37" t="s">
        <v>107</v>
      </c>
      <c r="I2" s="37" t="s">
        <v>63</v>
      </c>
      <c r="J2" s="37" t="s">
        <v>108</v>
      </c>
      <c r="K2" s="37" t="s">
        <v>109</v>
      </c>
      <c r="L2" s="37" t="s">
        <v>5</v>
      </c>
      <c r="M2" s="37" t="s">
        <v>110</v>
      </c>
      <c r="O2" s="37">
        <v>1</v>
      </c>
      <c r="P2" s="37">
        <v>1</v>
      </c>
      <c r="Q2" s="37">
        <v>0</v>
      </c>
      <c r="R2" s="37" t="s">
        <v>260</v>
      </c>
      <c r="T2" s="37" t="s">
        <v>261</v>
      </c>
      <c r="U2" s="37" t="s">
        <v>263</v>
      </c>
      <c r="V2" s="37" t="str">
        <f>LEFT(H2,6)&amp;"-"&amp;LEFT(L2,4)</f>
        <v>FC-037-pipi</v>
      </c>
    </row>
    <row r="3" spans="1:22" x14ac:dyDescent="0.25">
      <c r="A3" s="39">
        <v>2016</v>
      </c>
      <c r="B3" s="37" t="s">
        <v>111</v>
      </c>
      <c r="C3" s="37">
        <v>19779</v>
      </c>
      <c r="D3" s="37">
        <v>37</v>
      </c>
      <c r="E3" s="38">
        <v>42626</v>
      </c>
      <c r="F3" s="37" t="s">
        <v>106</v>
      </c>
      <c r="G3" s="37" t="s">
        <v>47</v>
      </c>
      <c r="H3" s="37" t="s">
        <v>112</v>
      </c>
      <c r="I3" s="37" t="s">
        <v>63</v>
      </c>
      <c r="J3" s="37" t="s">
        <v>108</v>
      </c>
      <c r="K3" s="37" t="s">
        <v>109</v>
      </c>
      <c r="L3" s="37" t="s">
        <v>6</v>
      </c>
      <c r="M3" s="37" t="s">
        <v>110</v>
      </c>
      <c r="O3" s="37">
        <v>3</v>
      </c>
      <c r="P3" s="37">
        <v>3</v>
      </c>
      <c r="Q3" s="37">
        <v>0</v>
      </c>
      <c r="R3" s="37" t="s">
        <v>260</v>
      </c>
      <c r="T3" s="37" t="s">
        <v>262</v>
      </c>
      <c r="U3" s="37" t="s">
        <v>264</v>
      </c>
      <c r="V3" s="37" t="str">
        <f>LEFT(H3,6)&amp;"-"&amp;LEFT(L3,4)</f>
        <v>FC-062-tars</v>
      </c>
    </row>
    <row r="4" spans="1:22" x14ac:dyDescent="0.25">
      <c r="A4" s="39">
        <v>2016</v>
      </c>
      <c r="B4" s="37" t="s">
        <v>113</v>
      </c>
      <c r="C4" s="37">
        <v>19780</v>
      </c>
      <c r="D4" s="37">
        <v>37</v>
      </c>
      <c r="E4" s="38">
        <v>42626</v>
      </c>
      <c r="F4" s="37" t="s">
        <v>106</v>
      </c>
      <c r="G4" s="37" t="s">
        <v>47</v>
      </c>
      <c r="H4" s="37" t="s">
        <v>114</v>
      </c>
      <c r="I4" s="37" t="s">
        <v>62</v>
      </c>
      <c r="J4" s="37" t="s">
        <v>115</v>
      </c>
      <c r="K4" s="37" t="s">
        <v>109</v>
      </c>
      <c r="L4" s="37" t="s">
        <v>5</v>
      </c>
      <c r="M4" s="37" t="s">
        <v>110</v>
      </c>
      <c r="N4" s="37">
        <v>4</v>
      </c>
      <c r="P4" s="37">
        <v>4</v>
      </c>
      <c r="Q4" s="37">
        <v>0</v>
      </c>
      <c r="R4" s="37" t="s">
        <v>260</v>
      </c>
      <c r="T4" s="37" t="s">
        <v>261</v>
      </c>
      <c r="U4" s="37" t="s">
        <v>265</v>
      </c>
      <c r="V4" s="37" t="str">
        <f>LEFT(H4,6)&amp;"-"&amp;LEFT(L4,4)</f>
        <v>FC-029-pipi</v>
      </c>
    </row>
    <row r="5" spans="1:22" x14ac:dyDescent="0.25">
      <c r="A5" s="39">
        <v>2016</v>
      </c>
      <c r="B5" s="37" t="s">
        <v>116</v>
      </c>
      <c r="C5" s="37">
        <v>19781</v>
      </c>
      <c r="D5" s="37">
        <v>37</v>
      </c>
      <c r="E5" s="38">
        <v>42626</v>
      </c>
      <c r="F5" s="37" t="s">
        <v>106</v>
      </c>
      <c r="G5" s="37" t="s">
        <v>47</v>
      </c>
      <c r="H5" s="37" t="s">
        <v>117</v>
      </c>
      <c r="I5" s="37" t="s">
        <v>62</v>
      </c>
      <c r="J5" s="37" t="s">
        <v>108</v>
      </c>
      <c r="K5" s="37" t="s">
        <v>109</v>
      </c>
      <c r="L5" s="37" t="s">
        <v>6</v>
      </c>
      <c r="M5" s="37" t="s">
        <v>110</v>
      </c>
      <c r="O5" s="37">
        <v>2</v>
      </c>
      <c r="P5" s="37">
        <v>2</v>
      </c>
      <c r="Q5" s="37">
        <v>0</v>
      </c>
      <c r="R5" s="37" t="s">
        <v>260</v>
      </c>
      <c r="T5" s="37" t="s">
        <v>262</v>
      </c>
      <c r="U5" s="37" t="s">
        <v>266</v>
      </c>
      <c r="V5" s="37" t="str">
        <f>LEFT(H5,6)&amp;"-"&amp;LEFT(L5,4)</f>
        <v>FC-029-tars</v>
      </c>
    </row>
    <row r="6" spans="1:22" x14ac:dyDescent="0.25">
      <c r="A6" s="39">
        <v>2016</v>
      </c>
      <c r="B6" s="37" t="s">
        <v>118</v>
      </c>
      <c r="C6" s="37">
        <v>19782</v>
      </c>
      <c r="D6" s="37">
        <v>37</v>
      </c>
      <c r="E6" s="38">
        <v>42626</v>
      </c>
      <c r="F6" s="37" t="s">
        <v>106</v>
      </c>
      <c r="G6" s="37" t="s">
        <v>47</v>
      </c>
      <c r="H6" s="37" t="s">
        <v>119</v>
      </c>
      <c r="I6" s="37" t="s">
        <v>63</v>
      </c>
      <c r="J6" s="37" t="s">
        <v>108</v>
      </c>
      <c r="K6" s="37" t="s">
        <v>109</v>
      </c>
      <c r="L6" s="37" t="s">
        <v>5</v>
      </c>
      <c r="M6" s="37" t="s">
        <v>110</v>
      </c>
      <c r="O6" s="37">
        <v>2</v>
      </c>
      <c r="P6" s="37">
        <v>2</v>
      </c>
      <c r="Q6" s="37">
        <v>0</v>
      </c>
      <c r="R6" s="37" t="s">
        <v>260</v>
      </c>
      <c r="T6" s="37" t="s">
        <v>261</v>
      </c>
      <c r="U6" s="37" t="s">
        <v>263</v>
      </c>
      <c r="V6" s="37" t="str">
        <f>LEFT(H6,6)&amp;"-"&amp;LEFT(L6,4)</f>
        <v>FC-093-pipi</v>
      </c>
    </row>
    <row r="7" spans="1:22" x14ac:dyDescent="0.25">
      <c r="A7" s="61">
        <v>2016</v>
      </c>
      <c r="B7" s="36" t="s">
        <v>120</v>
      </c>
      <c r="C7" s="37">
        <v>19783</v>
      </c>
      <c r="D7" s="36">
        <v>37</v>
      </c>
      <c r="E7" s="62">
        <v>42626</v>
      </c>
      <c r="F7" s="36" t="s">
        <v>106</v>
      </c>
      <c r="G7" s="36" t="s">
        <v>47</v>
      </c>
      <c r="H7" s="36" t="s">
        <v>121</v>
      </c>
      <c r="I7" s="36" t="s">
        <v>63</v>
      </c>
      <c r="J7" s="36" t="s">
        <v>108</v>
      </c>
      <c r="K7" s="36" t="s">
        <v>109</v>
      </c>
      <c r="L7" s="36" t="s">
        <v>6</v>
      </c>
      <c r="M7" s="36" t="s">
        <v>110</v>
      </c>
      <c r="N7" s="36"/>
      <c r="O7" s="36">
        <v>1</v>
      </c>
      <c r="P7" s="36">
        <v>1</v>
      </c>
      <c r="Q7" s="36">
        <v>0</v>
      </c>
      <c r="R7" s="36" t="s">
        <v>260</v>
      </c>
      <c r="S7" s="36"/>
      <c r="T7" s="36" t="s">
        <v>262</v>
      </c>
      <c r="U7" s="36" t="s">
        <v>264</v>
      </c>
      <c r="V7" s="36" t="str">
        <f>LEFT(H7,6)&amp;"-"&amp;LEFT(L7,4)</f>
        <v>FC-068-tars</v>
      </c>
    </row>
    <row r="8" spans="1:22" x14ac:dyDescent="0.25">
      <c r="A8" s="61">
        <v>2016</v>
      </c>
      <c r="B8" s="36" t="s">
        <v>122</v>
      </c>
      <c r="C8" s="37">
        <v>19784</v>
      </c>
      <c r="D8" s="36">
        <v>37</v>
      </c>
      <c r="E8" s="62">
        <v>42626</v>
      </c>
      <c r="F8" s="36" t="s">
        <v>106</v>
      </c>
      <c r="G8" s="36" t="s">
        <v>47</v>
      </c>
      <c r="H8" s="36" t="s">
        <v>123</v>
      </c>
      <c r="I8" s="36" t="s">
        <v>63</v>
      </c>
      <c r="J8" s="36" t="s">
        <v>108</v>
      </c>
      <c r="K8" s="36" t="s">
        <v>109</v>
      </c>
      <c r="L8" s="36" t="s">
        <v>6</v>
      </c>
      <c r="M8" s="36" t="s">
        <v>110</v>
      </c>
      <c r="N8" s="36"/>
      <c r="O8" s="36">
        <v>2</v>
      </c>
      <c r="P8" s="36">
        <v>2</v>
      </c>
      <c r="Q8" s="36">
        <v>0</v>
      </c>
      <c r="R8" s="36" t="s">
        <v>260</v>
      </c>
      <c r="S8" s="36"/>
      <c r="T8" s="36" t="s">
        <v>262</v>
      </c>
      <c r="U8" s="36" t="s">
        <v>264</v>
      </c>
      <c r="V8" s="36" t="str">
        <f>LEFT(H8,6)&amp;"-"&amp;LEFT(L8,4)</f>
        <v>FC-071-tars</v>
      </c>
    </row>
    <row r="9" spans="1:22" x14ac:dyDescent="0.25">
      <c r="A9" s="61">
        <v>2016</v>
      </c>
      <c r="B9" s="36" t="s">
        <v>124</v>
      </c>
      <c r="C9" s="37">
        <v>19785</v>
      </c>
      <c r="D9" s="36">
        <v>37</v>
      </c>
      <c r="E9" s="62">
        <v>42626</v>
      </c>
      <c r="F9" s="36" t="s">
        <v>106</v>
      </c>
      <c r="G9" s="36" t="s">
        <v>47</v>
      </c>
      <c r="H9" s="36" t="s">
        <v>125</v>
      </c>
      <c r="I9" s="36" t="s">
        <v>61</v>
      </c>
      <c r="J9" s="36" t="s">
        <v>108</v>
      </c>
      <c r="K9" s="36" t="s">
        <v>109</v>
      </c>
      <c r="L9" s="36" t="s">
        <v>6</v>
      </c>
      <c r="M9" s="36" t="s">
        <v>110</v>
      </c>
      <c r="N9" s="36"/>
      <c r="O9" s="36">
        <v>1</v>
      </c>
      <c r="P9" s="36">
        <v>1</v>
      </c>
      <c r="Q9" s="36">
        <v>0</v>
      </c>
      <c r="R9" s="36" t="s">
        <v>260</v>
      </c>
      <c r="S9" s="36"/>
      <c r="T9" s="36" t="s">
        <v>262</v>
      </c>
      <c r="U9" s="36" t="s">
        <v>267</v>
      </c>
      <c r="V9" s="36" t="str">
        <f>LEFT(H9,6)&amp;"-"&amp;LEFT(L9,4)</f>
        <v>FC-014-tars</v>
      </c>
    </row>
    <row r="10" spans="1:22" x14ac:dyDescent="0.25">
      <c r="A10" s="61">
        <v>2016</v>
      </c>
      <c r="B10" s="36" t="s">
        <v>126</v>
      </c>
      <c r="C10" s="37">
        <v>19786</v>
      </c>
      <c r="D10" s="36">
        <v>37</v>
      </c>
      <c r="E10" s="62">
        <v>42626</v>
      </c>
      <c r="F10" s="36" t="s">
        <v>106</v>
      </c>
      <c r="G10" s="36" t="s">
        <v>47</v>
      </c>
      <c r="H10" s="36" t="s">
        <v>125</v>
      </c>
      <c r="I10" s="36" t="s">
        <v>61</v>
      </c>
      <c r="J10" s="36" t="s">
        <v>108</v>
      </c>
      <c r="K10" s="36" t="s">
        <v>109</v>
      </c>
      <c r="L10" s="36" t="s">
        <v>5</v>
      </c>
      <c r="M10" s="36" t="s">
        <v>110</v>
      </c>
      <c r="N10" s="36"/>
      <c r="O10" s="36">
        <v>3</v>
      </c>
      <c r="P10" s="36">
        <v>3</v>
      </c>
      <c r="Q10" s="36">
        <v>0</v>
      </c>
      <c r="R10" s="36" t="s">
        <v>260</v>
      </c>
      <c r="S10" s="36"/>
      <c r="T10" s="36" t="s">
        <v>261</v>
      </c>
      <c r="U10" s="36" t="s">
        <v>268</v>
      </c>
      <c r="V10" s="36" t="str">
        <f>LEFT(H10,6)&amp;"-"&amp;LEFT(L10,4)</f>
        <v>FC-014-pipi</v>
      </c>
    </row>
    <row r="11" spans="1:22" x14ac:dyDescent="0.25">
      <c r="A11" s="61">
        <v>2016</v>
      </c>
      <c r="B11" s="36" t="s">
        <v>127</v>
      </c>
      <c r="C11" s="37">
        <v>19787</v>
      </c>
      <c r="D11" s="36">
        <v>37</v>
      </c>
      <c r="E11" s="62">
        <v>42626</v>
      </c>
      <c r="F11" s="36" t="s">
        <v>106</v>
      </c>
      <c r="G11" s="36" t="s">
        <v>47</v>
      </c>
      <c r="H11" s="36" t="s">
        <v>128</v>
      </c>
      <c r="I11" s="36" t="s">
        <v>61</v>
      </c>
      <c r="J11" s="36" t="s">
        <v>108</v>
      </c>
      <c r="K11" s="36" t="s">
        <v>109</v>
      </c>
      <c r="L11" s="36" t="s">
        <v>5</v>
      </c>
      <c r="M11" s="36" t="s">
        <v>110</v>
      </c>
      <c r="N11" s="36"/>
      <c r="O11" s="36">
        <v>2</v>
      </c>
      <c r="P11" s="36">
        <v>2</v>
      </c>
      <c r="Q11" s="36">
        <v>0</v>
      </c>
      <c r="R11" s="36" t="s">
        <v>260</v>
      </c>
      <c r="S11" s="36"/>
      <c r="T11" s="36" t="s">
        <v>261</v>
      </c>
      <c r="U11" s="36" t="s">
        <v>268</v>
      </c>
      <c r="V11" s="36" t="str">
        <f>LEFT(H11,6)&amp;"-"&amp;LEFT(L11,4)</f>
        <v>FC-019-pipi</v>
      </c>
    </row>
    <row r="12" spans="1:22" x14ac:dyDescent="0.25">
      <c r="A12" s="61">
        <v>2016</v>
      </c>
      <c r="B12" s="36" t="s">
        <v>129</v>
      </c>
      <c r="C12" s="37">
        <v>19788</v>
      </c>
      <c r="D12" s="36">
        <v>37</v>
      </c>
      <c r="E12" s="62">
        <v>42626</v>
      </c>
      <c r="F12" s="36" t="s">
        <v>106</v>
      </c>
      <c r="G12" s="36" t="s">
        <v>47</v>
      </c>
      <c r="H12" s="36" t="s">
        <v>130</v>
      </c>
      <c r="I12" s="36" t="s">
        <v>61</v>
      </c>
      <c r="J12" s="36" t="s">
        <v>108</v>
      </c>
      <c r="K12" s="36" t="s">
        <v>109</v>
      </c>
      <c r="L12" s="36" t="s">
        <v>6</v>
      </c>
      <c r="M12" s="36" t="s">
        <v>110</v>
      </c>
      <c r="N12" s="36"/>
      <c r="O12" s="36">
        <v>3</v>
      </c>
      <c r="P12" s="36">
        <v>3</v>
      </c>
      <c r="Q12" s="36">
        <v>0</v>
      </c>
      <c r="R12" s="36" t="s">
        <v>260</v>
      </c>
      <c r="S12" s="36"/>
      <c r="T12" s="36" t="s">
        <v>262</v>
      </c>
      <c r="U12" s="36" t="s">
        <v>267</v>
      </c>
      <c r="V12" s="36" t="str">
        <f>LEFT(H12,6)&amp;"-"&amp;LEFT(L12,4)</f>
        <v>FC-067-tars</v>
      </c>
    </row>
    <row r="13" spans="1:22" x14ac:dyDescent="0.25">
      <c r="A13" s="61">
        <v>2016</v>
      </c>
      <c r="B13" s="36" t="s">
        <v>131</v>
      </c>
      <c r="C13" s="37">
        <v>19789</v>
      </c>
      <c r="D13" s="36">
        <v>37</v>
      </c>
      <c r="E13" s="62">
        <v>42626</v>
      </c>
      <c r="F13" s="36" t="s">
        <v>106</v>
      </c>
      <c r="G13" s="36" t="s">
        <v>47</v>
      </c>
      <c r="H13" s="36" t="s">
        <v>132</v>
      </c>
      <c r="I13" s="36" t="s">
        <v>61</v>
      </c>
      <c r="J13" s="36" t="s">
        <v>108</v>
      </c>
      <c r="K13" s="36" t="s">
        <v>109</v>
      </c>
      <c r="L13" s="36" t="s">
        <v>6</v>
      </c>
      <c r="M13" s="36" t="s">
        <v>110</v>
      </c>
      <c r="N13" s="36"/>
      <c r="O13" s="36">
        <v>3</v>
      </c>
      <c r="P13" s="36">
        <v>3</v>
      </c>
      <c r="Q13" s="36">
        <v>0</v>
      </c>
      <c r="R13" s="36" t="s">
        <v>260</v>
      </c>
      <c r="S13" s="36"/>
      <c r="T13" s="36" t="s">
        <v>262</v>
      </c>
      <c r="U13" s="36" t="s">
        <v>267</v>
      </c>
      <c r="V13" s="36" t="str">
        <f>LEFT(H13,6)&amp;"-"&amp;LEFT(L13,4)</f>
        <v>FC-072-tars</v>
      </c>
    </row>
    <row r="14" spans="1:22" x14ac:dyDescent="0.25">
      <c r="A14" s="61">
        <v>2016</v>
      </c>
      <c r="B14" s="36" t="s">
        <v>133</v>
      </c>
      <c r="C14" s="37">
        <v>19790</v>
      </c>
      <c r="D14" s="36">
        <v>37</v>
      </c>
      <c r="E14" s="62">
        <v>42626</v>
      </c>
      <c r="F14" s="36" t="s">
        <v>106</v>
      </c>
      <c r="G14" s="36" t="s">
        <v>47</v>
      </c>
      <c r="H14" s="36" t="s">
        <v>134</v>
      </c>
      <c r="I14" s="36" t="s">
        <v>61</v>
      </c>
      <c r="J14" s="36" t="s">
        <v>115</v>
      </c>
      <c r="K14" s="36" t="s">
        <v>109</v>
      </c>
      <c r="L14" s="36" t="s">
        <v>5</v>
      </c>
      <c r="M14" s="36" t="s">
        <v>110</v>
      </c>
      <c r="N14" s="36">
        <v>1</v>
      </c>
      <c r="O14" s="36"/>
      <c r="P14" s="36">
        <v>1</v>
      </c>
      <c r="Q14" s="36">
        <v>0</v>
      </c>
      <c r="R14" s="36" t="s">
        <v>260</v>
      </c>
      <c r="S14" s="36"/>
      <c r="T14" s="36" t="s">
        <v>261</v>
      </c>
      <c r="U14" s="36" t="s">
        <v>268</v>
      </c>
      <c r="V14" s="36" t="str">
        <f>LEFT(H14,6)&amp;"-"&amp;LEFT(L14,4)</f>
        <v>FC-092-pipi</v>
      </c>
    </row>
    <row r="15" spans="1:22" x14ac:dyDescent="0.25">
      <c r="A15" s="61">
        <v>2016</v>
      </c>
      <c r="B15" s="36" t="s">
        <v>135</v>
      </c>
      <c r="C15" s="37">
        <v>19791</v>
      </c>
      <c r="D15" s="36">
        <v>37</v>
      </c>
      <c r="E15" s="62">
        <v>42626</v>
      </c>
      <c r="F15" s="36" t="s">
        <v>106</v>
      </c>
      <c r="G15" s="36" t="s">
        <v>47</v>
      </c>
      <c r="H15" s="36" t="s">
        <v>136</v>
      </c>
      <c r="I15" s="36" t="s">
        <v>61</v>
      </c>
      <c r="J15" s="36" t="s">
        <v>108</v>
      </c>
      <c r="K15" s="36" t="s">
        <v>109</v>
      </c>
      <c r="L15" s="36" t="s">
        <v>6</v>
      </c>
      <c r="M15" s="36" t="s">
        <v>110</v>
      </c>
      <c r="N15" s="36"/>
      <c r="O15" s="36">
        <v>1</v>
      </c>
      <c r="P15" s="36">
        <v>1</v>
      </c>
      <c r="Q15" s="36">
        <v>0</v>
      </c>
      <c r="R15" s="36" t="s">
        <v>260</v>
      </c>
      <c r="S15" s="36"/>
      <c r="T15" s="36" t="s">
        <v>262</v>
      </c>
      <c r="U15" s="36" t="s">
        <v>267</v>
      </c>
      <c r="V15" s="36" t="str">
        <f>LEFT(H15,6)&amp;"-"&amp;LEFT(L15,4)</f>
        <v>FC-006-tars</v>
      </c>
    </row>
    <row r="16" spans="1:22" x14ac:dyDescent="0.25">
      <c r="A16" s="61">
        <v>2016</v>
      </c>
      <c r="B16" s="36" t="s">
        <v>137</v>
      </c>
      <c r="C16" s="37">
        <v>19792</v>
      </c>
      <c r="D16" s="36">
        <v>37</v>
      </c>
      <c r="E16" s="62">
        <v>42626</v>
      </c>
      <c r="F16" s="36" t="s">
        <v>106</v>
      </c>
      <c r="G16" s="36" t="s">
        <v>47</v>
      </c>
      <c r="H16" s="36" t="s">
        <v>136</v>
      </c>
      <c r="I16" s="36" t="s">
        <v>61</v>
      </c>
      <c r="J16" s="36" t="s">
        <v>108</v>
      </c>
      <c r="K16" s="36" t="s">
        <v>109</v>
      </c>
      <c r="L16" s="36" t="s">
        <v>5</v>
      </c>
      <c r="M16" s="36" t="s">
        <v>110</v>
      </c>
      <c r="N16" s="36"/>
      <c r="O16" s="36">
        <v>7</v>
      </c>
      <c r="P16" s="36">
        <v>7</v>
      </c>
      <c r="Q16" s="36">
        <v>0</v>
      </c>
      <c r="R16" s="36" t="s">
        <v>260</v>
      </c>
      <c r="S16" s="36"/>
      <c r="T16" s="36" t="s">
        <v>261</v>
      </c>
      <c r="U16" s="36" t="s">
        <v>268</v>
      </c>
      <c r="V16" s="36" t="str">
        <f>LEFT(H16,6)&amp;"-"&amp;LEFT(L16,4)</f>
        <v>FC-006-pipi</v>
      </c>
    </row>
    <row r="17" spans="1:22" x14ac:dyDescent="0.25">
      <c r="A17" s="61">
        <v>2016</v>
      </c>
      <c r="B17" s="36" t="s">
        <v>138</v>
      </c>
      <c r="C17" s="37">
        <v>19793</v>
      </c>
      <c r="D17" s="36">
        <v>37</v>
      </c>
      <c r="E17" s="62">
        <v>42626</v>
      </c>
      <c r="F17" s="36" t="s">
        <v>106</v>
      </c>
      <c r="G17" s="36" t="s">
        <v>47</v>
      </c>
      <c r="H17" s="36" t="s">
        <v>139</v>
      </c>
      <c r="I17" s="36" t="s">
        <v>60</v>
      </c>
      <c r="J17" s="36" t="s">
        <v>108</v>
      </c>
      <c r="K17" s="36" t="s">
        <v>109</v>
      </c>
      <c r="L17" s="36" t="s">
        <v>6</v>
      </c>
      <c r="M17" s="36" t="s">
        <v>110</v>
      </c>
      <c r="N17" s="36"/>
      <c r="O17" s="36">
        <v>4</v>
      </c>
      <c r="P17" s="36">
        <v>4</v>
      </c>
      <c r="Q17" s="36">
        <v>0</v>
      </c>
      <c r="R17" s="36" t="s">
        <v>260</v>
      </c>
      <c r="S17" s="36"/>
      <c r="T17" s="36" t="s">
        <v>262</v>
      </c>
      <c r="U17" s="36" t="s">
        <v>269</v>
      </c>
      <c r="V17" s="36" t="str">
        <f>LEFT(H17,6)&amp;"-"&amp;LEFT(L17,4)</f>
        <v>FC-036-tars</v>
      </c>
    </row>
    <row r="18" spans="1:22" x14ac:dyDescent="0.25">
      <c r="A18" s="61">
        <v>2016</v>
      </c>
      <c r="B18" s="36" t="s">
        <v>140</v>
      </c>
      <c r="C18" s="37">
        <v>19794</v>
      </c>
      <c r="D18" s="36">
        <v>37</v>
      </c>
      <c r="E18" s="62">
        <v>42626</v>
      </c>
      <c r="F18" s="36" t="s">
        <v>106</v>
      </c>
      <c r="G18" s="36" t="s">
        <v>47</v>
      </c>
      <c r="H18" s="36" t="s">
        <v>139</v>
      </c>
      <c r="I18" s="36" t="s">
        <v>60</v>
      </c>
      <c r="J18" s="36" t="s">
        <v>108</v>
      </c>
      <c r="K18" s="36" t="s">
        <v>109</v>
      </c>
      <c r="L18" s="36" t="s">
        <v>5</v>
      </c>
      <c r="M18" s="36" t="s">
        <v>110</v>
      </c>
      <c r="N18" s="36"/>
      <c r="O18" s="36">
        <v>4</v>
      </c>
      <c r="P18" s="36">
        <v>4</v>
      </c>
      <c r="Q18" s="36">
        <v>0</v>
      </c>
      <c r="R18" s="36" t="s">
        <v>260</v>
      </c>
      <c r="S18" s="36"/>
      <c r="T18" s="36" t="s">
        <v>261</v>
      </c>
      <c r="U18" s="36" t="s">
        <v>270</v>
      </c>
      <c r="V18" s="36" t="str">
        <f>LEFT(H18,6)&amp;"-"&amp;LEFT(L18,4)</f>
        <v>FC-036-pipi</v>
      </c>
    </row>
    <row r="19" spans="1:22" x14ac:dyDescent="0.25">
      <c r="A19" s="61">
        <v>2016</v>
      </c>
      <c r="B19" s="36" t="s">
        <v>141</v>
      </c>
      <c r="C19" s="37">
        <v>19795</v>
      </c>
      <c r="D19" s="36">
        <v>37</v>
      </c>
      <c r="E19" s="62">
        <v>42626</v>
      </c>
      <c r="F19" s="36" t="s">
        <v>106</v>
      </c>
      <c r="G19" s="36" t="s">
        <v>47</v>
      </c>
      <c r="H19" s="36" t="s">
        <v>142</v>
      </c>
      <c r="I19" s="36" t="s">
        <v>61</v>
      </c>
      <c r="J19" s="36" t="s">
        <v>108</v>
      </c>
      <c r="K19" s="36" t="s">
        <v>109</v>
      </c>
      <c r="L19" s="36" t="s">
        <v>6</v>
      </c>
      <c r="M19" s="36" t="s">
        <v>110</v>
      </c>
      <c r="N19" s="36"/>
      <c r="O19" s="36">
        <v>6</v>
      </c>
      <c r="P19" s="36">
        <v>6</v>
      </c>
      <c r="Q19" s="36">
        <v>0</v>
      </c>
      <c r="R19" s="36" t="s">
        <v>260</v>
      </c>
      <c r="S19" s="36"/>
      <c r="T19" s="36" t="s">
        <v>262</v>
      </c>
      <c r="U19" s="36" t="s">
        <v>267</v>
      </c>
      <c r="V19" s="36" t="str">
        <f>LEFT(H19,6)&amp;"-"&amp;LEFT(L19,4)</f>
        <v>FC-066-tars</v>
      </c>
    </row>
    <row r="20" spans="1:22" x14ac:dyDescent="0.25">
      <c r="A20" s="61">
        <v>2016</v>
      </c>
      <c r="B20" s="36" t="s">
        <v>143</v>
      </c>
      <c r="C20" s="37">
        <v>19796</v>
      </c>
      <c r="D20" s="36">
        <v>37</v>
      </c>
      <c r="E20" s="62">
        <v>42626</v>
      </c>
      <c r="F20" s="36" t="s">
        <v>106</v>
      </c>
      <c r="G20" s="36" t="s">
        <v>47</v>
      </c>
      <c r="H20" s="36" t="s">
        <v>142</v>
      </c>
      <c r="I20" s="36" t="s">
        <v>61</v>
      </c>
      <c r="J20" s="36" t="s">
        <v>108</v>
      </c>
      <c r="K20" s="36" t="s">
        <v>109</v>
      </c>
      <c r="L20" s="36" t="s">
        <v>5</v>
      </c>
      <c r="M20" s="36" t="s">
        <v>110</v>
      </c>
      <c r="N20" s="36"/>
      <c r="O20" s="36">
        <v>55</v>
      </c>
      <c r="P20" s="36">
        <v>55</v>
      </c>
      <c r="Q20" s="36">
        <v>0</v>
      </c>
      <c r="R20" s="36" t="s">
        <v>260</v>
      </c>
      <c r="S20" s="36"/>
      <c r="T20" s="36" t="s">
        <v>261</v>
      </c>
      <c r="U20" s="36" t="s">
        <v>268</v>
      </c>
      <c r="V20" s="36" t="str">
        <f>LEFT(H20,6)&amp;"-"&amp;LEFT(L20,4)</f>
        <v>FC-066-pipi</v>
      </c>
    </row>
    <row r="21" spans="1:22" x14ac:dyDescent="0.25">
      <c r="A21" s="39">
        <v>2016</v>
      </c>
      <c r="B21" s="37" t="s">
        <v>144</v>
      </c>
      <c r="C21" s="37">
        <v>19797</v>
      </c>
      <c r="D21" s="37">
        <v>37</v>
      </c>
      <c r="E21" s="38">
        <v>42626</v>
      </c>
      <c r="F21" s="37" t="s">
        <v>106</v>
      </c>
      <c r="G21" s="37" t="s">
        <v>47</v>
      </c>
      <c r="H21" s="37" t="s">
        <v>145</v>
      </c>
      <c r="I21" s="37" t="s">
        <v>61</v>
      </c>
      <c r="J21" s="37" t="s">
        <v>108</v>
      </c>
      <c r="K21" s="37" t="s">
        <v>109</v>
      </c>
      <c r="L21" s="37" t="s">
        <v>6</v>
      </c>
      <c r="M21" s="37" t="s">
        <v>110</v>
      </c>
      <c r="O21" s="37">
        <v>5</v>
      </c>
      <c r="P21" s="37">
        <v>5</v>
      </c>
      <c r="Q21" s="37">
        <v>0</v>
      </c>
      <c r="R21" s="37" t="s">
        <v>260</v>
      </c>
      <c r="T21" s="37" t="s">
        <v>262</v>
      </c>
      <c r="U21" s="37" t="s">
        <v>267</v>
      </c>
      <c r="V21" s="37" t="str">
        <f>LEFT(H21,6)&amp;"-"&amp;LEFT(L21,4)</f>
        <v>FC-038-tars</v>
      </c>
    </row>
    <row r="22" spans="1:22" x14ac:dyDescent="0.25">
      <c r="A22" s="39">
        <v>2016</v>
      </c>
      <c r="B22" s="37" t="s">
        <v>146</v>
      </c>
      <c r="C22" s="37">
        <v>19798</v>
      </c>
      <c r="D22" s="37">
        <v>37</v>
      </c>
      <c r="E22" s="38">
        <v>42626</v>
      </c>
      <c r="F22" s="37" t="s">
        <v>106</v>
      </c>
      <c r="G22" s="37" t="s">
        <v>47</v>
      </c>
      <c r="H22" s="37" t="s">
        <v>145</v>
      </c>
      <c r="I22" s="37" t="s">
        <v>61</v>
      </c>
      <c r="J22" s="37" t="s">
        <v>108</v>
      </c>
      <c r="K22" s="37" t="s">
        <v>109</v>
      </c>
      <c r="L22" s="37" t="s">
        <v>5</v>
      </c>
      <c r="M22" s="37" t="s">
        <v>110</v>
      </c>
      <c r="O22" s="37">
        <v>6</v>
      </c>
      <c r="P22" s="37">
        <v>6</v>
      </c>
      <c r="Q22" s="37">
        <v>0</v>
      </c>
      <c r="R22" s="37" t="s">
        <v>260</v>
      </c>
      <c r="T22" s="37" t="s">
        <v>261</v>
      </c>
      <c r="U22" s="37" t="s">
        <v>268</v>
      </c>
      <c r="V22" s="37" t="str">
        <f>LEFT(H22,6)&amp;"-"&amp;LEFT(L22,4)</f>
        <v>FC-038-pipi</v>
      </c>
    </row>
    <row r="23" spans="1:22" x14ac:dyDescent="0.25">
      <c r="A23" s="39">
        <v>2016</v>
      </c>
      <c r="B23" s="37" t="s">
        <v>147</v>
      </c>
      <c r="C23" s="37">
        <v>19799</v>
      </c>
      <c r="D23" s="37">
        <v>37</v>
      </c>
      <c r="E23" s="38">
        <v>42626</v>
      </c>
      <c r="F23" s="37" t="s">
        <v>106</v>
      </c>
      <c r="G23" s="37" t="s">
        <v>47</v>
      </c>
      <c r="H23" s="37" t="s">
        <v>148</v>
      </c>
      <c r="I23" s="37" t="s">
        <v>61</v>
      </c>
      <c r="J23" s="37" t="s">
        <v>108</v>
      </c>
      <c r="K23" s="37" t="s">
        <v>109</v>
      </c>
      <c r="L23" s="37" t="s">
        <v>6</v>
      </c>
      <c r="M23" s="37" t="s">
        <v>110</v>
      </c>
      <c r="O23" s="37">
        <v>4</v>
      </c>
      <c r="P23" s="37">
        <v>4</v>
      </c>
      <c r="Q23" s="37">
        <v>0</v>
      </c>
      <c r="R23" s="37" t="s">
        <v>260</v>
      </c>
      <c r="T23" s="37" t="s">
        <v>262</v>
      </c>
      <c r="U23" s="37" t="s">
        <v>267</v>
      </c>
      <c r="V23" s="37" t="str">
        <f>LEFT(H23,6)&amp;"-"&amp;LEFT(L23,4)</f>
        <v>FC-069-tars</v>
      </c>
    </row>
    <row r="24" spans="1:22" x14ac:dyDescent="0.25">
      <c r="A24" s="39">
        <v>2016</v>
      </c>
      <c r="B24" s="37" t="s">
        <v>149</v>
      </c>
      <c r="C24" s="37">
        <v>19800</v>
      </c>
      <c r="D24" s="37">
        <v>37</v>
      </c>
      <c r="E24" s="38">
        <v>42626</v>
      </c>
      <c r="F24" s="37" t="s">
        <v>106</v>
      </c>
      <c r="G24" s="37" t="s">
        <v>47</v>
      </c>
      <c r="H24" s="37" t="s">
        <v>150</v>
      </c>
      <c r="I24" s="37" t="s">
        <v>61</v>
      </c>
      <c r="J24" s="37" t="s">
        <v>108</v>
      </c>
      <c r="K24" s="37" t="s">
        <v>109</v>
      </c>
      <c r="L24" s="37" t="s">
        <v>6</v>
      </c>
      <c r="M24" s="37" t="s">
        <v>110</v>
      </c>
      <c r="O24" s="37">
        <v>2</v>
      </c>
      <c r="P24" s="37">
        <v>2</v>
      </c>
      <c r="Q24" s="37">
        <v>0</v>
      </c>
      <c r="R24" s="37" t="s">
        <v>260</v>
      </c>
      <c r="T24" s="37" t="s">
        <v>262</v>
      </c>
      <c r="U24" s="37" t="s">
        <v>267</v>
      </c>
      <c r="V24" s="37" t="str">
        <f>LEFT(H24,6)&amp;"-"&amp;LEFT(L24,4)</f>
        <v>FC-040-tars</v>
      </c>
    </row>
    <row r="25" spans="1:22" x14ac:dyDescent="0.25">
      <c r="A25" s="39">
        <v>2016</v>
      </c>
      <c r="B25" s="37" t="s">
        <v>151</v>
      </c>
      <c r="C25" s="37">
        <v>19801</v>
      </c>
      <c r="D25" s="37">
        <v>37</v>
      </c>
      <c r="E25" s="38">
        <v>42626</v>
      </c>
      <c r="F25" s="37" t="s">
        <v>106</v>
      </c>
      <c r="G25" s="37" t="s">
        <v>47</v>
      </c>
      <c r="H25" s="37" t="s">
        <v>150</v>
      </c>
      <c r="I25" s="37" t="s">
        <v>61</v>
      </c>
      <c r="J25" s="37" t="s">
        <v>108</v>
      </c>
      <c r="K25" s="37" t="s">
        <v>109</v>
      </c>
      <c r="L25" s="37" t="s">
        <v>5</v>
      </c>
      <c r="M25" s="37" t="s">
        <v>110</v>
      </c>
      <c r="O25" s="37">
        <v>6</v>
      </c>
      <c r="P25" s="37">
        <v>6</v>
      </c>
      <c r="Q25" s="37">
        <v>0</v>
      </c>
      <c r="R25" s="37" t="s">
        <v>260</v>
      </c>
      <c r="T25" s="37" t="s">
        <v>261</v>
      </c>
      <c r="U25" s="37" t="s">
        <v>268</v>
      </c>
      <c r="V25" s="37" t="str">
        <f>LEFT(H25,6)&amp;"-"&amp;LEFT(L25,4)</f>
        <v>FC-040-pipi</v>
      </c>
    </row>
    <row r="26" spans="1:22" x14ac:dyDescent="0.25">
      <c r="A26" s="39">
        <v>2016</v>
      </c>
      <c r="B26" s="37" t="s">
        <v>152</v>
      </c>
      <c r="C26" s="37">
        <v>19802</v>
      </c>
      <c r="D26" s="37">
        <v>37</v>
      </c>
      <c r="E26" s="38">
        <v>42626</v>
      </c>
      <c r="F26" s="37" t="s">
        <v>106</v>
      </c>
      <c r="G26" s="37" t="s">
        <v>47</v>
      </c>
      <c r="H26" s="37" t="s">
        <v>153</v>
      </c>
      <c r="I26" s="37" t="s">
        <v>61</v>
      </c>
      <c r="J26" s="37" t="s">
        <v>115</v>
      </c>
      <c r="K26" s="37" t="s">
        <v>109</v>
      </c>
      <c r="L26" s="37" t="s">
        <v>5</v>
      </c>
      <c r="M26" s="37" t="s">
        <v>110</v>
      </c>
      <c r="N26" s="37">
        <v>19</v>
      </c>
      <c r="P26" s="37">
        <v>19</v>
      </c>
      <c r="Q26" s="37">
        <v>0</v>
      </c>
      <c r="R26" s="37" t="s">
        <v>260</v>
      </c>
      <c r="T26" s="37" t="s">
        <v>261</v>
      </c>
      <c r="U26" s="37" t="s">
        <v>268</v>
      </c>
      <c r="V26" s="37" t="str">
        <f>LEFT(H26,6)&amp;"-"&amp;LEFT(L26,4)</f>
        <v>FC-040-pipi</v>
      </c>
    </row>
    <row r="27" spans="1:22" x14ac:dyDescent="0.25">
      <c r="A27" s="39">
        <v>2016</v>
      </c>
      <c r="B27" s="37" t="s">
        <v>154</v>
      </c>
      <c r="C27" s="37">
        <v>19803</v>
      </c>
      <c r="D27" s="37">
        <v>37</v>
      </c>
      <c r="E27" s="38">
        <v>42627</v>
      </c>
      <c r="F27" s="37" t="s">
        <v>106</v>
      </c>
      <c r="G27" s="37" t="s">
        <v>47</v>
      </c>
      <c r="H27" s="37" t="s">
        <v>155</v>
      </c>
      <c r="I27" s="37" t="s">
        <v>62</v>
      </c>
      <c r="J27" s="37" t="s">
        <v>108</v>
      </c>
      <c r="K27" s="37" t="s">
        <v>109</v>
      </c>
      <c r="L27" s="37" t="s">
        <v>6</v>
      </c>
      <c r="M27" s="37" t="s">
        <v>110</v>
      </c>
      <c r="O27" s="37">
        <v>1</v>
      </c>
      <c r="P27" s="37">
        <v>1</v>
      </c>
      <c r="Q27" s="37">
        <v>0</v>
      </c>
      <c r="R27" s="37" t="s">
        <v>260</v>
      </c>
      <c r="T27" s="37" t="s">
        <v>262</v>
      </c>
      <c r="U27" s="37" t="s">
        <v>266</v>
      </c>
      <c r="V27" s="37" t="str">
        <f>LEFT(H27,6)&amp;"-"&amp;LEFT(L27,4)</f>
        <v>FC-046-tars</v>
      </c>
    </row>
    <row r="28" spans="1:22" x14ac:dyDescent="0.25">
      <c r="A28" s="39">
        <v>2016</v>
      </c>
      <c r="B28" s="37" t="s">
        <v>156</v>
      </c>
      <c r="C28" s="37">
        <v>19804</v>
      </c>
      <c r="D28" s="37">
        <v>37</v>
      </c>
      <c r="E28" s="38">
        <v>42627</v>
      </c>
      <c r="F28" s="37" t="s">
        <v>106</v>
      </c>
      <c r="G28" s="37" t="s">
        <v>47</v>
      </c>
      <c r="H28" s="37" t="s">
        <v>155</v>
      </c>
      <c r="I28" s="37" t="s">
        <v>62</v>
      </c>
      <c r="J28" s="37" t="s">
        <v>108</v>
      </c>
      <c r="K28" s="37" t="s">
        <v>109</v>
      </c>
      <c r="L28" s="37" t="s">
        <v>5</v>
      </c>
      <c r="M28" s="37" t="s">
        <v>110</v>
      </c>
      <c r="O28" s="37">
        <v>1</v>
      </c>
      <c r="P28" s="37">
        <v>1</v>
      </c>
      <c r="Q28" s="37">
        <v>0</v>
      </c>
      <c r="R28" s="37" t="s">
        <v>260</v>
      </c>
      <c r="T28" s="37" t="s">
        <v>261</v>
      </c>
      <c r="U28" s="37" t="s">
        <v>265</v>
      </c>
      <c r="V28" s="37" t="str">
        <f>LEFT(H28,6)&amp;"-"&amp;LEFT(L28,4)</f>
        <v>FC-046-pipi</v>
      </c>
    </row>
    <row r="29" spans="1:22" x14ac:dyDescent="0.25">
      <c r="A29" s="39">
        <v>2016</v>
      </c>
      <c r="B29" s="37" t="s">
        <v>157</v>
      </c>
      <c r="C29" s="37">
        <v>19805</v>
      </c>
      <c r="D29" s="37">
        <v>37</v>
      </c>
      <c r="E29" s="38">
        <v>42627</v>
      </c>
      <c r="F29" s="37" t="s">
        <v>106</v>
      </c>
      <c r="G29" s="37" t="s">
        <v>47</v>
      </c>
      <c r="H29" s="37" t="s">
        <v>158</v>
      </c>
      <c r="I29" s="37" t="s">
        <v>62</v>
      </c>
      <c r="J29" s="37" t="s">
        <v>108</v>
      </c>
      <c r="K29" s="37" t="s">
        <v>109</v>
      </c>
      <c r="L29" s="37" t="s">
        <v>6</v>
      </c>
      <c r="M29" s="37" t="s">
        <v>110</v>
      </c>
      <c r="O29" s="37">
        <v>1</v>
      </c>
      <c r="P29" s="37">
        <v>1</v>
      </c>
      <c r="Q29" s="37">
        <v>0</v>
      </c>
      <c r="R29" s="37" t="s">
        <v>260</v>
      </c>
      <c r="T29" s="37" t="s">
        <v>262</v>
      </c>
      <c r="U29" s="37" t="s">
        <v>266</v>
      </c>
      <c r="V29" s="37" t="str">
        <f>LEFT(H29,6)&amp;"-"&amp;LEFT(L29,4)</f>
        <v>FC-023-tars</v>
      </c>
    </row>
    <row r="30" spans="1:22" x14ac:dyDescent="0.25">
      <c r="A30" s="39">
        <v>2016</v>
      </c>
      <c r="B30" s="37" t="s">
        <v>159</v>
      </c>
      <c r="C30" s="37">
        <v>19806</v>
      </c>
      <c r="D30" s="37">
        <v>37</v>
      </c>
      <c r="E30" s="38">
        <v>42627</v>
      </c>
      <c r="F30" s="37" t="s">
        <v>106</v>
      </c>
      <c r="G30" s="37" t="s">
        <v>47</v>
      </c>
      <c r="H30" s="37" t="s">
        <v>160</v>
      </c>
      <c r="I30" s="37" t="s">
        <v>62</v>
      </c>
      <c r="J30" s="37" t="s">
        <v>108</v>
      </c>
      <c r="K30" s="37" t="s">
        <v>109</v>
      </c>
      <c r="L30" s="37" t="s">
        <v>6</v>
      </c>
      <c r="M30" s="37" t="s">
        <v>110</v>
      </c>
      <c r="O30" s="37">
        <v>1</v>
      </c>
      <c r="P30" s="37">
        <v>1</v>
      </c>
      <c r="Q30" s="37">
        <v>0</v>
      </c>
      <c r="R30" s="37" t="s">
        <v>260</v>
      </c>
      <c r="T30" s="37" t="s">
        <v>262</v>
      </c>
      <c r="U30" s="37" t="s">
        <v>266</v>
      </c>
      <c r="V30" s="37" t="str">
        <f>LEFT(H30,6)&amp;"-"&amp;LEFT(L30,4)</f>
        <v>FC-027-tars</v>
      </c>
    </row>
    <row r="31" spans="1:22" x14ac:dyDescent="0.25">
      <c r="A31" s="39">
        <v>2016</v>
      </c>
      <c r="B31" s="37" t="s">
        <v>161</v>
      </c>
      <c r="C31" s="37">
        <v>19807</v>
      </c>
      <c r="D31" s="37">
        <v>37</v>
      </c>
      <c r="E31" s="38">
        <v>42627</v>
      </c>
      <c r="F31" s="37" t="s">
        <v>106</v>
      </c>
      <c r="G31" s="37" t="s">
        <v>47</v>
      </c>
      <c r="H31" s="37" t="s">
        <v>160</v>
      </c>
      <c r="I31" s="37" t="s">
        <v>62</v>
      </c>
      <c r="J31" s="37" t="s">
        <v>108</v>
      </c>
      <c r="K31" s="37" t="s">
        <v>109</v>
      </c>
      <c r="L31" s="37" t="s">
        <v>5</v>
      </c>
      <c r="M31" s="37" t="s">
        <v>110</v>
      </c>
      <c r="O31" s="37">
        <v>1</v>
      </c>
      <c r="P31" s="37">
        <v>1</v>
      </c>
      <c r="Q31" s="37">
        <v>0</v>
      </c>
      <c r="R31" s="37" t="s">
        <v>260</v>
      </c>
      <c r="T31" s="37" t="s">
        <v>261</v>
      </c>
      <c r="U31" s="37" t="s">
        <v>265</v>
      </c>
      <c r="V31" s="37" t="str">
        <f>LEFT(H31,6)&amp;"-"&amp;LEFT(L31,4)</f>
        <v>FC-027-pipi</v>
      </c>
    </row>
    <row r="32" spans="1:22" x14ac:dyDescent="0.25">
      <c r="A32" s="39">
        <v>2016</v>
      </c>
      <c r="B32" s="37" t="s">
        <v>162</v>
      </c>
      <c r="C32" s="37">
        <v>19808</v>
      </c>
      <c r="D32" s="37">
        <v>37</v>
      </c>
      <c r="E32" s="38">
        <v>42627</v>
      </c>
      <c r="F32" s="37" t="s">
        <v>106</v>
      </c>
      <c r="G32" s="37" t="s">
        <v>47</v>
      </c>
      <c r="H32" s="37" t="s">
        <v>163</v>
      </c>
      <c r="I32" s="37" t="s">
        <v>62</v>
      </c>
      <c r="J32" s="37" t="s">
        <v>108</v>
      </c>
      <c r="K32" s="37" t="s">
        <v>109</v>
      </c>
      <c r="L32" s="37" t="s">
        <v>6</v>
      </c>
      <c r="M32" s="37" t="s">
        <v>110</v>
      </c>
      <c r="O32" s="37">
        <v>3</v>
      </c>
      <c r="P32" s="37">
        <v>3</v>
      </c>
      <c r="Q32" s="37">
        <v>0</v>
      </c>
      <c r="R32" s="37" t="s">
        <v>260</v>
      </c>
      <c r="T32" s="37" t="s">
        <v>262</v>
      </c>
      <c r="U32" s="37" t="s">
        <v>266</v>
      </c>
      <c r="V32" s="37" t="str">
        <f>LEFT(H32,6)&amp;"-"&amp;LEFT(L32,4)</f>
        <v>FC-004-tars</v>
      </c>
    </row>
    <row r="33" spans="1:22" x14ac:dyDescent="0.25">
      <c r="A33" s="39">
        <v>2016</v>
      </c>
      <c r="B33" s="37" t="s">
        <v>164</v>
      </c>
      <c r="C33" s="37">
        <v>19809</v>
      </c>
      <c r="D33" s="37">
        <v>37</v>
      </c>
      <c r="E33" s="38">
        <v>42627</v>
      </c>
      <c r="F33" s="37" t="s">
        <v>106</v>
      </c>
      <c r="G33" s="37" t="s">
        <v>47</v>
      </c>
      <c r="H33" s="37" t="s">
        <v>165</v>
      </c>
      <c r="I33" s="37" t="s">
        <v>62</v>
      </c>
      <c r="J33" s="37" t="s">
        <v>108</v>
      </c>
      <c r="K33" s="37" t="s">
        <v>109</v>
      </c>
      <c r="L33" s="37" t="s">
        <v>6</v>
      </c>
      <c r="M33" s="37" t="s">
        <v>110</v>
      </c>
      <c r="O33" s="37">
        <v>2</v>
      </c>
      <c r="P33" s="37">
        <v>2</v>
      </c>
      <c r="Q33" s="37">
        <v>0</v>
      </c>
      <c r="R33" s="37" t="s">
        <v>260</v>
      </c>
      <c r="T33" s="37" t="s">
        <v>262</v>
      </c>
      <c r="U33" s="37" t="s">
        <v>266</v>
      </c>
      <c r="V33" s="37" t="str">
        <f>LEFT(H33,6)&amp;"-"&amp;LEFT(L33,4)</f>
        <v>FC-039-tars</v>
      </c>
    </row>
    <row r="34" spans="1:22" x14ac:dyDescent="0.25">
      <c r="A34" s="39">
        <v>2016</v>
      </c>
      <c r="B34" s="37" t="s">
        <v>166</v>
      </c>
      <c r="C34" s="37">
        <v>19810</v>
      </c>
      <c r="D34" s="37">
        <v>37</v>
      </c>
      <c r="E34" s="38">
        <v>42627</v>
      </c>
      <c r="F34" s="37" t="s">
        <v>106</v>
      </c>
      <c r="G34" s="37" t="s">
        <v>47</v>
      </c>
      <c r="H34" s="37" t="s">
        <v>167</v>
      </c>
      <c r="I34" s="37" t="s">
        <v>62</v>
      </c>
      <c r="J34" s="37" t="s">
        <v>115</v>
      </c>
      <c r="K34" s="37" t="s">
        <v>109</v>
      </c>
      <c r="L34" s="37" t="s">
        <v>5</v>
      </c>
      <c r="M34" s="37" t="s">
        <v>110</v>
      </c>
      <c r="N34" s="37">
        <v>5</v>
      </c>
      <c r="P34" s="37">
        <v>5</v>
      </c>
      <c r="Q34" s="37">
        <v>0</v>
      </c>
      <c r="R34" s="37" t="s">
        <v>260</v>
      </c>
      <c r="T34" s="37" t="s">
        <v>261</v>
      </c>
      <c r="U34" s="37" t="s">
        <v>265</v>
      </c>
      <c r="V34" s="37" t="str">
        <f>LEFT(H34,6)&amp;"-"&amp;LEFT(L34,4)</f>
        <v>FC-075-pipi</v>
      </c>
    </row>
    <row r="35" spans="1:22" x14ac:dyDescent="0.25">
      <c r="A35" s="39">
        <v>2016</v>
      </c>
      <c r="B35" s="37" t="s">
        <v>168</v>
      </c>
      <c r="C35" s="37">
        <v>19811</v>
      </c>
      <c r="D35" s="37">
        <v>37</v>
      </c>
      <c r="E35" s="38">
        <v>42627</v>
      </c>
      <c r="F35" s="37" t="s">
        <v>106</v>
      </c>
      <c r="G35" s="37" t="s">
        <v>47</v>
      </c>
      <c r="H35" s="37" t="s">
        <v>169</v>
      </c>
      <c r="I35" s="37" t="s">
        <v>62</v>
      </c>
      <c r="J35" s="37" t="s">
        <v>108</v>
      </c>
      <c r="K35" s="37" t="s">
        <v>109</v>
      </c>
      <c r="L35" s="37" t="s">
        <v>6</v>
      </c>
      <c r="M35" s="37" t="s">
        <v>110</v>
      </c>
      <c r="O35" s="37">
        <v>4</v>
      </c>
      <c r="P35" s="37">
        <v>4</v>
      </c>
      <c r="Q35" s="37">
        <v>0</v>
      </c>
      <c r="R35" s="37" t="s">
        <v>260</v>
      </c>
      <c r="T35" s="37" t="s">
        <v>262</v>
      </c>
      <c r="U35" s="37" t="s">
        <v>266</v>
      </c>
      <c r="V35" s="37" t="str">
        <f>LEFT(H35,6)&amp;"-"&amp;LEFT(L35,4)</f>
        <v>FC-064-tars</v>
      </c>
    </row>
    <row r="36" spans="1:22" x14ac:dyDescent="0.25">
      <c r="A36" s="39">
        <v>2016</v>
      </c>
      <c r="B36" s="37" t="s">
        <v>170</v>
      </c>
      <c r="C36" s="37">
        <v>19812</v>
      </c>
      <c r="D36" s="37">
        <v>37</v>
      </c>
      <c r="E36" s="38">
        <v>42627</v>
      </c>
      <c r="F36" s="37" t="s">
        <v>106</v>
      </c>
      <c r="G36" s="37" t="s">
        <v>47</v>
      </c>
      <c r="H36" s="37" t="s">
        <v>171</v>
      </c>
      <c r="I36" s="37" t="s">
        <v>62</v>
      </c>
      <c r="J36" s="37" t="s">
        <v>108</v>
      </c>
      <c r="K36" s="37" t="s">
        <v>109</v>
      </c>
      <c r="L36" s="37" t="s">
        <v>6</v>
      </c>
      <c r="M36" s="37" t="s">
        <v>110</v>
      </c>
      <c r="O36" s="37">
        <v>1</v>
      </c>
      <c r="P36" s="37">
        <v>1</v>
      </c>
      <c r="Q36" s="37">
        <v>0</v>
      </c>
      <c r="R36" s="37" t="s">
        <v>260</v>
      </c>
      <c r="T36" s="37" t="s">
        <v>262</v>
      </c>
      <c r="U36" s="37" t="s">
        <v>266</v>
      </c>
      <c r="V36" s="37" t="str">
        <f>LEFT(H36,6)&amp;"-"&amp;LEFT(L36,4)</f>
        <v>FC-074-tars</v>
      </c>
    </row>
    <row r="37" spans="1:22" x14ac:dyDescent="0.25">
      <c r="A37" s="39">
        <v>2016</v>
      </c>
      <c r="B37" s="37" t="s">
        <v>172</v>
      </c>
      <c r="C37" s="37">
        <v>19813</v>
      </c>
      <c r="D37" s="37">
        <v>37</v>
      </c>
      <c r="E37" s="38">
        <v>42627</v>
      </c>
      <c r="F37" s="37" t="s">
        <v>106</v>
      </c>
      <c r="G37" s="37" t="s">
        <v>47</v>
      </c>
      <c r="H37" s="37" t="s">
        <v>173</v>
      </c>
      <c r="I37" s="37" t="s">
        <v>62</v>
      </c>
      <c r="J37" s="37" t="s">
        <v>108</v>
      </c>
      <c r="K37" s="37" t="s">
        <v>109</v>
      </c>
      <c r="L37" s="37" t="s">
        <v>6</v>
      </c>
      <c r="M37" s="37" t="s">
        <v>110</v>
      </c>
      <c r="O37" s="37">
        <v>2</v>
      </c>
      <c r="P37" s="37">
        <v>2</v>
      </c>
      <c r="Q37" s="37">
        <v>0</v>
      </c>
      <c r="R37" s="37" t="s">
        <v>260</v>
      </c>
      <c r="T37" s="37" t="s">
        <v>262</v>
      </c>
      <c r="U37" s="37" t="s">
        <v>266</v>
      </c>
      <c r="V37" s="37" t="str">
        <f>LEFT(H37,6)&amp;"-"&amp;LEFT(L37,4)</f>
        <v>FC-075-tars</v>
      </c>
    </row>
    <row r="38" spans="1:22" x14ac:dyDescent="0.25">
      <c r="A38" s="39">
        <v>2016</v>
      </c>
      <c r="B38" s="37" t="s">
        <v>174</v>
      </c>
      <c r="C38" s="37">
        <v>19814</v>
      </c>
      <c r="D38" s="37">
        <v>37</v>
      </c>
      <c r="E38" s="38">
        <v>42627</v>
      </c>
      <c r="F38" s="37" t="s">
        <v>106</v>
      </c>
      <c r="G38" s="37" t="s">
        <v>47</v>
      </c>
      <c r="H38" s="37" t="s">
        <v>173</v>
      </c>
      <c r="I38" s="37" t="s">
        <v>62</v>
      </c>
      <c r="J38" s="37" t="s">
        <v>108</v>
      </c>
      <c r="K38" s="37" t="s">
        <v>109</v>
      </c>
      <c r="L38" s="37" t="s">
        <v>5</v>
      </c>
      <c r="M38" s="37" t="s">
        <v>110</v>
      </c>
      <c r="O38" s="37">
        <v>4</v>
      </c>
      <c r="P38" s="37">
        <v>4</v>
      </c>
      <c r="Q38" s="37">
        <v>0</v>
      </c>
      <c r="R38" s="37" t="s">
        <v>260</v>
      </c>
      <c r="T38" s="37" t="s">
        <v>261</v>
      </c>
      <c r="U38" s="37" t="s">
        <v>265</v>
      </c>
      <c r="V38" s="37" t="str">
        <f>LEFT(H38,6)&amp;"-"&amp;LEFT(L38,4)</f>
        <v>FC-075-pipi</v>
      </c>
    </row>
    <row r="39" spans="1:22" x14ac:dyDescent="0.25">
      <c r="A39" s="39">
        <v>2016</v>
      </c>
      <c r="B39" s="37" t="s">
        <v>175</v>
      </c>
      <c r="C39" s="37">
        <v>19815</v>
      </c>
      <c r="D39" s="37">
        <v>37</v>
      </c>
      <c r="E39" s="38">
        <v>42627</v>
      </c>
      <c r="F39" s="37" t="s">
        <v>106</v>
      </c>
      <c r="G39" s="37" t="s">
        <v>47</v>
      </c>
      <c r="H39" s="37" t="s">
        <v>176</v>
      </c>
      <c r="I39" s="37" t="s">
        <v>62</v>
      </c>
      <c r="J39" s="37" t="s">
        <v>108</v>
      </c>
      <c r="K39" s="37" t="s">
        <v>109</v>
      </c>
      <c r="L39" s="37" t="s">
        <v>5</v>
      </c>
      <c r="M39" s="37" t="s">
        <v>110</v>
      </c>
      <c r="O39" s="37">
        <v>9</v>
      </c>
      <c r="P39" s="37">
        <v>9</v>
      </c>
      <c r="Q39" s="37">
        <v>0</v>
      </c>
      <c r="R39" s="37" t="s">
        <v>260</v>
      </c>
      <c r="T39" s="37" t="s">
        <v>261</v>
      </c>
      <c r="U39" s="37" t="s">
        <v>265</v>
      </c>
      <c r="V39" s="37" t="str">
        <f>LEFT(H39,6)&amp;"-"&amp;LEFT(L39,4)</f>
        <v>FC-053-pipi</v>
      </c>
    </row>
    <row r="40" spans="1:22" x14ac:dyDescent="0.25">
      <c r="A40" s="39">
        <v>2016</v>
      </c>
      <c r="B40" s="37" t="s">
        <v>177</v>
      </c>
      <c r="C40" s="37">
        <v>19816</v>
      </c>
      <c r="D40" s="37">
        <v>37</v>
      </c>
      <c r="E40" s="38">
        <v>42628</v>
      </c>
      <c r="F40" s="37" t="s">
        <v>106</v>
      </c>
      <c r="G40" s="37" t="s">
        <v>47</v>
      </c>
      <c r="H40" s="37" t="s">
        <v>178</v>
      </c>
      <c r="I40" s="37" t="s">
        <v>63</v>
      </c>
      <c r="J40" s="37" t="s">
        <v>108</v>
      </c>
      <c r="K40" s="37" t="s">
        <v>109</v>
      </c>
      <c r="L40" s="37" t="s">
        <v>6</v>
      </c>
      <c r="M40" s="37" t="s">
        <v>110</v>
      </c>
      <c r="O40" s="37">
        <v>3</v>
      </c>
      <c r="P40" s="37">
        <v>3</v>
      </c>
      <c r="Q40" s="37">
        <v>0</v>
      </c>
      <c r="R40" s="37" t="s">
        <v>260</v>
      </c>
      <c r="T40" s="37" t="s">
        <v>262</v>
      </c>
      <c r="U40" s="37" t="s">
        <v>264</v>
      </c>
      <c r="V40" s="37" t="str">
        <f>LEFT(H40,6)&amp;"-"&amp;LEFT(L40,4)</f>
        <v>FC-049-tars</v>
      </c>
    </row>
    <row r="41" spans="1:22" x14ac:dyDescent="0.25">
      <c r="A41" s="39">
        <v>2016</v>
      </c>
      <c r="B41" s="37" t="s">
        <v>179</v>
      </c>
      <c r="C41" s="37">
        <v>19817</v>
      </c>
      <c r="D41" s="37">
        <v>37</v>
      </c>
      <c r="E41" s="38">
        <v>42628</v>
      </c>
      <c r="F41" s="37" t="s">
        <v>106</v>
      </c>
      <c r="G41" s="37" t="s">
        <v>47</v>
      </c>
      <c r="H41" s="37" t="s">
        <v>180</v>
      </c>
      <c r="I41" s="37" t="s">
        <v>60</v>
      </c>
      <c r="J41" s="37" t="s">
        <v>108</v>
      </c>
      <c r="K41" s="37" t="s">
        <v>109</v>
      </c>
      <c r="L41" s="37" t="s">
        <v>6</v>
      </c>
      <c r="M41" s="37" t="s">
        <v>110</v>
      </c>
      <c r="O41" s="37">
        <v>3</v>
      </c>
      <c r="P41" s="37">
        <v>3</v>
      </c>
      <c r="Q41" s="37">
        <v>0</v>
      </c>
      <c r="R41" s="37" t="s">
        <v>260</v>
      </c>
      <c r="T41" s="37" t="s">
        <v>262</v>
      </c>
      <c r="U41" s="37" t="s">
        <v>269</v>
      </c>
      <c r="V41" s="37" t="str">
        <f>LEFT(H41,6)&amp;"-"&amp;LEFT(L41,4)</f>
        <v>FC-052-tars</v>
      </c>
    </row>
    <row r="42" spans="1:22" x14ac:dyDescent="0.25">
      <c r="A42" s="39">
        <v>2016</v>
      </c>
      <c r="B42" s="37" t="s">
        <v>181</v>
      </c>
      <c r="C42" s="37">
        <v>19818</v>
      </c>
      <c r="D42" s="37">
        <v>37</v>
      </c>
      <c r="E42" s="38">
        <v>42628</v>
      </c>
      <c r="F42" s="37" t="s">
        <v>106</v>
      </c>
      <c r="G42" s="37" t="s">
        <v>47</v>
      </c>
      <c r="H42" s="37" t="s">
        <v>180</v>
      </c>
      <c r="I42" s="37" t="s">
        <v>60</v>
      </c>
      <c r="J42" s="37" t="s">
        <v>108</v>
      </c>
      <c r="K42" s="37" t="s">
        <v>109</v>
      </c>
      <c r="L42" s="37" t="s">
        <v>5</v>
      </c>
      <c r="M42" s="37" t="s">
        <v>110</v>
      </c>
      <c r="O42" s="37">
        <v>1</v>
      </c>
      <c r="P42" s="37">
        <v>1</v>
      </c>
      <c r="Q42" s="37">
        <v>0</v>
      </c>
      <c r="R42" s="37" t="s">
        <v>260</v>
      </c>
      <c r="T42" s="37" t="s">
        <v>261</v>
      </c>
      <c r="U42" s="37" t="s">
        <v>270</v>
      </c>
      <c r="V42" s="37" t="str">
        <f>LEFT(H42,6)&amp;"-"&amp;LEFT(L42,4)</f>
        <v>FC-052-pipi</v>
      </c>
    </row>
    <row r="43" spans="1:22" x14ac:dyDescent="0.25">
      <c r="A43" s="39">
        <v>2016</v>
      </c>
      <c r="B43" s="37" t="s">
        <v>182</v>
      </c>
      <c r="C43" s="37">
        <v>19819</v>
      </c>
      <c r="D43" s="37">
        <v>37</v>
      </c>
      <c r="E43" s="38">
        <v>42628</v>
      </c>
      <c r="F43" s="37" t="s">
        <v>106</v>
      </c>
      <c r="G43" s="37" t="s">
        <v>47</v>
      </c>
      <c r="H43" s="37" t="s">
        <v>183</v>
      </c>
      <c r="I43" s="37" t="s">
        <v>60</v>
      </c>
      <c r="J43" s="37" t="s">
        <v>108</v>
      </c>
      <c r="K43" s="37" t="s">
        <v>109</v>
      </c>
      <c r="L43" s="37" t="s">
        <v>6</v>
      </c>
      <c r="M43" s="37" t="s">
        <v>110</v>
      </c>
      <c r="O43" s="37">
        <v>1</v>
      </c>
      <c r="P43" s="37">
        <v>1</v>
      </c>
      <c r="Q43" s="37">
        <v>0</v>
      </c>
      <c r="R43" s="37" t="s">
        <v>260</v>
      </c>
      <c r="T43" s="37" t="s">
        <v>262</v>
      </c>
      <c r="U43" s="37" t="s">
        <v>269</v>
      </c>
      <c r="V43" s="37" t="str">
        <f>LEFT(H43,6)&amp;"-"&amp;LEFT(L43,4)</f>
        <v>FC-011-tars</v>
      </c>
    </row>
    <row r="44" spans="1:22" x14ac:dyDescent="0.25">
      <c r="A44" s="39">
        <v>2016</v>
      </c>
      <c r="B44" s="37" t="s">
        <v>184</v>
      </c>
      <c r="C44" s="37">
        <v>19820</v>
      </c>
      <c r="D44" s="37">
        <v>37</v>
      </c>
      <c r="E44" s="38">
        <v>42628</v>
      </c>
      <c r="F44" s="37" t="s">
        <v>106</v>
      </c>
      <c r="G44" s="37" t="s">
        <v>47</v>
      </c>
      <c r="H44" s="37" t="s">
        <v>183</v>
      </c>
      <c r="I44" s="37" t="s">
        <v>60</v>
      </c>
      <c r="J44" s="37" t="s">
        <v>108</v>
      </c>
      <c r="K44" s="37" t="s">
        <v>109</v>
      </c>
      <c r="L44" s="37" t="s">
        <v>5</v>
      </c>
      <c r="M44" s="37" t="s">
        <v>110</v>
      </c>
      <c r="O44" s="37">
        <v>50</v>
      </c>
      <c r="P44" s="37">
        <v>50</v>
      </c>
      <c r="Q44" s="37">
        <v>0</v>
      </c>
      <c r="R44" s="37" t="s">
        <v>260</v>
      </c>
      <c r="T44" s="37" t="s">
        <v>261</v>
      </c>
      <c r="U44" s="37" t="s">
        <v>270</v>
      </c>
      <c r="V44" s="37" t="str">
        <f>LEFT(H44,6)&amp;"-"&amp;LEFT(L44,4)</f>
        <v>FC-011-pipi</v>
      </c>
    </row>
    <row r="45" spans="1:22" x14ac:dyDescent="0.25">
      <c r="A45" s="39">
        <v>2016</v>
      </c>
      <c r="B45" s="37" t="s">
        <v>185</v>
      </c>
      <c r="C45" s="37">
        <v>19821</v>
      </c>
      <c r="D45" s="37">
        <v>37</v>
      </c>
      <c r="E45" s="38">
        <v>42628</v>
      </c>
      <c r="F45" s="37" t="s">
        <v>106</v>
      </c>
      <c r="G45" s="37" t="s">
        <v>47</v>
      </c>
      <c r="H45" s="37" t="s">
        <v>183</v>
      </c>
      <c r="I45" s="37" t="s">
        <v>60</v>
      </c>
      <c r="J45" s="37" t="s">
        <v>108</v>
      </c>
      <c r="K45" s="37" t="s">
        <v>109</v>
      </c>
      <c r="L45" s="37" t="s">
        <v>5</v>
      </c>
      <c r="M45" s="37" t="s">
        <v>110</v>
      </c>
      <c r="O45" s="37">
        <v>50</v>
      </c>
      <c r="P45" s="37">
        <v>50</v>
      </c>
      <c r="Q45" s="37">
        <v>0</v>
      </c>
      <c r="R45" s="37" t="s">
        <v>260</v>
      </c>
      <c r="T45" s="37" t="s">
        <v>261</v>
      </c>
      <c r="U45" s="37" t="s">
        <v>270</v>
      </c>
      <c r="V45" s="37" t="str">
        <f>LEFT(H45,6)&amp;"-"&amp;LEFT(L45,4)</f>
        <v>FC-011-pipi</v>
      </c>
    </row>
    <row r="46" spans="1:22" x14ac:dyDescent="0.25">
      <c r="A46" s="39">
        <v>2016</v>
      </c>
      <c r="B46" s="37" t="s">
        <v>186</v>
      </c>
      <c r="C46" s="37">
        <v>19822</v>
      </c>
      <c r="D46" s="37">
        <v>37</v>
      </c>
      <c r="E46" s="38">
        <v>42628</v>
      </c>
      <c r="F46" s="37" t="s">
        <v>106</v>
      </c>
      <c r="G46" s="37" t="s">
        <v>47</v>
      </c>
      <c r="H46" s="37" t="s">
        <v>183</v>
      </c>
      <c r="I46" s="37" t="s">
        <v>60</v>
      </c>
      <c r="J46" s="37" t="s">
        <v>108</v>
      </c>
      <c r="K46" s="37" t="s">
        <v>109</v>
      </c>
      <c r="L46" s="37" t="s">
        <v>5</v>
      </c>
      <c r="M46" s="37" t="s">
        <v>110</v>
      </c>
      <c r="O46" s="37">
        <v>50</v>
      </c>
      <c r="P46" s="37">
        <v>50</v>
      </c>
      <c r="Q46" s="37">
        <v>0</v>
      </c>
      <c r="R46" s="37" t="s">
        <v>260</v>
      </c>
      <c r="T46" s="37" t="s">
        <v>261</v>
      </c>
      <c r="U46" s="37" t="s">
        <v>270</v>
      </c>
      <c r="V46" s="37" t="str">
        <f>LEFT(H46,6)&amp;"-"&amp;LEFT(L46,4)</f>
        <v>FC-011-pipi</v>
      </c>
    </row>
    <row r="47" spans="1:22" x14ac:dyDescent="0.25">
      <c r="A47" s="39">
        <v>2016</v>
      </c>
      <c r="B47" s="37" t="s">
        <v>187</v>
      </c>
      <c r="C47" s="37">
        <v>19823</v>
      </c>
      <c r="D47" s="37">
        <v>37</v>
      </c>
      <c r="E47" s="38">
        <v>42628</v>
      </c>
      <c r="F47" s="37" t="s">
        <v>106</v>
      </c>
      <c r="G47" s="37" t="s">
        <v>47</v>
      </c>
      <c r="H47" s="37" t="s">
        <v>183</v>
      </c>
      <c r="I47" s="37" t="s">
        <v>60</v>
      </c>
      <c r="J47" s="37" t="s">
        <v>108</v>
      </c>
      <c r="K47" s="37" t="s">
        <v>109</v>
      </c>
      <c r="L47" s="37" t="s">
        <v>5</v>
      </c>
      <c r="M47" s="37" t="s">
        <v>110</v>
      </c>
      <c r="O47" s="37">
        <v>23</v>
      </c>
      <c r="P47" s="37">
        <v>23</v>
      </c>
      <c r="Q47" s="37">
        <v>0</v>
      </c>
      <c r="R47" s="37" t="s">
        <v>260</v>
      </c>
      <c r="T47" s="37" t="s">
        <v>261</v>
      </c>
      <c r="U47" s="37" t="s">
        <v>270</v>
      </c>
      <c r="V47" s="37" t="str">
        <f>LEFT(H47,6)&amp;"-"&amp;LEFT(L47,4)</f>
        <v>FC-011-pipi</v>
      </c>
    </row>
    <row r="48" spans="1:22" x14ac:dyDescent="0.25">
      <c r="A48" s="39">
        <v>2016</v>
      </c>
      <c r="B48" s="37" t="s">
        <v>188</v>
      </c>
      <c r="C48" s="37">
        <v>19824</v>
      </c>
      <c r="D48" s="37">
        <v>37</v>
      </c>
      <c r="E48" s="38">
        <v>42628</v>
      </c>
      <c r="F48" s="37" t="s">
        <v>106</v>
      </c>
      <c r="G48" s="37" t="s">
        <v>47</v>
      </c>
      <c r="H48" s="37" t="s">
        <v>189</v>
      </c>
      <c r="I48" s="37" t="s">
        <v>60</v>
      </c>
      <c r="J48" s="37" t="s">
        <v>108</v>
      </c>
      <c r="K48" s="37" t="s">
        <v>109</v>
      </c>
      <c r="L48" s="37" t="s">
        <v>6</v>
      </c>
      <c r="M48" s="37" t="s">
        <v>110</v>
      </c>
      <c r="O48" s="37">
        <v>3</v>
      </c>
      <c r="P48" s="37">
        <v>3</v>
      </c>
      <c r="Q48" s="37">
        <v>0</v>
      </c>
      <c r="R48" s="37" t="s">
        <v>260</v>
      </c>
      <c r="T48" s="37" t="s">
        <v>262</v>
      </c>
      <c r="U48" s="37" t="s">
        <v>269</v>
      </c>
      <c r="V48" s="37" t="str">
        <f>LEFT(H48,6)&amp;"-"&amp;LEFT(L48,4)</f>
        <v>FC-061-tars</v>
      </c>
    </row>
    <row r="49" spans="1:22" x14ac:dyDescent="0.25">
      <c r="A49" s="39">
        <v>2016</v>
      </c>
      <c r="B49" s="37" t="s">
        <v>190</v>
      </c>
      <c r="C49" s="37">
        <v>19825</v>
      </c>
      <c r="D49" s="37">
        <v>37</v>
      </c>
      <c r="E49" s="38">
        <v>42628</v>
      </c>
      <c r="F49" s="37" t="s">
        <v>106</v>
      </c>
      <c r="G49" s="37" t="s">
        <v>47</v>
      </c>
      <c r="H49" s="37" t="s">
        <v>191</v>
      </c>
      <c r="I49" s="37" t="s">
        <v>60</v>
      </c>
      <c r="J49" s="37" t="s">
        <v>115</v>
      </c>
      <c r="K49" s="37" t="s">
        <v>109</v>
      </c>
      <c r="L49" s="37" t="s">
        <v>5</v>
      </c>
      <c r="M49" s="37" t="s">
        <v>110</v>
      </c>
      <c r="N49" s="37">
        <v>2</v>
      </c>
      <c r="P49" s="37">
        <v>2</v>
      </c>
      <c r="Q49" s="37">
        <v>0</v>
      </c>
      <c r="R49" s="37" t="s">
        <v>260</v>
      </c>
      <c r="T49" s="37" t="s">
        <v>261</v>
      </c>
      <c r="U49" s="37" t="s">
        <v>270</v>
      </c>
      <c r="V49" s="37" t="str">
        <f>LEFT(H49,6)&amp;"-"&amp;LEFT(L49,4)</f>
        <v>FC-063-pipi</v>
      </c>
    </row>
    <row r="50" spans="1:22" x14ac:dyDescent="0.25">
      <c r="A50" s="39">
        <v>2016</v>
      </c>
      <c r="B50" s="37" t="s">
        <v>192</v>
      </c>
      <c r="C50" s="37">
        <v>19826</v>
      </c>
      <c r="D50" s="37">
        <v>37</v>
      </c>
      <c r="E50" s="38">
        <v>42628</v>
      </c>
      <c r="F50" s="37" t="s">
        <v>106</v>
      </c>
      <c r="G50" s="37" t="s">
        <v>47</v>
      </c>
      <c r="H50" s="37" t="s">
        <v>193</v>
      </c>
      <c r="I50" s="37" t="s">
        <v>60</v>
      </c>
      <c r="J50" s="37" t="s">
        <v>108</v>
      </c>
      <c r="K50" s="37" t="s">
        <v>109</v>
      </c>
      <c r="L50" s="37" t="s">
        <v>5</v>
      </c>
      <c r="M50" s="37" t="s">
        <v>110</v>
      </c>
      <c r="O50" s="37">
        <v>1</v>
      </c>
      <c r="P50" s="37">
        <v>1</v>
      </c>
      <c r="Q50" s="37">
        <v>0</v>
      </c>
      <c r="R50" s="37" t="s">
        <v>260</v>
      </c>
      <c r="T50" s="37" t="s">
        <v>261</v>
      </c>
      <c r="U50" s="37" t="s">
        <v>270</v>
      </c>
      <c r="V50" s="37" t="str">
        <f>LEFT(H50,6)&amp;"-"&amp;LEFT(L50,4)</f>
        <v>FC-015-pipi</v>
      </c>
    </row>
    <row r="51" spans="1:22" x14ac:dyDescent="0.25">
      <c r="A51" s="39">
        <v>2016</v>
      </c>
      <c r="B51" s="37" t="s">
        <v>194</v>
      </c>
      <c r="C51" s="37">
        <v>19827</v>
      </c>
      <c r="D51" s="37">
        <v>37</v>
      </c>
      <c r="E51" s="38">
        <v>42628</v>
      </c>
      <c r="F51" s="37" t="s">
        <v>106</v>
      </c>
      <c r="G51" s="37" t="s">
        <v>47</v>
      </c>
      <c r="H51" s="37" t="s">
        <v>195</v>
      </c>
      <c r="I51" s="37" t="s">
        <v>63</v>
      </c>
      <c r="J51" s="37" t="s">
        <v>108</v>
      </c>
      <c r="K51" s="37" t="s">
        <v>109</v>
      </c>
      <c r="L51" s="37" t="s">
        <v>5</v>
      </c>
      <c r="M51" s="37" t="s">
        <v>110</v>
      </c>
      <c r="O51" s="37">
        <v>1</v>
      </c>
      <c r="P51" s="37">
        <v>1</v>
      </c>
      <c r="Q51" s="37">
        <v>0</v>
      </c>
      <c r="R51" s="37" t="s">
        <v>260</v>
      </c>
      <c r="T51" s="37" t="s">
        <v>261</v>
      </c>
      <c r="U51" s="37" t="s">
        <v>263</v>
      </c>
      <c r="V51" s="37" t="str">
        <f>LEFT(H51,6)&amp;"-"&amp;LEFT(L51,4)</f>
        <v>FC-058-pipi</v>
      </c>
    </row>
    <row r="52" spans="1:22" x14ac:dyDescent="0.25">
      <c r="A52" s="39">
        <v>2016</v>
      </c>
      <c r="B52" s="37" t="s">
        <v>196</v>
      </c>
      <c r="C52" s="37">
        <v>19828</v>
      </c>
      <c r="D52" s="37">
        <v>37</v>
      </c>
      <c r="E52" s="38">
        <v>42628</v>
      </c>
      <c r="F52" s="37" t="s">
        <v>106</v>
      </c>
      <c r="G52" s="37" t="s">
        <v>47</v>
      </c>
      <c r="H52" s="37" t="s">
        <v>197</v>
      </c>
      <c r="I52" s="37" t="s">
        <v>60</v>
      </c>
      <c r="J52" s="37" t="s">
        <v>108</v>
      </c>
      <c r="K52" s="37" t="s">
        <v>109</v>
      </c>
      <c r="L52" s="37" t="s">
        <v>6</v>
      </c>
      <c r="M52" s="37" t="s">
        <v>110</v>
      </c>
      <c r="O52" s="37">
        <v>1</v>
      </c>
      <c r="P52" s="37">
        <v>1</v>
      </c>
      <c r="Q52" s="37">
        <v>0</v>
      </c>
      <c r="R52" s="37" t="s">
        <v>260</v>
      </c>
      <c r="T52" s="37" t="s">
        <v>262</v>
      </c>
      <c r="U52" s="37" t="s">
        <v>269</v>
      </c>
      <c r="V52" s="37" t="str">
        <f>LEFT(H52,6)&amp;"-"&amp;LEFT(L52,4)</f>
        <v>FC-073-tars</v>
      </c>
    </row>
    <row r="53" spans="1:22" x14ac:dyDescent="0.25">
      <c r="A53" s="39">
        <v>2016</v>
      </c>
      <c r="B53" s="37" t="s">
        <v>198</v>
      </c>
      <c r="C53" s="37">
        <v>19829</v>
      </c>
      <c r="D53" s="37">
        <v>37</v>
      </c>
      <c r="E53" s="38">
        <v>42628</v>
      </c>
      <c r="F53" s="37" t="s">
        <v>106</v>
      </c>
      <c r="G53" s="37" t="s">
        <v>47</v>
      </c>
      <c r="H53" s="37" t="s">
        <v>199</v>
      </c>
      <c r="I53" s="37" t="s">
        <v>60</v>
      </c>
      <c r="J53" s="37" t="s">
        <v>108</v>
      </c>
      <c r="K53" s="37" t="s">
        <v>109</v>
      </c>
      <c r="L53" s="37" t="s">
        <v>6</v>
      </c>
      <c r="M53" s="37" t="s">
        <v>110</v>
      </c>
      <c r="O53" s="37">
        <v>3</v>
      </c>
      <c r="P53" s="37">
        <v>3</v>
      </c>
      <c r="Q53" s="37">
        <v>0</v>
      </c>
      <c r="R53" s="37" t="s">
        <v>260</v>
      </c>
      <c r="T53" s="37" t="s">
        <v>262</v>
      </c>
      <c r="U53" s="37" t="s">
        <v>269</v>
      </c>
      <c r="V53" s="37" t="str">
        <f>LEFT(H53,6)&amp;"-"&amp;LEFT(L53,4)</f>
        <v>FC-041-tars</v>
      </c>
    </row>
    <row r="54" spans="1:22" x14ac:dyDescent="0.25">
      <c r="A54" s="39">
        <v>2016</v>
      </c>
      <c r="B54" s="37" t="s">
        <v>200</v>
      </c>
      <c r="C54" s="37">
        <v>19830</v>
      </c>
      <c r="D54" s="37">
        <v>37</v>
      </c>
      <c r="E54" s="38">
        <v>42628</v>
      </c>
      <c r="F54" s="37" t="s">
        <v>106</v>
      </c>
      <c r="G54" s="37" t="s">
        <v>47</v>
      </c>
      <c r="H54" s="37" t="s">
        <v>201</v>
      </c>
      <c r="I54" s="37" t="s">
        <v>60</v>
      </c>
      <c r="J54" s="37" t="s">
        <v>115</v>
      </c>
      <c r="K54" s="37" t="s">
        <v>109</v>
      </c>
      <c r="L54" s="37" t="s">
        <v>5</v>
      </c>
      <c r="M54" s="37" t="s">
        <v>110</v>
      </c>
      <c r="N54" s="37">
        <v>15</v>
      </c>
      <c r="P54" s="37">
        <v>15</v>
      </c>
      <c r="Q54" s="37">
        <v>1</v>
      </c>
      <c r="R54" s="37" t="s">
        <v>259</v>
      </c>
      <c r="T54" s="37" t="s">
        <v>261</v>
      </c>
      <c r="U54" s="37" t="s">
        <v>270</v>
      </c>
      <c r="V54" s="37" t="str">
        <f>LEFT(H54,6)&amp;"-"&amp;LEFT(L54,4)</f>
        <v>FC-090-pipi</v>
      </c>
    </row>
    <row r="71" spans="1:5" x14ac:dyDescent="0.25">
      <c r="A71" s="37"/>
      <c r="E71" s="37"/>
    </row>
    <row r="72" spans="1:5" x14ac:dyDescent="0.25">
      <c r="A72" s="37"/>
      <c r="E72" s="37"/>
    </row>
    <row r="73" spans="1:5" x14ac:dyDescent="0.25">
      <c r="A73" s="37"/>
      <c r="E73" s="37"/>
    </row>
    <row r="74" spans="1:5" x14ac:dyDescent="0.25">
      <c r="A74" s="37"/>
      <c r="E74" s="37"/>
    </row>
    <row r="75" spans="1:5" x14ac:dyDescent="0.25">
      <c r="A75" s="37"/>
      <c r="E75" s="37"/>
    </row>
    <row r="76" spans="1:5" x14ac:dyDescent="0.25">
      <c r="A76" s="37"/>
      <c r="E76" s="37"/>
    </row>
    <row r="77" spans="1:5" x14ac:dyDescent="0.25">
      <c r="A77" s="37"/>
      <c r="E77" s="37"/>
    </row>
    <row r="78" spans="1:5" x14ac:dyDescent="0.25">
      <c r="A78" s="37"/>
      <c r="E78" s="37"/>
    </row>
    <row r="79" spans="1:5" x14ac:dyDescent="0.25">
      <c r="A79" s="37"/>
      <c r="E79" s="37"/>
    </row>
    <row r="80" spans="1:5" x14ac:dyDescent="0.25">
      <c r="A80" s="37"/>
      <c r="E80" s="37"/>
    </row>
    <row r="81" spans="1:5" x14ac:dyDescent="0.25">
      <c r="A81" s="37"/>
      <c r="E81" s="37"/>
    </row>
    <row r="82" spans="1:5" x14ac:dyDescent="0.25">
      <c r="A82" s="37"/>
      <c r="E82" s="37"/>
    </row>
    <row r="83" spans="1:5" x14ac:dyDescent="0.25">
      <c r="A83" s="37"/>
      <c r="E83" s="37"/>
    </row>
    <row r="84" spans="1:5" x14ac:dyDescent="0.25">
      <c r="A84" s="37"/>
      <c r="E84" s="37"/>
    </row>
    <row r="85" spans="1:5" x14ac:dyDescent="0.25">
      <c r="A85" s="37"/>
      <c r="E85" s="37"/>
    </row>
    <row r="86" spans="1:5" x14ac:dyDescent="0.25">
      <c r="A86" s="37"/>
      <c r="E86" s="37"/>
    </row>
    <row r="87" spans="1:5" x14ac:dyDescent="0.25">
      <c r="A87" s="37"/>
      <c r="E87" s="37"/>
    </row>
    <row r="88" spans="1:5" x14ac:dyDescent="0.25">
      <c r="A88" s="37"/>
      <c r="E88" s="37"/>
    </row>
    <row r="89" spans="1:5" x14ac:dyDescent="0.25">
      <c r="A89" s="37"/>
      <c r="E89" s="37"/>
    </row>
    <row r="90" spans="1:5" x14ac:dyDescent="0.25">
      <c r="A90" s="37"/>
      <c r="E90" s="37"/>
    </row>
    <row r="91" spans="1:5" x14ac:dyDescent="0.25">
      <c r="A91" s="37"/>
      <c r="E91" s="37"/>
    </row>
    <row r="92" spans="1:5" x14ac:dyDescent="0.25">
      <c r="A92" s="37"/>
      <c r="E92" s="37"/>
    </row>
    <row r="93" spans="1:5" x14ac:dyDescent="0.25">
      <c r="A93" s="37"/>
      <c r="E93" s="37"/>
    </row>
    <row r="94" spans="1:5" x14ac:dyDescent="0.25">
      <c r="A94" s="37"/>
      <c r="E94" s="37"/>
    </row>
    <row r="95" spans="1:5" x14ac:dyDescent="0.25">
      <c r="A95" s="37"/>
      <c r="E95" s="37"/>
    </row>
    <row r="96" spans="1:5" x14ac:dyDescent="0.25">
      <c r="A96" s="37"/>
      <c r="E96" s="37"/>
    </row>
    <row r="97" spans="1:5" x14ac:dyDescent="0.25">
      <c r="A97" s="37"/>
      <c r="E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C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B2"/>
    </sheetView>
  </sheetViews>
  <sheetFormatPr defaultRowHeight="15" x14ac:dyDescent="0.25"/>
  <cols>
    <col min="1" max="1" width="7.140625" bestFit="1" customWidth="1"/>
    <col min="2" max="2" width="11.7109375" bestFit="1" customWidth="1"/>
    <col min="3" max="3" width="9.85546875" bestFit="1" customWidth="1"/>
    <col min="4" max="4" width="10" bestFit="1" customWidth="1"/>
    <col min="5" max="5" width="5.42578125" bestFit="1" customWidth="1"/>
    <col min="6" max="6" width="15.42578125" bestFit="1" customWidth="1"/>
    <col min="7" max="7" width="12.7109375" bestFit="1" customWidth="1"/>
    <col min="8" max="8" width="9.28515625" bestFit="1" customWidth="1"/>
    <col min="9" max="9" width="12.42578125" bestFit="1" customWidth="1"/>
    <col min="10" max="10" width="13.5703125" bestFit="1" customWidth="1"/>
  </cols>
  <sheetData>
    <row r="1" spans="1:10" x14ac:dyDescent="0.25">
      <c r="A1" s="67" t="s">
        <v>41</v>
      </c>
      <c r="B1" s="68" t="s">
        <v>273</v>
      </c>
      <c r="C1" s="68" t="s">
        <v>274</v>
      </c>
      <c r="D1" s="68" t="s">
        <v>275</v>
      </c>
      <c r="E1" s="67" t="s">
        <v>276</v>
      </c>
      <c r="F1" s="67" t="s">
        <v>277</v>
      </c>
      <c r="G1" s="67" t="s">
        <v>278</v>
      </c>
      <c r="H1" s="67" t="s">
        <v>279</v>
      </c>
      <c r="I1" s="67" t="s">
        <v>280</v>
      </c>
      <c r="J1" s="67" t="s">
        <v>281</v>
      </c>
    </row>
    <row r="2" spans="1:10" x14ac:dyDescent="0.25">
      <c r="A2" t="s">
        <v>47</v>
      </c>
      <c r="B2" s="31">
        <v>2.5144904071243559</v>
      </c>
      <c r="C2" s="31">
        <v>0.14979898205311057</v>
      </c>
      <c r="D2" s="31">
        <v>12.104217921210672</v>
      </c>
      <c r="E2" s="65">
        <v>1000</v>
      </c>
      <c r="F2" s="66" t="s">
        <v>282</v>
      </c>
      <c r="G2" s="66" t="s">
        <v>283</v>
      </c>
      <c r="H2">
        <v>53</v>
      </c>
      <c r="I2">
        <v>1</v>
      </c>
      <c r="J2">
        <v>389</v>
      </c>
    </row>
    <row r="3" spans="1:10" x14ac:dyDescent="0.25">
      <c r="A3" t="s">
        <v>9</v>
      </c>
      <c r="B3" t="e">
        <v>#N/A</v>
      </c>
      <c r="C3" t="e">
        <v>#N/A</v>
      </c>
      <c r="D3" t="e">
        <v>#N/A</v>
      </c>
      <c r="E3" s="65">
        <v>1000</v>
      </c>
      <c r="F3" s="66" t="s">
        <v>282</v>
      </c>
      <c r="G3" s="66" t="s">
        <v>283</v>
      </c>
      <c r="H3">
        <v>1</v>
      </c>
      <c r="I3">
        <v>1</v>
      </c>
      <c r="J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4.7109375" bestFit="1" customWidth="1"/>
    <col min="2" max="2" width="11.7109375" bestFit="1" customWidth="1"/>
    <col min="3" max="3" width="9.85546875" bestFit="1" customWidth="1"/>
    <col min="4" max="4" width="10" bestFit="1" customWidth="1"/>
    <col min="5" max="5" width="5.42578125" bestFit="1" customWidth="1"/>
    <col min="6" max="6" width="15.42578125" bestFit="1" customWidth="1"/>
    <col min="7" max="7" width="12.7109375" bestFit="1" customWidth="1"/>
    <col min="8" max="8" width="9.28515625" bestFit="1" customWidth="1"/>
    <col min="9" max="9" width="12.42578125" bestFit="1" customWidth="1"/>
    <col min="10" max="10" width="13.5703125" bestFit="1" customWidth="1"/>
  </cols>
  <sheetData>
    <row r="1" spans="1:10" x14ac:dyDescent="0.25">
      <c r="A1" s="67" t="s">
        <v>46</v>
      </c>
      <c r="B1" s="68" t="s">
        <v>273</v>
      </c>
      <c r="C1" s="68" t="s">
        <v>274</v>
      </c>
      <c r="D1" s="68" t="s">
        <v>275</v>
      </c>
      <c r="E1" s="67" t="s">
        <v>276</v>
      </c>
      <c r="F1" s="67" t="s">
        <v>277</v>
      </c>
      <c r="G1" s="67" t="s">
        <v>278</v>
      </c>
      <c r="H1" s="67" t="s">
        <v>279</v>
      </c>
      <c r="I1" s="67" t="s">
        <v>280</v>
      </c>
      <c r="J1" s="67" t="s">
        <v>281</v>
      </c>
    </row>
    <row r="2" spans="1:10" x14ac:dyDescent="0.25">
      <c r="A2" t="s">
        <v>61</v>
      </c>
      <c r="B2" s="31">
        <v>0</v>
      </c>
      <c r="C2" s="31">
        <v>0</v>
      </c>
      <c r="D2" s="31">
        <v>22.32065465395085</v>
      </c>
      <c r="E2" s="65">
        <v>1000</v>
      </c>
      <c r="F2" s="66" t="s">
        <v>64</v>
      </c>
      <c r="G2" s="66" t="s">
        <v>284</v>
      </c>
      <c r="H2">
        <v>16</v>
      </c>
      <c r="I2">
        <v>0</v>
      </c>
      <c r="J2">
        <v>124</v>
      </c>
    </row>
    <row r="3" spans="1:10" x14ac:dyDescent="0.25">
      <c r="A3" t="s">
        <v>60</v>
      </c>
      <c r="B3" s="31">
        <v>4.422572090798063</v>
      </c>
      <c r="C3" s="31">
        <v>0.28211490029001612</v>
      </c>
      <c r="D3" s="31">
        <v>21.470838615463276</v>
      </c>
      <c r="E3" s="65">
        <v>1000</v>
      </c>
      <c r="F3" s="66" t="s">
        <v>282</v>
      </c>
      <c r="G3" s="66" t="s">
        <v>283</v>
      </c>
      <c r="H3">
        <v>15</v>
      </c>
      <c r="I3">
        <v>1</v>
      </c>
      <c r="J3">
        <v>211</v>
      </c>
    </row>
    <row r="4" spans="1:10" x14ac:dyDescent="0.25">
      <c r="A4" t="s">
        <v>62</v>
      </c>
      <c r="B4" s="31">
        <v>0</v>
      </c>
      <c r="C4" s="31">
        <v>0</v>
      </c>
      <c r="D4" s="31">
        <v>75.691520495797121</v>
      </c>
      <c r="E4" s="65">
        <v>1000</v>
      </c>
      <c r="F4" s="66" t="s">
        <v>64</v>
      </c>
      <c r="G4" s="66" t="s">
        <v>284</v>
      </c>
      <c r="H4">
        <v>15</v>
      </c>
      <c r="I4">
        <v>0</v>
      </c>
      <c r="J4">
        <v>41</v>
      </c>
    </row>
    <row r="5" spans="1:10" x14ac:dyDescent="0.25">
      <c r="A5" t="s">
        <v>63</v>
      </c>
      <c r="B5" s="31">
        <v>0</v>
      </c>
      <c r="C5" s="31">
        <v>0</v>
      </c>
      <c r="D5" s="31">
        <v>203.55609152139172</v>
      </c>
      <c r="E5" s="65">
        <v>1000</v>
      </c>
      <c r="F5" s="66" t="s">
        <v>64</v>
      </c>
      <c r="G5" s="66" t="s">
        <v>284</v>
      </c>
      <c r="H5">
        <v>7</v>
      </c>
      <c r="I5">
        <v>0</v>
      </c>
      <c r="J5">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B9" sqref="A1:B9"/>
    </sheetView>
  </sheetViews>
  <sheetFormatPr defaultRowHeight="15" x14ac:dyDescent="0.25"/>
  <cols>
    <col min="1" max="1" width="7.85546875" bestFit="1" customWidth="1"/>
    <col min="2" max="2" width="11.7109375" bestFit="1" customWidth="1"/>
    <col min="3" max="3" width="9.85546875" bestFit="1" customWidth="1"/>
    <col min="4" max="4" width="10" bestFit="1" customWidth="1"/>
    <col min="5" max="5" width="5.42578125" bestFit="1" customWidth="1"/>
    <col min="6" max="6" width="15.42578125" bestFit="1" customWidth="1"/>
    <col min="7" max="7" width="12.7109375" bestFit="1" customWidth="1"/>
    <col min="8" max="8" width="9.28515625" bestFit="1" customWidth="1"/>
    <col min="9" max="9" width="12.42578125" bestFit="1" customWidth="1"/>
    <col min="10" max="10" width="13.5703125" bestFit="1" customWidth="1"/>
  </cols>
  <sheetData>
    <row r="1" spans="1:10" x14ac:dyDescent="0.25">
      <c r="A1" s="67" t="s">
        <v>94</v>
      </c>
      <c r="B1" s="68" t="s">
        <v>273</v>
      </c>
      <c r="C1" s="68" t="s">
        <v>274</v>
      </c>
      <c r="D1" s="68" t="s">
        <v>275</v>
      </c>
      <c r="E1" s="67" t="s">
        <v>276</v>
      </c>
      <c r="F1" s="67" t="s">
        <v>277</v>
      </c>
      <c r="G1" s="67" t="s">
        <v>278</v>
      </c>
      <c r="H1" s="67" t="s">
        <v>279</v>
      </c>
      <c r="I1" s="67" t="s">
        <v>280</v>
      </c>
      <c r="J1" s="67" t="s">
        <v>281</v>
      </c>
    </row>
    <row r="2" spans="1:10" x14ac:dyDescent="0.25">
      <c r="A2" t="s">
        <v>268</v>
      </c>
      <c r="B2" s="31">
        <v>0</v>
      </c>
      <c r="C2" s="31">
        <v>0</v>
      </c>
      <c r="D2" s="31">
        <v>24.691516857135536</v>
      </c>
      <c r="E2" s="65">
        <v>1000</v>
      </c>
      <c r="F2" s="66" t="s">
        <v>64</v>
      </c>
      <c r="G2" s="66" t="s">
        <v>284</v>
      </c>
      <c r="H2">
        <v>8</v>
      </c>
      <c r="I2">
        <v>0</v>
      </c>
      <c r="J2">
        <v>99</v>
      </c>
    </row>
    <row r="3" spans="1:10" x14ac:dyDescent="0.25">
      <c r="A3" t="s">
        <v>267</v>
      </c>
      <c r="B3" s="31">
        <v>0</v>
      </c>
      <c r="C3" s="31">
        <v>0</v>
      </c>
      <c r="D3" s="31">
        <v>112.97266038542546</v>
      </c>
      <c r="E3" s="65">
        <v>1000</v>
      </c>
      <c r="F3" s="66" t="s">
        <v>64</v>
      </c>
      <c r="G3" s="66" t="s">
        <v>284</v>
      </c>
      <c r="H3">
        <v>8</v>
      </c>
      <c r="I3">
        <v>0</v>
      </c>
      <c r="J3">
        <v>25</v>
      </c>
    </row>
    <row r="4" spans="1:10" x14ac:dyDescent="0.25">
      <c r="A4" t="s">
        <v>270</v>
      </c>
      <c r="B4" s="31">
        <v>4.6806310314112309</v>
      </c>
      <c r="C4" s="31">
        <v>0.3053788281221485</v>
      </c>
      <c r="D4" s="31">
        <v>22.945528662644698</v>
      </c>
      <c r="E4" s="65">
        <v>1000</v>
      </c>
      <c r="F4" s="66" t="s">
        <v>282</v>
      </c>
      <c r="G4" s="66" t="s">
        <v>283</v>
      </c>
      <c r="H4">
        <v>9</v>
      </c>
      <c r="I4">
        <v>1</v>
      </c>
      <c r="J4">
        <v>196</v>
      </c>
    </row>
    <row r="5" spans="1:10" x14ac:dyDescent="0.25">
      <c r="A5" t="s">
        <v>269</v>
      </c>
      <c r="B5" s="31">
        <v>0</v>
      </c>
      <c r="C5" s="31">
        <v>0</v>
      </c>
      <c r="D5" s="31">
        <v>173.42463399661787</v>
      </c>
      <c r="E5" s="65">
        <v>1000</v>
      </c>
      <c r="F5" s="66" t="s">
        <v>64</v>
      </c>
      <c r="G5" s="66" t="s">
        <v>284</v>
      </c>
      <c r="H5">
        <v>6</v>
      </c>
      <c r="I5">
        <v>0</v>
      </c>
      <c r="J5">
        <v>15</v>
      </c>
    </row>
    <row r="6" spans="1:10" x14ac:dyDescent="0.25">
      <c r="A6" t="s">
        <v>265</v>
      </c>
      <c r="B6" s="31">
        <v>0</v>
      </c>
      <c r="C6" s="31">
        <v>0</v>
      </c>
      <c r="D6" s="31">
        <v>107.64230189461693</v>
      </c>
      <c r="E6" s="65">
        <v>1000</v>
      </c>
      <c r="F6" s="66" t="s">
        <v>64</v>
      </c>
      <c r="G6" s="66" t="s">
        <v>284</v>
      </c>
      <c r="H6">
        <v>6</v>
      </c>
      <c r="I6">
        <v>0</v>
      </c>
      <c r="J6">
        <v>24</v>
      </c>
    </row>
    <row r="7" spans="1:10" x14ac:dyDescent="0.25">
      <c r="A7" t="s">
        <v>266</v>
      </c>
      <c r="B7" s="31">
        <v>0</v>
      </c>
      <c r="C7" s="31">
        <v>0</v>
      </c>
      <c r="D7" s="31">
        <v>165.52301768208309</v>
      </c>
      <c r="E7" s="65">
        <v>1000</v>
      </c>
      <c r="F7" s="66" t="s">
        <v>64</v>
      </c>
      <c r="G7" s="66" t="s">
        <v>284</v>
      </c>
      <c r="H7">
        <v>9</v>
      </c>
      <c r="I7">
        <v>0</v>
      </c>
      <c r="J7">
        <v>17</v>
      </c>
    </row>
    <row r="8" spans="1:10" x14ac:dyDescent="0.25">
      <c r="A8" t="s">
        <v>263</v>
      </c>
      <c r="B8" s="31">
        <v>0</v>
      </c>
      <c r="C8" s="31">
        <v>0</v>
      </c>
      <c r="D8" s="31">
        <v>450.7479638946694</v>
      </c>
      <c r="E8" s="65">
        <v>1000</v>
      </c>
      <c r="F8" s="66" t="s">
        <v>64</v>
      </c>
      <c r="G8" s="66" t="s">
        <v>284</v>
      </c>
      <c r="H8">
        <v>3</v>
      </c>
      <c r="I8">
        <v>0</v>
      </c>
      <c r="J8">
        <v>4</v>
      </c>
    </row>
    <row r="9" spans="1:10" x14ac:dyDescent="0.25">
      <c r="A9" t="s">
        <v>264</v>
      </c>
      <c r="B9" s="31">
        <v>0</v>
      </c>
      <c r="C9" s="31">
        <v>0</v>
      </c>
      <c r="D9" s="31">
        <v>251.3989896042097</v>
      </c>
      <c r="E9" s="65">
        <v>1000</v>
      </c>
      <c r="F9" s="66" t="s">
        <v>64</v>
      </c>
      <c r="G9" s="66" t="s">
        <v>284</v>
      </c>
      <c r="H9">
        <v>4</v>
      </c>
      <c r="I9">
        <v>0</v>
      </c>
      <c r="J9">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7" bestFit="1" customWidth="1"/>
    <col min="2" max="2" width="11.7109375" bestFit="1" customWidth="1"/>
    <col min="3" max="3" width="9.85546875" bestFit="1" customWidth="1"/>
    <col min="4" max="4" width="10" bestFit="1" customWidth="1"/>
    <col min="5" max="5" width="5.42578125" bestFit="1" customWidth="1"/>
    <col min="6" max="6" width="15.42578125" bestFit="1" customWidth="1"/>
    <col min="7" max="7" width="12.7109375" bestFit="1" customWidth="1"/>
    <col min="8" max="8" width="9.28515625" bestFit="1" customWidth="1"/>
    <col min="9" max="9" width="12.42578125" bestFit="1" customWidth="1"/>
    <col min="10" max="10" width="13.5703125" bestFit="1" customWidth="1"/>
  </cols>
  <sheetData>
    <row r="1" spans="1:10" x14ac:dyDescent="0.25">
      <c r="A1" s="67" t="s">
        <v>93</v>
      </c>
      <c r="B1" s="68" t="s">
        <v>273</v>
      </c>
      <c r="C1" s="68" t="s">
        <v>274</v>
      </c>
      <c r="D1" s="68" t="s">
        <v>275</v>
      </c>
      <c r="E1" s="67" t="s">
        <v>276</v>
      </c>
      <c r="F1" s="67" t="s">
        <v>277</v>
      </c>
      <c r="G1" s="67" t="s">
        <v>278</v>
      </c>
      <c r="H1" s="67" t="s">
        <v>279</v>
      </c>
      <c r="I1" s="67" t="s">
        <v>280</v>
      </c>
      <c r="J1" s="67" t="s">
        <v>281</v>
      </c>
    </row>
    <row r="2" spans="1:10" x14ac:dyDescent="0.25">
      <c r="A2" t="s">
        <v>261</v>
      </c>
      <c r="B2" s="31">
        <v>2.9817415170439978</v>
      </c>
      <c r="C2" s="31">
        <v>0.1815845983535781</v>
      </c>
      <c r="D2" s="31">
        <v>14.37028748355694</v>
      </c>
      <c r="E2" s="65">
        <v>1000</v>
      </c>
      <c r="F2" s="66" t="s">
        <v>282</v>
      </c>
      <c r="G2" s="66" t="s">
        <v>283</v>
      </c>
      <c r="H2">
        <v>26</v>
      </c>
      <c r="I2">
        <v>1</v>
      </c>
      <c r="J2">
        <v>323</v>
      </c>
    </row>
    <row r="3" spans="1:10" x14ac:dyDescent="0.25">
      <c r="A3" t="s">
        <v>262</v>
      </c>
      <c r="B3" s="31">
        <v>0</v>
      </c>
      <c r="C3" s="31">
        <v>0</v>
      </c>
      <c r="D3" s="31">
        <v>52.022216957134425</v>
      </c>
      <c r="E3" s="65">
        <v>1000</v>
      </c>
      <c r="F3" s="66" t="s">
        <v>64</v>
      </c>
      <c r="G3" s="66" t="s">
        <v>284</v>
      </c>
      <c r="H3">
        <v>27</v>
      </c>
      <c r="I3">
        <v>0</v>
      </c>
      <c r="J3">
        <v>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E16" sqref="E16"/>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5" t="s">
        <v>8</v>
      </c>
      <c r="B1" s="45" t="s">
        <v>0</v>
      </c>
      <c r="C1" s="45" t="s">
        <v>68</v>
      </c>
      <c r="D1" s="45" t="s">
        <v>46</v>
      </c>
      <c r="E1" s="45" t="s">
        <v>69</v>
      </c>
      <c r="F1" s="45" t="s">
        <v>70</v>
      </c>
      <c r="G1" s="45" t="s">
        <v>71</v>
      </c>
      <c r="H1" s="45" t="s">
        <v>72</v>
      </c>
      <c r="I1" s="45" t="s">
        <v>73</v>
      </c>
      <c r="J1" s="45" t="s">
        <v>74</v>
      </c>
      <c r="K1" s="45" t="s">
        <v>75</v>
      </c>
      <c r="L1" s="45" t="s">
        <v>45</v>
      </c>
    </row>
    <row r="2" spans="1:13" x14ac:dyDescent="0.25">
      <c r="A2" s="63">
        <v>37</v>
      </c>
      <c r="B2" s="63" t="s">
        <v>202</v>
      </c>
      <c r="C2" s="63" t="s">
        <v>183</v>
      </c>
      <c r="D2" s="63" t="s">
        <v>60</v>
      </c>
      <c r="E2" s="63" t="s">
        <v>203</v>
      </c>
      <c r="F2" s="63" t="s">
        <v>204</v>
      </c>
      <c r="G2" s="63" t="s">
        <v>205</v>
      </c>
      <c r="H2" s="63">
        <v>1</v>
      </c>
      <c r="I2" s="63">
        <v>173</v>
      </c>
      <c r="J2" s="63">
        <v>174</v>
      </c>
      <c r="K2" s="63">
        <v>175</v>
      </c>
      <c r="L2" s="64"/>
      <c r="M2" s="64"/>
    </row>
    <row r="3" spans="1:13" x14ac:dyDescent="0.25">
      <c r="A3" s="63">
        <v>37</v>
      </c>
      <c r="B3" s="63" t="s">
        <v>206</v>
      </c>
      <c r="C3" s="63" t="s">
        <v>142</v>
      </c>
      <c r="D3" s="63" t="s">
        <v>61</v>
      </c>
      <c r="E3" s="63" t="s">
        <v>272</v>
      </c>
      <c r="F3" s="63" t="s">
        <v>204</v>
      </c>
      <c r="G3" s="63" t="s">
        <v>205</v>
      </c>
      <c r="H3" s="63">
        <v>6</v>
      </c>
      <c r="I3" s="63">
        <v>55</v>
      </c>
      <c r="J3" s="63">
        <v>61</v>
      </c>
      <c r="K3" s="63">
        <v>68</v>
      </c>
      <c r="L3" s="64"/>
      <c r="M3" s="64"/>
    </row>
    <row r="4" spans="1:13" x14ac:dyDescent="0.25">
      <c r="A4" s="63">
        <v>37</v>
      </c>
      <c r="B4" s="63" t="s">
        <v>206</v>
      </c>
      <c r="C4" s="63" t="s">
        <v>145</v>
      </c>
      <c r="D4" s="63" t="s">
        <v>61</v>
      </c>
      <c r="E4" s="63" t="s">
        <v>209</v>
      </c>
      <c r="F4" s="63" t="s">
        <v>204</v>
      </c>
      <c r="G4" s="63" t="s">
        <v>205</v>
      </c>
      <c r="H4" s="63">
        <v>5</v>
      </c>
      <c r="I4" s="63">
        <v>6</v>
      </c>
      <c r="J4" s="63">
        <v>11</v>
      </c>
      <c r="K4" s="63">
        <v>22</v>
      </c>
      <c r="L4" s="64"/>
      <c r="M4" s="64"/>
    </row>
    <row r="5" spans="1:13" x14ac:dyDescent="0.25">
      <c r="A5" s="63">
        <v>37</v>
      </c>
      <c r="B5" s="63" t="s">
        <v>210</v>
      </c>
      <c r="C5" s="63" t="s">
        <v>176</v>
      </c>
      <c r="D5" s="63" t="s">
        <v>62</v>
      </c>
      <c r="E5" s="63" t="s">
        <v>211</v>
      </c>
      <c r="F5" s="63" t="s">
        <v>204</v>
      </c>
      <c r="G5" s="63" t="s">
        <v>205</v>
      </c>
      <c r="H5" s="63">
        <v>0</v>
      </c>
      <c r="I5" s="63">
        <v>9</v>
      </c>
      <c r="J5" s="63">
        <v>9</v>
      </c>
      <c r="K5" s="63">
        <v>26</v>
      </c>
      <c r="L5" s="64"/>
      <c r="M5" s="64"/>
    </row>
    <row r="6" spans="1:13" x14ac:dyDescent="0.25">
      <c r="A6" s="63">
        <v>37</v>
      </c>
      <c r="B6" s="63" t="s">
        <v>206</v>
      </c>
      <c r="C6" s="63" t="s">
        <v>150</v>
      </c>
      <c r="D6" s="63" t="s">
        <v>61</v>
      </c>
      <c r="E6" s="63" t="s">
        <v>208</v>
      </c>
      <c r="F6" s="63" t="s">
        <v>204</v>
      </c>
      <c r="G6" s="63" t="s">
        <v>205</v>
      </c>
      <c r="H6" s="63">
        <v>2</v>
      </c>
      <c r="I6" s="63">
        <v>6</v>
      </c>
      <c r="J6" s="63">
        <v>8</v>
      </c>
      <c r="K6" s="63">
        <v>9</v>
      </c>
      <c r="L6" s="64"/>
      <c r="M6" s="64"/>
    </row>
    <row r="7" spans="1:13" x14ac:dyDescent="0.25">
      <c r="A7" s="63">
        <v>37</v>
      </c>
      <c r="B7" s="63" t="s">
        <v>206</v>
      </c>
      <c r="C7" s="63" t="s">
        <v>136</v>
      </c>
      <c r="D7" s="63" t="s">
        <v>61</v>
      </c>
      <c r="E7" s="63" t="s">
        <v>212</v>
      </c>
      <c r="F7" s="63" t="s">
        <v>204</v>
      </c>
      <c r="G7" s="63" t="s">
        <v>205</v>
      </c>
      <c r="H7" s="63">
        <v>7</v>
      </c>
      <c r="I7" s="63">
        <v>1</v>
      </c>
      <c r="J7" s="63">
        <v>8</v>
      </c>
      <c r="K7" s="63">
        <v>11</v>
      </c>
      <c r="L7" s="64"/>
      <c r="M7" s="64"/>
    </row>
    <row r="8" spans="1:13" x14ac:dyDescent="0.25">
      <c r="A8" s="63">
        <v>37</v>
      </c>
      <c r="B8" s="63" t="s">
        <v>206</v>
      </c>
      <c r="C8" s="63" t="s">
        <v>139</v>
      </c>
      <c r="D8" s="63" t="s">
        <v>60</v>
      </c>
      <c r="E8" s="63" t="s">
        <v>213</v>
      </c>
      <c r="F8" s="63" t="s">
        <v>204</v>
      </c>
      <c r="G8" s="63" t="s">
        <v>205</v>
      </c>
      <c r="H8" s="63">
        <v>4</v>
      </c>
      <c r="I8" s="63">
        <v>4</v>
      </c>
      <c r="J8" s="63">
        <v>8</v>
      </c>
      <c r="K8" s="63">
        <v>19</v>
      </c>
      <c r="L8" s="64"/>
      <c r="M8" s="64"/>
    </row>
    <row r="9" spans="1:13" x14ac:dyDescent="0.25">
      <c r="A9" s="63">
        <v>37</v>
      </c>
      <c r="B9" s="63" t="s">
        <v>210</v>
      </c>
      <c r="C9" s="63" t="s">
        <v>173</v>
      </c>
      <c r="D9" s="63" t="s">
        <v>62</v>
      </c>
      <c r="E9" s="63" t="s">
        <v>214</v>
      </c>
      <c r="F9" s="63" t="s">
        <v>204</v>
      </c>
      <c r="G9" s="63" t="s">
        <v>205</v>
      </c>
      <c r="H9" s="63">
        <v>2</v>
      </c>
      <c r="I9" s="63">
        <v>4</v>
      </c>
      <c r="J9" s="63">
        <v>6</v>
      </c>
      <c r="K9" s="63">
        <v>9</v>
      </c>
      <c r="L9" s="64"/>
      <c r="M9" s="64"/>
    </row>
    <row r="10" spans="1:13" x14ac:dyDescent="0.25">
      <c r="A10" s="63">
        <v>37</v>
      </c>
      <c r="B10" s="63" t="s">
        <v>206</v>
      </c>
      <c r="C10" s="63" t="s">
        <v>125</v>
      </c>
      <c r="D10" s="63" t="s">
        <v>61</v>
      </c>
      <c r="E10" s="63" t="s">
        <v>216</v>
      </c>
      <c r="F10" s="63" t="s">
        <v>204</v>
      </c>
      <c r="G10" s="63" t="s">
        <v>205</v>
      </c>
      <c r="H10" s="63">
        <v>1</v>
      </c>
      <c r="I10" s="63">
        <v>3</v>
      </c>
      <c r="J10" s="63">
        <v>4</v>
      </c>
      <c r="K10" s="63">
        <v>5</v>
      </c>
      <c r="L10" s="64"/>
      <c r="M10" s="64"/>
    </row>
    <row r="11" spans="1:13" x14ac:dyDescent="0.25">
      <c r="A11" s="63">
        <v>37</v>
      </c>
      <c r="B11" s="63" t="s">
        <v>206</v>
      </c>
      <c r="C11" s="63" t="s">
        <v>148</v>
      </c>
      <c r="D11" s="63" t="s">
        <v>61</v>
      </c>
      <c r="E11" s="63" t="s">
        <v>217</v>
      </c>
      <c r="F11" s="63" t="s">
        <v>204</v>
      </c>
      <c r="G11" s="63" t="s">
        <v>205</v>
      </c>
      <c r="H11" s="63">
        <v>4</v>
      </c>
      <c r="I11" s="63">
        <v>0</v>
      </c>
      <c r="J11" s="63">
        <v>4</v>
      </c>
      <c r="K11" s="63">
        <v>10</v>
      </c>
      <c r="L11" s="64"/>
      <c r="M11" s="64"/>
    </row>
    <row r="12" spans="1:13" x14ac:dyDescent="0.25">
      <c r="A12" s="63">
        <v>37</v>
      </c>
      <c r="B12" s="63" t="s">
        <v>210</v>
      </c>
      <c r="C12" s="63" t="s">
        <v>169</v>
      </c>
      <c r="D12" s="63" t="s">
        <v>62</v>
      </c>
      <c r="E12" s="63" t="s">
        <v>218</v>
      </c>
      <c r="F12" s="63" t="s">
        <v>204</v>
      </c>
      <c r="G12" s="63" t="s">
        <v>205</v>
      </c>
      <c r="H12" s="63">
        <v>4</v>
      </c>
      <c r="I12" s="63">
        <v>0</v>
      </c>
      <c r="J12" s="63">
        <v>4</v>
      </c>
      <c r="K12" s="63">
        <v>25</v>
      </c>
      <c r="L12" s="64"/>
      <c r="M12" s="64"/>
    </row>
    <row r="13" spans="1:13" x14ac:dyDescent="0.25">
      <c r="A13" s="63">
        <v>37</v>
      </c>
      <c r="B13" s="63" t="s">
        <v>202</v>
      </c>
      <c r="C13" s="63" t="s">
        <v>180</v>
      </c>
      <c r="D13" s="63" t="s">
        <v>60</v>
      </c>
      <c r="E13" s="63" t="s">
        <v>219</v>
      </c>
      <c r="F13" s="63" t="s">
        <v>204</v>
      </c>
      <c r="G13" s="63" t="s">
        <v>205</v>
      </c>
      <c r="H13" s="63">
        <v>3</v>
      </c>
      <c r="I13" s="63">
        <v>1</v>
      </c>
      <c r="J13" s="63">
        <v>4</v>
      </c>
      <c r="K13" s="63">
        <v>4</v>
      </c>
      <c r="L13" s="64"/>
      <c r="M13" s="64"/>
    </row>
    <row r="14" spans="1:13" x14ac:dyDescent="0.25">
      <c r="A14" s="63">
        <v>37</v>
      </c>
      <c r="B14" s="63" t="s">
        <v>202</v>
      </c>
      <c r="C14" s="63" t="s">
        <v>189</v>
      </c>
      <c r="D14" s="63" t="s">
        <v>60</v>
      </c>
      <c r="E14" s="63" t="s">
        <v>220</v>
      </c>
      <c r="F14" s="63" t="s">
        <v>204</v>
      </c>
      <c r="G14" s="63" t="s">
        <v>205</v>
      </c>
      <c r="H14" s="63">
        <v>3</v>
      </c>
      <c r="I14" s="63">
        <v>0</v>
      </c>
      <c r="J14" s="63">
        <v>3</v>
      </c>
      <c r="K14" s="63">
        <v>3</v>
      </c>
      <c r="L14" s="64"/>
      <c r="M14" s="64"/>
    </row>
    <row r="15" spans="1:13" x14ac:dyDescent="0.25">
      <c r="A15" s="63">
        <v>37</v>
      </c>
      <c r="B15" s="63" t="s">
        <v>202</v>
      </c>
      <c r="C15" s="63" t="s">
        <v>199</v>
      </c>
      <c r="D15" s="63" t="s">
        <v>60</v>
      </c>
      <c r="E15" s="63" t="s">
        <v>221</v>
      </c>
      <c r="F15" s="63" t="s">
        <v>204</v>
      </c>
      <c r="G15" s="63" t="s">
        <v>205</v>
      </c>
      <c r="H15" s="63">
        <v>3</v>
      </c>
      <c r="I15" s="63">
        <v>0</v>
      </c>
      <c r="J15" s="63">
        <v>3</v>
      </c>
      <c r="K15" s="63">
        <v>12</v>
      </c>
      <c r="L15" s="64"/>
      <c r="M15" s="64"/>
    </row>
    <row r="16" spans="1:13" x14ac:dyDescent="0.25">
      <c r="A16" s="63">
        <v>37</v>
      </c>
      <c r="B16" s="63" t="s">
        <v>202</v>
      </c>
      <c r="C16" s="63" t="s">
        <v>178</v>
      </c>
      <c r="D16" s="63" t="s">
        <v>63</v>
      </c>
      <c r="E16" s="63" t="s">
        <v>222</v>
      </c>
      <c r="F16" s="63" t="s">
        <v>204</v>
      </c>
      <c r="G16" s="63" t="s">
        <v>205</v>
      </c>
      <c r="H16" s="63">
        <v>3</v>
      </c>
      <c r="I16" s="63">
        <v>0</v>
      </c>
      <c r="J16" s="63">
        <v>3</v>
      </c>
      <c r="K16" s="63">
        <v>3</v>
      </c>
      <c r="L16" s="64"/>
      <c r="M16" s="64"/>
    </row>
    <row r="17" spans="1:13" x14ac:dyDescent="0.25">
      <c r="A17" s="63">
        <v>37</v>
      </c>
      <c r="B17" s="63" t="s">
        <v>206</v>
      </c>
      <c r="C17" s="63" t="s">
        <v>132</v>
      </c>
      <c r="D17" s="63" t="s">
        <v>61</v>
      </c>
      <c r="E17" s="63" t="s">
        <v>223</v>
      </c>
      <c r="F17" s="63" t="s">
        <v>204</v>
      </c>
      <c r="G17" s="63" t="s">
        <v>205</v>
      </c>
      <c r="H17" s="63">
        <v>3</v>
      </c>
      <c r="I17" s="63">
        <v>0</v>
      </c>
      <c r="J17" s="63">
        <v>3</v>
      </c>
      <c r="K17" s="63">
        <v>3</v>
      </c>
      <c r="L17" s="64"/>
      <c r="M17" s="64"/>
    </row>
    <row r="18" spans="1:13" x14ac:dyDescent="0.25">
      <c r="A18" s="63">
        <v>37</v>
      </c>
      <c r="B18" s="63" t="s">
        <v>206</v>
      </c>
      <c r="C18" s="63" t="s">
        <v>130</v>
      </c>
      <c r="D18" s="63" t="s">
        <v>61</v>
      </c>
      <c r="E18" s="63" t="s">
        <v>224</v>
      </c>
      <c r="F18" s="63" t="s">
        <v>204</v>
      </c>
      <c r="G18" s="63" t="s">
        <v>205</v>
      </c>
      <c r="H18" s="63">
        <v>3</v>
      </c>
      <c r="I18" s="63">
        <v>0</v>
      </c>
      <c r="J18" s="63">
        <v>3</v>
      </c>
      <c r="K18" s="63">
        <v>19</v>
      </c>
      <c r="L18" s="64"/>
      <c r="M18" s="64"/>
    </row>
    <row r="19" spans="1:13" x14ac:dyDescent="0.25">
      <c r="A19" s="63">
        <v>37</v>
      </c>
      <c r="B19" s="63" t="s">
        <v>206</v>
      </c>
      <c r="C19" s="63" t="s">
        <v>112</v>
      </c>
      <c r="D19" s="63" t="s">
        <v>63</v>
      </c>
      <c r="E19" s="63" t="s">
        <v>225</v>
      </c>
      <c r="F19" s="63" t="s">
        <v>204</v>
      </c>
      <c r="G19" s="63" t="s">
        <v>205</v>
      </c>
      <c r="H19" s="63">
        <v>3</v>
      </c>
      <c r="I19" s="63">
        <v>0</v>
      </c>
      <c r="J19" s="63">
        <v>3</v>
      </c>
      <c r="K19" s="63">
        <v>3</v>
      </c>
      <c r="L19" s="64"/>
      <c r="M19" s="64"/>
    </row>
    <row r="20" spans="1:13" x14ac:dyDescent="0.25">
      <c r="A20" s="63">
        <v>37</v>
      </c>
      <c r="B20" s="63" t="s">
        <v>210</v>
      </c>
      <c r="C20" s="63" t="s">
        <v>163</v>
      </c>
      <c r="D20" s="63" t="s">
        <v>62</v>
      </c>
      <c r="E20" s="63" t="s">
        <v>226</v>
      </c>
      <c r="F20" s="63" t="s">
        <v>204</v>
      </c>
      <c r="G20" s="63" t="s">
        <v>205</v>
      </c>
      <c r="H20" s="63">
        <v>3</v>
      </c>
      <c r="I20" s="63">
        <v>0</v>
      </c>
      <c r="J20" s="63">
        <v>3</v>
      </c>
      <c r="K20" s="63">
        <v>3</v>
      </c>
      <c r="L20" s="64"/>
      <c r="M20" s="64"/>
    </row>
    <row r="21" spans="1:13" x14ac:dyDescent="0.25">
      <c r="A21" s="63">
        <v>37</v>
      </c>
      <c r="B21" s="63" t="s">
        <v>210</v>
      </c>
      <c r="C21" s="63" t="s">
        <v>160</v>
      </c>
      <c r="D21" s="63" t="s">
        <v>62</v>
      </c>
      <c r="E21" s="63" t="s">
        <v>227</v>
      </c>
      <c r="F21" s="63" t="s">
        <v>204</v>
      </c>
      <c r="G21" s="63" t="s">
        <v>205</v>
      </c>
      <c r="H21" s="63">
        <v>1</v>
      </c>
      <c r="I21" s="63">
        <v>1</v>
      </c>
      <c r="J21" s="63">
        <v>2</v>
      </c>
      <c r="K21" s="63">
        <v>2</v>
      </c>
      <c r="L21" s="64"/>
      <c r="M21" s="64"/>
    </row>
    <row r="22" spans="1:13" x14ac:dyDescent="0.25">
      <c r="A22" s="63">
        <v>37</v>
      </c>
      <c r="B22" s="63" t="s">
        <v>206</v>
      </c>
      <c r="C22" s="63" t="s">
        <v>123</v>
      </c>
      <c r="D22" s="63" t="s">
        <v>63</v>
      </c>
      <c r="E22" s="63" t="s">
        <v>228</v>
      </c>
      <c r="F22" s="63" t="s">
        <v>204</v>
      </c>
      <c r="G22" s="63" t="s">
        <v>205</v>
      </c>
      <c r="H22" s="63">
        <v>2</v>
      </c>
      <c r="I22" s="63">
        <v>0</v>
      </c>
      <c r="J22" s="63">
        <v>2</v>
      </c>
      <c r="K22" s="63">
        <v>2</v>
      </c>
      <c r="L22" s="64"/>
      <c r="M22" s="64"/>
    </row>
    <row r="23" spans="1:13" x14ac:dyDescent="0.25">
      <c r="A23" s="63">
        <v>37</v>
      </c>
      <c r="B23" s="63" t="s">
        <v>206</v>
      </c>
      <c r="C23" s="63" t="s">
        <v>119</v>
      </c>
      <c r="D23" s="63" t="s">
        <v>63</v>
      </c>
      <c r="E23" s="63" t="s">
        <v>229</v>
      </c>
      <c r="F23" s="63" t="s">
        <v>204</v>
      </c>
      <c r="G23" s="63" t="s">
        <v>205</v>
      </c>
      <c r="H23" s="63">
        <v>0</v>
      </c>
      <c r="I23" s="63">
        <v>2</v>
      </c>
      <c r="J23" s="63">
        <v>2</v>
      </c>
      <c r="K23" s="63">
        <v>3</v>
      </c>
      <c r="L23" s="64"/>
      <c r="M23" s="64"/>
    </row>
    <row r="24" spans="1:13" x14ac:dyDescent="0.25">
      <c r="A24" s="63">
        <v>37</v>
      </c>
      <c r="B24" s="63" t="s">
        <v>210</v>
      </c>
      <c r="C24" s="63" t="s">
        <v>165</v>
      </c>
      <c r="D24" s="63" t="s">
        <v>62</v>
      </c>
      <c r="E24" s="63" t="s">
        <v>230</v>
      </c>
      <c r="F24" s="63" t="s">
        <v>204</v>
      </c>
      <c r="G24" s="63" t="s">
        <v>205</v>
      </c>
      <c r="H24" s="63">
        <v>2</v>
      </c>
      <c r="I24" s="63">
        <v>0</v>
      </c>
      <c r="J24" s="63">
        <v>2</v>
      </c>
      <c r="K24" s="63">
        <v>22</v>
      </c>
      <c r="L24" s="64"/>
      <c r="M24" s="64"/>
    </row>
    <row r="25" spans="1:13" x14ac:dyDescent="0.25">
      <c r="A25" s="63">
        <v>37</v>
      </c>
      <c r="B25" s="63" t="s">
        <v>206</v>
      </c>
      <c r="C25" s="63" t="s">
        <v>128</v>
      </c>
      <c r="D25" s="63" t="s">
        <v>61</v>
      </c>
      <c r="E25" s="63" t="s">
        <v>231</v>
      </c>
      <c r="F25" s="63" t="s">
        <v>204</v>
      </c>
      <c r="G25" s="63" t="s">
        <v>205</v>
      </c>
      <c r="H25" s="63">
        <v>2</v>
      </c>
      <c r="I25" s="63">
        <v>0</v>
      </c>
      <c r="J25" s="63">
        <v>2</v>
      </c>
      <c r="K25" s="63">
        <v>4</v>
      </c>
      <c r="L25" s="64"/>
      <c r="M25" s="64"/>
    </row>
    <row r="26" spans="1:13" x14ac:dyDescent="0.25">
      <c r="A26" s="63">
        <v>37</v>
      </c>
      <c r="B26" s="63" t="s">
        <v>206</v>
      </c>
      <c r="C26" s="63" t="s">
        <v>117</v>
      </c>
      <c r="D26" s="63" t="s">
        <v>62</v>
      </c>
      <c r="E26" s="63" t="s">
        <v>215</v>
      </c>
      <c r="F26" s="63" t="s">
        <v>204</v>
      </c>
      <c r="G26" s="63" t="s">
        <v>205</v>
      </c>
      <c r="H26" s="63">
        <v>2</v>
      </c>
      <c r="I26" s="63">
        <v>0</v>
      </c>
      <c r="J26" s="63">
        <v>2</v>
      </c>
      <c r="K26" s="63">
        <v>4</v>
      </c>
      <c r="L26" s="64"/>
      <c r="M26" s="64"/>
    </row>
    <row r="27" spans="1:13" x14ac:dyDescent="0.25">
      <c r="A27" s="63">
        <v>37</v>
      </c>
      <c r="B27" s="63" t="s">
        <v>210</v>
      </c>
      <c r="C27" s="63" t="s">
        <v>155</v>
      </c>
      <c r="D27" s="63" t="s">
        <v>62</v>
      </c>
      <c r="E27" s="63" t="s">
        <v>233</v>
      </c>
      <c r="F27" s="63" t="s">
        <v>204</v>
      </c>
      <c r="G27" s="63" t="s">
        <v>205</v>
      </c>
      <c r="H27" s="63">
        <v>1</v>
      </c>
      <c r="I27" s="63">
        <v>1</v>
      </c>
      <c r="J27" s="63">
        <v>2</v>
      </c>
      <c r="K27" s="63">
        <v>4</v>
      </c>
      <c r="L27" s="64"/>
      <c r="M27" s="64"/>
    </row>
    <row r="28" spans="1:13" x14ac:dyDescent="0.25">
      <c r="A28" s="63">
        <v>37</v>
      </c>
      <c r="B28" s="63" t="s">
        <v>202</v>
      </c>
      <c r="C28" s="63" t="s">
        <v>197</v>
      </c>
      <c r="D28" s="63" t="s">
        <v>60</v>
      </c>
      <c r="E28" s="63" t="s">
        <v>234</v>
      </c>
      <c r="F28" s="63" t="s">
        <v>204</v>
      </c>
      <c r="G28" s="63" t="s">
        <v>205</v>
      </c>
      <c r="H28" s="63">
        <v>1</v>
      </c>
      <c r="I28" s="63">
        <v>0</v>
      </c>
      <c r="J28" s="63">
        <v>1</v>
      </c>
      <c r="K28" s="63">
        <v>1</v>
      </c>
      <c r="L28" s="64"/>
      <c r="M28" s="64"/>
    </row>
    <row r="29" spans="1:13" x14ac:dyDescent="0.25">
      <c r="A29" s="63">
        <v>37</v>
      </c>
      <c r="B29" s="63" t="s">
        <v>202</v>
      </c>
      <c r="C29" s="63" t="s">
        <v>193</v>
      </c>
      <c r="D29" s="63" t="s">
        <v>60</v>
      </c>
      <c r="E29" s="63" t="s">
        <v>235</v>
      </c>
      <c r="F29" s="63" t="s">
        <v>204</v>
      </c>
      <c r="G29" s="63" t="s">
        <v>205</v>
      </c>
      <c r="H29" s="63">
        <v>0</v>
      </c>
      <c r="I29" s="63">
        <v>1</v>
      </c>
      <c r="J29" s="63">
        <v>1</v>
      </c>
      <c r="K29" s="63">
        <v>1</v>
      </c>
      <c r="L29" s="64"/>
      <c r="M29" s="64"/>
    </row>
    <row r="30" spans="1:13" x14ac:dyDescent="0.25">
      <c r="A30" s="63">
        <v>37</v>
      </c>
      <c r="B30" s="63" t="s">
        <v>202</v>
      </c>
      <c r="C30" s="63" t="s">
        <v>195</v>
      </c>
      <c r="D30" s="63" t="s">
        <v>63</v>
      </c>
      <c r="E30" s="63" t="s">
        <v>236</v>
      </c>
      <c r="F30" s="63" t="s">
        <v>204</v>
      </c>
      <c r="G30" s="63" t="s">
        <v>205</v>
      </c>
      <c r="H30" s="63">
        <v>0</v>
      </c>
      <c r="I30" s="63">
        <v>1</v>
      </c>
      <c r="J30" s="63">
        <v>1</v>
      </c>
      <c r="K30" s="63">
        <v>1</v>
      </c>
      <c r="L30" s="64"/>
      <c r="M30" s="64"/>
    </row>
    <row r="31" spans="1:13" x14ac:dyDescent="0.25">
      <c r="A31" s="63">
        <v>37</v>
      </c>
      <c r="B31" s="63" t="s">
        <v>206</v>
      </c>
      <c r="C31" s="63" t="s">
        <v>107</v>
      </c>
      <c r="D31" s="63" t="s">
        <v>63</v>
      </c>
      <c r="E31" s="63" t="s">
        <v>237</v>
      </c>
      <c r="F31" s="63" t="s">
        <v>204</v>
      </c>
      <c r="G31" s="63" t="s">
        <v>205</v>
      </c>
      <c r="H31" s="63">
        <v>0</v>
      </c>
      <c r="I31" s="63">
        <v>1</v>
      </c>
      <c r="J31" s="63">
        <v>1</v>
      </c>
      <c r="K31" s="63">
        <v>4</v>
      </c>
      <c r="L31" s="64"/>
      <c r="M31" s="64"/>
    </row>
    <row r="32" spans="1:13" x14ac:dyDescent="0.25">
      <c r="A32" s="63">
        <v>37</v>
      </c>
      <c r="B32" s="63" t="s">
        <v>206</v>
      </c>
      <c r="C32" s="63" t="s">
        <v>121</v>
      </c>
      <c r="D32" s="63" t="s">
        <v>63</v>
      </c>
      <c r="E32" s="63" t="s">
        <v>207</v>
      </c>
      <c r="F32" s="63" t="s">
        <v>204</v>
      </c>
      <c r="G32" s="63" t="s">
        <v>205</v>
      </c>
      <c r="H32" s="63">
        <v>1</v>
      </c>
      <c r="I32" s="63">
        <v>0</v>
      </c>
      <c r="J32" s="63">
        <v>1</v>
      </c>
      <c r="K32" s="63">
        <v>1</v>
      </c>
      <c r="L32" s="64"/>
      <c r="M32" s="64"/>
    </row>
    <row r="33" spans="1:13" x14ac:dyDescent="0.25">
      <c r="A33" s="63">
        <v>37</v>
      </c>
      <c r="B33" s="63" t="s">
        <v>210</v>
      </c>
      <c r="C33" s="63" t="s">
        <v>158</v>
      </c>
      <c r="D33" s="63" t="s">
        <v>62</v>
      </c>
      <c r="E33" s="63" t="s">
        <v>238</v>
      </c>
      <c r="F33" s="63" t="s">
        <v>204</v>
      </c>
      <c r="G33" s="63" t="s">
        <v>205</v>
      </c>
      <c r="H33" s="63">
        <v>1</v>
      </c>
      <c r="I33" s="63">
        <v>0</v>
      </c>
      <c r="J33" s="63">
        <v>1</v>
      </c>
      <c r="K33" s="63">
        <v>8</v>
      </c>
      <c r="L33" s="64"/>
      <c r="M33" s="64"/>
    </row>
    <row r="34" spans="1:13" x14ac:dyDescent="0.25">
      <c r="A34" s="63">
        <v>37</v>
      </c>
      <c r="B34" s="63" t="s">
        <v>210</v>
      </c>
      <c r="C34" s="63" t="s">
        <v>171</v>
      </c>
      <c r="D34" s="63" t="s">
        <v>62</v>
      </c>
      <c r="E34" s="63" t="s">
        <v>239</v>
      </c>
      <c r="F34" s="63" t="s">
        <v>204</v>
      </c>
      <c r="G34" s="63" t="s">
        <v>205</v>
      </c>
      <c r="H34" s="63">
        <v>1</v>
      </c>
      <c r="I34" s="63">
        <v>0</v>
      </c>
      <c r="J34" s="63">
        <v>1</v>
      </c>
      <c r="K34" s="63">
        <v>3</v>
      </c>
      <c r="L34" s="64"/>
      <c r="M34" s="64"/>
    </row>
    <row r="35" spans="1:13" x14ac:dyDescent="0.25">
      <c r="A35" s="63">
        <v>37</v>
      </c>
      <c r="B35" s="63" t="s">
        <v>210</v>
      </c>
      <c r="C35" s="63" t="s">
        <v>240</v>
      </c>
      <c r="D35" s="63" t="s">
        <v>62</v>
      </c>
      <c r="E35" s="63" t="s">
        <v>241</v>
      </c>
      <c r="F35" s="63" t="s">
        <v>204</v>
      </c>
      <c r="G35" s="63" t="s">
        <v>205</v>
      </c>
      <c r="H35" s="63">
        <v>0</v>
      </c>
      <c r="I35" s="63">
        <v>0</v>
      </c>
      <c r="J35" s="63">
        <v>0</v>
      </c>
      <c r="K35" s="63">
        <v>0</v>
      </c>
      <c r="L35" s="64"/>
      <c r="M35" s="64"/>
    </row>
    <row r="36" spans="1:13" x14ac:dyDescent="0.25">
      <c r="A36" s="63">
        <v>37</v>
      </c>
      <c r="B36" s="63" t="s">
        <v>210</v>
      </c>
      <c r="C36" s="63" t="s">
        <v>242</v>
      </c>
      <c r="D36" s="63" t="s">
        <v>62</v>
      </c>
      <c r="E36" s="63" t="s">
        <v>243</v>
      </c>
      <c r="F36" s="63" t="s">
        <v>204</v>
      </c>
      <c r="G36" s="63" t="s">
        <v>205</v>
      </c>
      <c r="H36" s="63">
        <v>0</v>
      </c>
      <c r="I36" s="63">
        <v>0</v>
      </c>
      <c r="J36" s="63">
        <v>0</v>
      </c>
      <c r="K36" s="63">
        <v>0</v>
      </c>
      <c r="L36" s="64"/>
      <c r="M36" s="64"/>
    </row>
    <row r="37" spans="1:13" x14ac:dyDescent="0.25">
      <c r="A37" s="63">
        <v>37</v>
      </c>
      <c r="B37" s="63" t="s">
        <v>206</v>
      </c>
      <c r="C37" s="63" t="s">
        <v>244</v>
      </c>
      <c r="D37" s="63" t="s">
        <v>63</v>
      </c>
      <c r="E37" s="63" t="s">
        <v>245</v>
      </c>
      <c r="F37" s="63" t="s">
        <v>204</v>
      </c>
      <c r="G37" s="63" t="s">
        <v>205</v>
      </c>
      <c r="H37" s="63">
        <v>0</v>
      </c>
      <c r="I37" s="63">
        <v>0</v>
      </c>
      <c r="J37" s="63">
        <v>0</v>
      </c>
      <c r="K37" s="63">
        <v>0</v>
      </c>
      <c r="L37" s="64"/>
      <c r="M37" s="64"/>
    </row>
    <row r="38" spans="1:13" x14ac:dyDescent="0.25">
      <c r="A38" s="63">
        <v>37</v>
      </c>
      <c r="B38" s="63" t="s">
        <v>206</v>
      </c>
      <c r="C38" s="63" t="s">
        <v>246</v>
      </c>
      <c r="D38" s="63" t="s">
        <v>63</v>
      </c>
      <c r="E38" s="63" t="s">
        <v>247</v>
      </c>
      <c r="F38" s="63" t="s">
        <v>204</v>
      </c>
      <c r="G38" s="63" t="s">
        <v>205</v>
      </c>
      <c r="H38" s="63">
        <v>0</v>
      </c>
      <c r="I38" s="63">
        <v>0</v>
      </c>
      <c r="J38" s="63">
        <v>0</v>
      </c>
      <c r="K38" s="63">
        <v>0</v>
      </c>
      <c r="L38" s="64"/>
      <c r="M38" s="64"/>
    </row>
    <row r="39" spans="1:13" x14ac:dyDescent="0.25">
      <c r="A39" s="63">
        <v>37</v>
      </c>
      <c r="B39" s="63" t="s">
        <v>206</v>
      </c>
      <c r="C39" s="63" t="s">
        <v>248</v>
      </c>
      <c r="D39" s="63" t="s">
        <v>62</v>
      </c>
      <c r="E39" s="63" t="s">
        <v>249</v>
      </c>
      <c r="F39" s="63" t="s">
        <v>204</v>
      </c>
      <c r="G39" s="63" t="s">
        <v>205</v>
      </c>
      <c r="H39" s="63">
        <v>0</v>
      </c>
      <c r="I39" s="63">
        <v>0</v>
      </c>
      <c r="J39" s="63">
        <v>0</v>
      </c>
      <c r="K39" s="63">
        <v>2</v>
      </c>
      <c r="L39" s="64"/>
      <c r="M39" s="64"/>
    </row>
    <row r="40" spans="1:13" x14ac:dyDescent="0.25">
      <c r="A40" s="63">
        <v>37</v>
      </c>
      <c r="B40" s="63" t="s">
        <v>206</v>
      </c>
      <c r="C40" s="63" t="s">
        <v>250</v>
      </c>
      <c r="D40" s="63" t="s">
        <v>61</v>
      </c>
      <c r="E40" s="63" t="s">
        <v>251</v>
      </c>
      <c r="F40" s="63" t="s">
        <v>204</v>
      </c>
      <c r="G40" s="63" t="s">
        <v>205</v>
      </c>
      <c r="H40" s="63">
        <v>0</v>
      </c>
      <c r="I40" s="63">
        <v>0</v>
      </c>
      <c r="J40" s="63">
        <v>0</v>
      </c>
      <c r="K40" s="63">
        <v>42</v>
      </c>
      <c r="L40" s="64"/>
      <c r="M40" s="64"/>
    </row>
    <row r="41" spans="1:13" x14ac:dyDescent="0.25">
      <c r="A41" s="63">
        <v>37</v>
      </c>
      <c r="B41" s="63" t="s">
        <v>202</v>
      </c>
      <c r="C41" s="63" t="s">
        <v>252</v>
      </c>
      <c r="D41" s="63" t="s">
        <v>60</v>
      </c>
      <c r="E41" s="63" t="s">
        <v>232</v>
      </c>
      <c r="F41" s="63" t="s">
        <v>204</v>
      </c>
      <c r="G41" s="63" t="s">
        <v>205</v>
      </c>
      <c r="H41" s="63">
        <v>0</v>
      </c>
      <c r="I41" s="63">
        <v>0</v>
      </c>
      <c r="J41" s="63">
        <v>0</v>
      </c>
      <c r="K41" s="63">
        <v>1</v>
      </c>
      <c r="L41" s="64"/>
      <c r="M41" s="64"/>
    </row>
    <row r="42" spans="1:13" x14ac:dyDescent="0.25">
      <c r="A42" s="63">
        <v>37</v>
      </c>
      <c r="B42" s="63" t="s">
        <v>210</v>
      </c>
      <c r="C42" s="63" t="s">
        <v>253</v>
      </c>
      <c r="D42" s="63" t="s">
        <v>62</v>
      </c>
      <c r="E42" s="63" t="s">
        <v>254</v>
      </c>
      <c r="F42" s="63" t="s">
        <v>204</v>
      </c>
      <c r="G42" s="63" t="s">
        <v>205</v>
      </c>
      <c r="H42" s="63">
        <v>0</v>
      </c>
      <c r="I42" s="63">
        <v>0</v>
      </c>
      <c r="J42" s="63">
        <v>0</v>
      </c>
      <c r="K42" s="63">
        <v>2</v>
      </c>
      <c r="L42" s="64"/>
      <c r="M42" s="64"/>
    </row>
    <row r="43" spans="1:13" x14ac:dyDescent="0.25">
      <c r="A43" s="63">
        <v>37</v>
      </c>
      <c r="B43" s="63" t="s">
        <v>210</v>
      </c>
      <c r="C43" s="63" t="s">
        <v>255</v>
      </c>
      <c r="D43" s="63" t="s">
        <v>62</v>
      </c>
      <c r="E43" s="63" t="s">
        <v>256</v>
      </c>
      <c r="F43" s="63" t="s">
        <v>204</v>
      </c>
      <c r="G43" s="63" t="s">
        <v>205</v>
      </c>
      <c r="H43" s="63">
        <v>0</v>
      </c>
      <c r="I43" s="63">
        <v>0</v>
      </c>
      <c r="J43" s="63">
        <v>0</v>
      </c>
      <c r="K43" s="63">
        <v>8</v>
      </c>
      <c r="L43" s="64"/>
      <c r="M43" s="64"/>
    </row>
    <row r="44" spans="1:13" x14ac:dyDescent="0.25">
      <c r="A44" s="63">
        <v>37</v>
      </c>
      <c r="B44" s="63" t="s">
        <v>202</v>
      </c>
      <c r="C44" s="63" t="s">
        <v>257</v>
      </c>
      <c r="D44" s="63" t="s">
        <v>60</v>
      </c>
      <c r="E44" s="63" t="s">
        <v>258</v>
      </c>
      <c r="F44" s="63" t="s">
        <v>204</v>
      </c>
      <c r="G44" s="63" t="s">
        <v>205</v>
      </c>
      <c r="H44" s="63">
        <v>0</v>
      </c>
      <c r="I44" s="63">
        <v>0</v>
      </c>
      <c r="J44" s="63">
        <v>0</v>
      </c>
      <c r="K44" s="63">
        <v>0</v>
      </c>
      <c r="L44" s="64"/>
      <c r="M44" s="64"/>
    </row>
    <row r="45" spans="1:13" x14ac:dyDescent="0.25">
      <c r="A45" s="46"/>
      <c r="B45" s="46"/>
      <c r="C45" s="46"/>
      <c r="D45" s="46"/>
      <c r="E45" s="46"/>
      <c r="F45" s="46"/>
      <c r="G45" s="46"/>
      <c r="H45" s="46"/>
      <c r="I45" s="46"/>
      <c r="J45" s="46"/>
      <c r="K45" s="46"/>
    </row>
    <row r="46" spans="1:13" x14ac:dyDescent="0.25">
      <c r="A46" s="46"/>
      <c r="B46" s="46"/>
      <c r="C46" s="46"/>
      <c r="D46" s="46"/>
      <c r="E46" s="46"/>
      <c r="F46" s="46"/>
      <c r="G46" s="46"/>
      <c r="H46" s="46"/>
      <c r="I46" s="46"/>
      <c r="J46" s="46"/>
      <c r="K46" s="46"/>
    </row>
    <row r="47" spans="1:13" x14ac:dyDescent="0.25">
      <c r="A47" s="46"/>
      <c r="B47" s="46"/>
      <c r="C47" s="46"/>
      <c r="D47" s="46"/>
      <c r="E47" s="46"/>
      <c r="F47" s="46"/>
      <c r="G47" s="46"/>
      <c r="H47" s="46"/>
      <c r="I47" s="46"/>
      <c r="J47" s="46"/>
      <c r="K47" s="46"/>
    </row>
    <row r="48" spans="1:13" x14ac:dyDescent="0.25">
      <c r="A48" s="46"/>
      <c r="B48" s="46"/>
      <c r="C48" s="46"/>
      <c r="D48" s="46"/>
      <c r="E48" s="46"/>
      <c r="F48" s="46"/>
      <c r="G48" s="46"/>
      <c r="H48" s="46"/>
      <c r="I48" s="46"/>
      <c r="J48" s="46"/>
      <c r="K48" s="46"/>
    </row>
    <row r="49" spans="1:11" x14ac:dyDescent="0.25">
      <c r="A49" s="46"/>
      <c r="B49" s="46"/>
      <c r="C49" s="46"/>
      <c r="D49" s="46"/>
      <c r="E49" s="46"/>
      <c r="F49" s="46"/>
      <c r="G49" s="46"/>
      <c r="H49" s="46"/>
      <c r="I49" s="46"/>
      <c r="J49" s="46"/>
      <c r="K49" s="46"/>
    </row>
    <row r="50" spans="1:11" x14ac:dyDescent="0.25">
      <c r="A50" s="46"/>
      <c r="B50" s="46"/>
      <c r="C50" s="46"/>
      <c r="D50" s="46"/>
      <c r="E50" s="46"/>
      <c r="F50" s="46"/>
      <c r="G50" s="46"/>
      <c r="H50" s="46"/>
      <c r="I50" s="46"/>
      <c r="J50" s="46"/>
      <c r="K50" s="46"/>
    </row>
    <row r="51" spans="1:11" x14ac:dyDescent="0.25">
      <c r="A51" s="46"/>
      <c r="B51" s="46"/>
      <c r="C51" s="46"/>
      <c r="D51" s="46"/>
      <c r="E51" s="46"/>
      <c r="F51" s="46"/>
      <c r="G51" s="46"/>
      <c r="H51" s="46"/>
      <c r="I51" s="46"/>
      <c r="J51" s="46"/>
      <c r="K51" s="46"/>
    </row>
    <row r="52" spans="1:11" x14ac:dyDescent="0.25">
      <c r="A52" s="46"/>
      <c r="B52" s="46"/>
      <c r="C52" s="46"/>
      <c r="D52" s="46"/>
      <c r="E52" s="46"/>
      <c r="F52" s="46"/>
      <c r="G52" s="46"/>
      <c r="H52" s="46"/>
      <c r="I52" s="46"/>
      <c r="J52" s="46"/>
      <c r="K52" s="46"/>
    </row>
    <row r="53" spans="1:11" x14ac:dyDescent="0.25">
      <c r="A53" s="46"/>
      <c r="B53" s="46"/>
      <c r="C53" s="46"/>
      <c r="D53" s="46"/>
      <c r="E53" s="46"/>
      <c r="F53" s="46"/>
      <c r="G53" s="46"/>
      <c r="H53" s="46"/>
      <c r="I53" s="46"/>
      <c r="J53" s="46"/>
      <c r="K53" s="46"/>
    </row>
    <row r="54" spans="1:11" x14ac:dyDescent="0.25">
      <c r="A54" s="46"/>
      <c r="B54" s="46"/>
      <c r="C54" s="46"/>
      <c r="D54" s="46"/>
      <c r="E54" s="46"/>
      <c r="F54" s="46"/>
      <c r="G54" s="46"/>
      <c r="H54" s="46"/>
      <c r="I54" s="46"/>
      <c r="J54" s="46"/>
      <c r="K54" s="46"/>
    </row>
    <row r="55" spans="1:11" x14ac:dyDescent="0.25">
      <c r="A55" s="46"/>
      <c r="B55" s="46"/>
      <c r="C55" s="46"/>
      <c r="D55" s="46"/>
      <c r="E55" s="46"/>
      <c r="F55" s="46"/>
      <c r="G55" s="46"/>
      <c r="H55" s="46"/>
      <c r="I55" s="46"/>
      <c r="J55" s="46"/>
      <c r="K55" s="46"/>
    </row>
    <row r="56" spans="1:11" x14ac:dyDescent="0.25">
      <c r="A56" s="46"/>
      <c r="B56" s="46"/>
      <c r="C56" s="46"/>
      <c r="D56" s="46"/>
      <c r="E56" s="46"/>
      <c r="F56" s="46"/>
      <c r="G56" s="46"/>
      <c r="H56" s="46"/>
      <c r="I56" s="46"/>
      <c r="J56" s="46"/>
      <c r="K56" s="46"/>
    </row>
    <row r="57" spans="1:11" x14ac:dyDescent="0.25">
      <c r="A57" s="46"/>
      <c r="B57" s="46"/>
      <c r="C57" s="46"/>
      <c r="D57" s="46"/>
      <c r="E57" s="46"/>
      <c r="F57" s="46"/>
      <c r="G57" s="46"/>
      <c r="H57" s="46"/>
      <c r="I57" s="46"/>
      <c r="J57" s="46"/>
      <c r="K57" s="46"/>
    </row>
    <row r="58" spans="1:11" x14ac:dyDescent="0.25">
      <c r="A58" s="46"/>
      <c r="B58" s="46"/>
      <c r="C58" s="46"/>
      <c r="D58" s="46"/>
      <c r="E58" s="46"/>
      <c r="F58" s="46"/>
      <c r="G58" s="46"/>
      <c r="H58" s="46"/>
      <c r="I58" s="46"/>
      <c r="J58" s="46"/>
      <c r="K58" s="46"/>
    </row>
    <row r="59" spans="1:11" x14ac:dyDescent="0.25">
      <c r="A59" s="46"/>
      <c r="B59" s="46"/>
      <c r="C59" s="46"/>
      <c r="D59" s="46"/>
      <c r="E59" s="46"/>
      <c r="F59" s="46"/>
      <c r="G59" s="46"/>
      <c r="H59" s="46"/>
      <c r="I59" s="46"/>
      <c r="J59" s="46"/>
      <c r="K59" s="46"/>
    </row>
    <row r="60" spans="1:11" x14ac:dyDescent="0.25">
      <c r="A60" s="46"/>
      <c r="B60" s="46"/>
      <c r="C60" s="46"/>
      <c r="D60" s="46"/>
      <c r="E60" s="46"/>
      <c r="F60" s="46"/>
      <c r="G60" s="46"/>
      <c r="H60" s="46"/>
      <c r="I60" s="46"/>
      <c r="J60" s="46"/>
      <c r="K60" s="46"/>
    </row>
  </sheetData>
  <sortState ref="A2:L70">
    <sortCondition ref="G2:G70"/>
    <sortCondition ref="F2:F7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5" sqref="C5"/>
    </sheetView>
  </sheetViews>
  <sheetFormatPr defaultRowHeight="15" x14ac:dyDescent="0.25"/>
  <cols>
    <col min="1" max="1" width="11.42578125" customWidth="1"/>
    <col min="2" max="2" width="14.7109375" customWidth="1"/>
    <col min="3" max="3" width="14.42578125" customWidth="1"/>
    <col min="4" max="4" width="13"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61</v>
      </c>
      <c r="B5" s="2">
        <v>71</v>
      </c>
      <c r="C5" s="2">
        <v>33</v>
      </c>
      <c r="D5" s="2">
        <v>104</v>
      </c>
      <c r="G5" s="1" t="s">
        <v>9</v>
      </c>
      <c r="H5" s="2" t="e">
        <f>GETPIVOTDATA("Sum of Cx pipiens",$A$4,"Zone","LV")</f>
        <v>#REF!</v>
      </c>
      <c r="I5" s="2" t="e">
        <f>GETPIVOTDATA("Sum of Cx tarsalis",$A$4,"Zone","LV")</f>
        <v>#REF!</v>
      </c>
      <c r="J5" s="2" t="e">
        <f>GETPIVOTDATA("Sum of Total CX",$A$4,"Zone","LV")</f>
        <v>#REF!</v>
      </c>
    </row>
    <row r="6" spans="1:10" x14ac:dyDescent="0.25">
      <c r="A6" s="1" t="s">
        <v>60</v>
      </c>
      <c r="B6" s="2">
        <v>179</v>
      </c>
      <c r="C6" s="2">
        <v>15</v>
      </c>
      <c r="D6" s="2">
        <v>194</v>
      </c>
      <c r="G6" s="1" t="s">
        <v>61</v>
      </c>
      <c r="H6" s="2">
        <f>GETPIVOTDATA("Sum of Cx pipiens",$A$4,"Zone","NE")</f>
        <v>71</v>
      </c>
      <c r="I6" s="2">
        <f>GETPIVOTDATA("Sum of Cx tarsalis",$A$4,"Zone","NE")</f>
        <v>33</v>
      </c>
      <c r="J6" s="2">
        <f>GETPIVOTDATA("Sum of Total CX",$A$4,"Zone","NE")</f>
        <v>104</v>
      </c>
    </row>
    <row r="7" spans="1:10" x14ac:dyDescent="0.25">
      <c r="A7" s="1" t="s">
        <v>62</v>
      </c>
      <c r="B7" s="2">
        <v>15</v>
      </c>
      <c r="C7" s="2">
        <v>17</v>
      </c>
      <c r="D7" s="2">
        <v>32</v>
      </c>
      <c r="G7" s="1" t="s">
        <v>60</v>
      </c>
      <c r="H7" s="2">
        <f>GETPIVOTDATA("Sum of Cx pipiens",$A$4,"Zone","NW")</f>
        <v>179</v>
      </c>
      <c r="I7" s="2">
        <f>GETPIVOTDATA("Sum of Cx tarsalis",$A$4,"Zone","NW")</f>
        <v>15</v>
      </c>
      <c r="J7" s="2">
        <f>GETPIVOTDATA("Sum of Total CX",$A$4,"Zone","NW")</f>
        <v>194</v>
      </c>
    </row>
    <row r="8" spans="1:10" x14ac:dyDescent="0.25">
      <c r="A8" s="1" t="s">
        <v>63</v>
      </c>
      <c r="B8" s="2">
        <v>4</v>
      </c>
      <c r="C8" s="2">
        <v>9</v>
      </c>
      <c r="D8" s="2">
        <v>13</v>
      </c>
      <c r="G8" s="1" t="s">
        <v>62</v>
      </c>
      <c r="H8" s="2">
        <f>GETPIVOTDATA("Sum of Cx pipiens",$A$4,"Zone","SE")</f>
        <v>15</v>
      </c>
      <c r="I8" s="2">
        <f>GETPIVOTDATA("Sum of Cx tarsalis",$A$4,"Zone","SE")</f>
        <v>17</v>
      </c>
      <c r="J8" s="2">
        <f>GETPIVOTDATA("Sum of Total CX",$A$4,"Zone","SE")</f>
        <v>32</v>
      </c>
    </row>
    <row r="9" spans="1:10" x14ac:dyDescent="0.25">
      <c r="A9" s="1" t="s">
        <v>7</v>
      </c>
      <c r="B9" s="2">
        <v>269</v>
      </c>
      <c r="C9" s="2">
        <v>74</v>
      </c>
      <c r="D9" s="2">
        <v>343</v>
      </c>
      <c r="G9" s="1" t="s">
        <v>63</v>
      </c>
      <c r="H9" s="2">
        <f>GETPIVOTDATA("Sum of Cx pipiens",$A$4,"Zone","SW")</f>
        <v>4</v>
      </c>
      <c r="I9" s="2">
        <f>GETPIVOTDATA("Sum of Cx tarsalis",$A$4,"Zone","SW")</f>
        <v>9</v>
      </c>
      <c r="J9" s="2">
        <f>GETPIVOTDATA("Sum of Total CX",$A$4,"Zone","SW")</f>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A9" sqref="A6:A9"/>
      <pivotSelection pane="bottomRight" showHeader="1" activeRow="8" click="1" r:id="rId1">
        <pivotArea dataOnly="0" labelOnly="1" fieldPosition="0">
          <references count="1">
            <reference field="8" count="0"/>
          </references>
        </pivotArea>
      </pivotSelection>
    </sheetView>
  </sheetViews>
  <sheetFormatPr defaultRowHeight="15" x14ac:dyDescent="0.25"/>
  <cols>
    <col min="1" max="1" width="11.42578125" customWidth="1"/>
    <col min="2" max="2" width="14.140625" customWidth="1"/>
    <col min="3" max="3" width="6.42578125" customWidth="1"/>
    <col min="4" max="4" width="9.85546875" customWidth="1"/>
  </cols>
  <sheetData>
    <row r="1" spans="1:11" x14ac:dyDescent="0.25">
      <c r="A1" s="75" t="s">
        <v>79</v>
      </c>
      <c r="B1" s="75"/>
      <c r="H1" s="75" t="s">
        <v>55</v>
      </c>
      <c r="I1" s="75"/>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61</v>
      </c>
      <c r="B6" s="2">
        <v>99</v>
      </c>
      <c r="C6" s="2">
        <v>25</v>
      </c>
      <c r="D6" s="2">
        <v>124</v>
      </c>
      <c r="H6" s="1" t="s">
        <v>9</v>
      </c>
      <c r="I6" s="2" t="e">
        <f>GETPIVOTDATA("Total",$A$4,"Zone","LV","Spp","pipiens")</f>
        <v>#REF!</v>
      </c>
      <c r="J6" s="2" t="e">
        <f>GETPIVOTDATA("Total",$A$4,"Zone","LV","Spp","tarsalis")</f>
        <v>#REF!</v>
      </c>
      <c r="K6" s="2" t="e">
        <f>GETPIVOTDATA("Total",$A$4,"Zone","LV")</f>
        <v>#REF!</v>
      </c>
    </row>
    <row r="7" spans="1:11" x14ac:dyDescent="0.25">
      <c r="A7" s="1" t="s">
        <v>60</v>
      </c>
      <c r="B7" s="2">
        <v>196</v>
      </c>
      <c r="C7" s="2">
        <v>15</v>
      </c>
      <c r="D7" s="2">
        <v>211</v>
      </c>
      <c r="H7" s="1" t="s">
        <v>61</v>
      </c>
      <c r="I7" s="2">
        <f>GETPIVOTDATA("Total",$A$4,"Zone","NE","Spp","pipiens")</f>
        <v>99</v>
      </c>
      <c r="J7" s="2">
        <f>GETPIVOTDATA("Total",$A$4,"Zone","NE","Spp","tarsalis")</f>
        <v>25</v>
      </c>
      <c r="K7" s="2">
        <f>GETPIVOTDATA("Total",$A$4,"Zone","NE")</f>
        <v>124</v>
      </c>
    </row>
    <row r="8" spans="1:11" x14ac:dyDescent="0.25">
      <c r="A8" s="1" t="s">
        <v>62</v>
      </c>
      <c r="B8" s="2">
        <v>24</v>
      </c>
      <c r="C8" s="2">
        <v>17</v>
      </c>
      <c r="D8" s="2">
        <v>41</v>
      </c>
      <c r="H8" s="1" t="s">
        <v>60</v>
      </c>
      <c r="I8" s="2">
        <f>GETPIVOTDATA("Total",$A$4,"Zone","NW","Spp","pipiens")</f>
        <v>196</v>
      </c>
      <c r="J8" s="2">
        <f>GETPIVOTDATA("Total",$A$4,"Zone","NW","Spp","tarsalis")</f>
        <v>15</v>
      </c>
      <c r="K8" s="2">
        <f>GETPIVOTDATA("Total",$A$4,"Zone","NW")</f>
        <v>211</v>
      </c>
    </row>
    <row r="9" spans="1:11" x14ac:dyDescent="0.25">
      <c r="A9" s="1" t="s">
        <v>63</v>
      </c>
      <c r="B9" s="2">
        <v>4</v>
      </c>
      <c r="C9" s="2">
        <v>9</v>
      </c>
      <c r="D9" s="2">
        <v>13</v>
      </c>
      <c r="H9" s="1" t="s">
        <v>62</v>
      </c>
      <c r="I9" s="2">
        <f>GETPIVOTDATA("Total",$A$4,"Zone","SE","Spp","pipiens")</f>
        <v>24</v>
      </c>
      <c r="J9" s="2">
        <f>GETPIVOTDATA("Total",$A$4,"Zone","SE","Spp","tarsalis")</f>
        <v>17</v>
      </c>
      <c r="K9" s="2">
        <f>GETPIVOTDATA("Total",$A$4,"Zone","SE")</f>
        <v>41</v>
      </c>
    </row>
    <row r="10" spans="1:11" x14ac:dyDescent="0.25">
      <c r="A10" s="1" t="s">
        <v>7</v>
      </c>
      <c r="B10" s="2">
        <v>323</v>
      </c>
      <c r="C10" s="2">
        <v>66</v>
      </c>
      <c r="D10" s="2">
        <v>389</v>
      </c>
      <c r="H10" s="1" t="s">
        <v>63</v>
      </c>
      <c r="I10" s="2">
        <f>GETPIVOTDATA("Total",$A$4,"Zone","SW","Spp","pipiens")</f>
        <v>4</v>
      </c>
      <c r="J10" s="2">
        <f>GETPIVOTDATA("Total",$A$4,"Zone","SW","Spp","tarsalis")</f>
        <v>9</v>
      </c>
      <c r="K10" s="2">
        <f>GETPIVOTDATA("Total",$A$4,"Zone","SW")</f>
        <v>13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A657339-B079-4FB7-A303-39026F5C4A50}"/>
</file>

<file path=customXml/itemProps2.xml><?xml version="1.0" encoding="utf-8"?>
<ds:datastoreItem xmlns:ds="http://schemas.openxmlformats.org/officeDocument/2006/customXml" ds:itemID="{0735F8FA-67C7-4F57-BB4C-A29C5F9D6549}"/>
</file>

<file path=customXml/itemProps3.xml><?xml version="1.0" encoding="utf-8"?>
<ds:datastoreItem xmlns:ds="http://schemas.openxmlformats.org/officeDocument/2006/customXml" ds:itemID="{B9F99171-1063-4457-B985-4E95200269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2017-05-19T15:10:27Z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1241800</vt:r8>
  </property>
</Properties>
</file>