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0" windowWidth="19440" windowHeight="15225" tabRatio="905" firstSheet="7" activeTab="13"/>
  </bookViews>
  <sheets>
    <sheet name="READ ME" sheetId="65" r:id="rId1"/>
    <sheet name="Weekly Data Input" sheetId="2" r:id="rId2"/>
    <sheet name="InfRateTotal" sheetId="139" r:id="rId3"/>
    <sheet name="InfRateZone" sheetId="137" r:id="rId4"/>
    <sheet name="InfRateZO" sheetId="135" r:id="rId5"/>
    <sheet name="InfRateCI" sheetId="133"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38" r:id="rId16"/>
  </pivotCaches>
</workbook>
</file>

<file path=xl/calcChain.xml><?xml version="1.0" encoding="utf-8"?>
<calcChain xmlns="http://schemas.openxmlformats.org/spreadsheetml/2006/main">
  <c r="M76" i="5" l="1"/>
  <c r="F13" i="5" s="1"/>
  <c r="L76" i="5"/>
  <c r="E13" i="5" s="1"/>
  <c r="I11" i="6"/>
  <c r="G11" i="6"/>
  <c r="G12" i="6"/>
  <c r="I12" i="6"/>
  <c r="H12" i="6"/>
  <c r="H11" i="6"/>
  <c r="H10" i="64"/>
  <c r="I11" i="64"/>
  <c r="H11" i="64"/>
  <c r="J11" i="64"/>
  <c r="I10" i="64"/>
  <c r="J10" i="64"/>
  <c r="J11" i="61"/>
  <c r="J10" i="61"/>
  <c r="I10" i="61"/>
  <c r="I11" i="61"/>
  <c r="K11" i="61"/>
  <c r="K10" i="61"/>
  <c r="H10" i="63"/>
  <c r="H5" i="63"/>
  <c r="I5" i="63"/>
  <c r="I10" i="63"/>
  <c r="J10" i="63"/>
  <c r="J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10" i="6"/>
  <c r="I8" i="6"/>
  <c r="G9" i="6"/>
  <c r="H8" i="6"/>
  <c r="G8" i="6"/>
  <c r="G7" i="6"/>
  <c r="I7" i="6"/>
  <c r="H10" i="6"/>
  <c r="H7" i="6"/>
  <c r="H9" i="6"/>
  <c r="I9" i="6"/>
  <c r="I10" i="6"/>
  <c r="J7" i="64"/>
  <c r="H7" i="64"/>
  <c r="J6" i="64"/>
  <c r="I9" i="64"/>
  <c r="H6" i="64"/>
  <c r="I7" i="64"/>
  <c r="J9" i="64"/>
  <c r="I6" i="64"/>
  <c r="H9" i="64"/>
  <c r="H8" i="64"/>
  <c r="J8" i="64"/>
  <c r="I8" i="64"/>
  <c r="K7" i="61"/>
  <c r="J9" i="61"/>
  <c r="J8" i="61"/>
  <c r="I7" i="61"/>
  <c r="I8" i="61"/>
  <c r="K9" i="61"/>
  <c r="I6" i="61"/>
  <c r="J6" i="61"/>
  <c r="I9" i="61"/>
  <c r="J7" i="61"/>
  <c r="K8" i="61"/>
  <c r="K6" i="61"/>
  <c r="J7" i="63"/>
  <c r="H6" i="63"/>
  <c r="I8" i="63"/>
  <c r="H9" i="63"/>
  <c r="H7" i="63"/>
  <c r="I7" i="63"/>
  <c r="J8" i="63"/>
  <c r="I6" i="63"/>
  <c r="H8" i="63"/>
  <c r="I9" i="63"/>
  <c r="J6"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<sst xmlns="http://schemas.openxmlformats.org/spreadsheetml/2006/main" count="2019" uniqueCount="435">
  <si>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</si>
  <si>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</si>
  <si>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</si>
  <si>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</si>
  <si>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</si>
  <si>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</si>
  <si>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</si>
  <si>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</si>
  <si>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</si>
  <si>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</si>
  <si>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</si>
  <si>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</si>
  <si>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</si>
  <si>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</si>
  <si>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</si>
  <si>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</si>
  <si>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</si>
  <si>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</si>
  <si>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</si>
  <si>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</si>
  <si>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</si>
  <si>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</si>
  <si>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</si>
  <si>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</si>
  <si>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</si>
  <si>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</si>
  <si>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</si>
  <si>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</si>
  <si>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</si>
  <si>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</si>
  <si>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</si>
  <si>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</si>
  <si>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</si>
  <si>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</si>
  <si>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</si>
  <si>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</si>
  <si>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</si>
  <si>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</si>
  <si>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</si>
  <si>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</si>
  <si>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</si>
  <si>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</si>
  <si>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</si>
  <si>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</si>
  <si>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</si>
  <si>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</si>
  <si>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</si>
  <si>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</si>
  <si>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</si>
  <si>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</si>
  <si>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</si>
  <si>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</si>
  <si>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</si>
  <si>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</si>
  <si>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</si>
  <si>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</si>
  <si>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</si>
  <si>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</si>
  <si>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</si>
  <si>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</si>
  <si>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</si>
  <si>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</si>
  <si>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</si>
  <si>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</si>
  <si>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</si>
  <si>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</si>
  <si>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</si>
  <si>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</si>
  <si>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</si>
  <si>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</si>
  <si>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</si>
  <si>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</si>
  <si>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</si>
  <si>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</si>
  <si>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</si>
  <si>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</si>
  <si>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</si>
  <si>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</si>
  <si>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</si>
  <si>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</si>
  <si>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</si>
  <si>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</si>
  <si>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</si>
  <si>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</si>
  <si>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</si>
  <si>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</si>
  <si>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</si>
  <si>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</si>
  <si>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</si>
  <si>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</si>
  <si>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</si>
  <si>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</si>
  <si>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</si>
  <si>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</si>
  <si>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</si>
  <si>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</si>
  <si>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</si>
  <si>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</si>
  <si>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</si>
  <si>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</si>
  <si>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</si>
  <si>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</si>
  <si>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</si>
  <si>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</si>
  <si>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</si>
  <si>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</si>
  <si>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</si>
  <si>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</si>
  <si>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</si>
  <si>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</si>
  <si>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</si>
  <si>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</si>
  <si>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</si>
  <si>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</si>
  <si>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</si>
  <si>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</si>
  <si>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</si>
  <si>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</si>
  <si>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</si>
  <si>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</si>
  <si>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</si>
  <si>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</si>
  <si>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</si>
  <si>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</si>
  <si>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</si>
  <si>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</si>
  <si>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</si>
  <si>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</si>
  <si>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</si>
  <si>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</si>
  <si>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</si>
  <si>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</si>
  <si>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</si>
  <si>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</si>
  <si>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</si>
  <si>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</si>
  <si>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</si>
  <si>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</si>
  <si>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</si>
  <si>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</si>
  <si>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</si>
  <si>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</si>
  <si>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</si>
  <si>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</si>
  <si>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</si>
  <si>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</si>
  <si>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</si>
  <si>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</si>
  <si>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</si>
  <si>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</si>
  <si>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</si>
  <si>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</si>
  <si>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</si>
  <si>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</si>
  <si>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</si>
  <si>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</si>
  <si>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</si>
  <si>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</si>
  <si>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</si>
  <si>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</si>
  <si>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</si>
  <si>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</si>
  <si>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</si>
  <si>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LIGHT</t>
  </si>
  <si>
    <t>NO</t>
  </si>
  <si>
    <t>LC-010</t>
  </si>
  <si>
    <t>LC-017</t>
  </si>
  <si>
    <t>LC-022</t>
  </si>
  <si>
    <t>LC-032</t>
  </si>
  <si>
    <t>LC-038</t>
  </si>
  <si>
    <t>Turman Bruns HOA</t>
  </si>
  <si>
    <t>LC-046</t>
  </si>
  <si>
    <t>LC-048</t>
  </si>
  <si>
    <t>LC-049</t>
  </si>
  <si>
    <t>LC-050</t>
  </si>
  <si>
    <t>LC-051</t>
  </si>
  <si>
    <t>LC-052</t>
  </si>
  <si>
    <t>LC-053</t>
  </si>
  <si>
    <t>Berthoud West</t>
  </si>
  <si>
    <t>LV-014</t>
  </si>
  <si>
    <t>Estrella Park</t>
  </si>
  <si>
    <t>LV-019</t>
  </si>
  <si>
    <t>Jocelyn and Eagle</t>
  </si>
  <si>
    <t>LV-021</t>
  </si>
  <si>
    <t>LV-042</t>
  </si>
  <si>
    <t>2001 South Douglas</t>
  </si>
  <si>
    <t>LV-066</t>
  </si>
  <si>
    <t>LV-067</t>
  </si>
  <si>
    <t>Del Norte Private Park</t>
  </si>
  <si>
    <t>Horseshoe Peninsula</t>
  </si>
  <si>
    <t>LV-087</t>
  </si>
  <si>
    <t>2444 Derby Hill Road</t>
  </si>
  <si>
    <t>9th and Des Moines</t>
  </si>
  <si>
    <t>LV-093</t>
  </si>
  <si>
    <t>Pond at Silver Lake</t>
  </si>
  <si>
    <t>LV-097</t>
  </si>
  <si>
    <t>LV-098</t>
  </si>
  <si>
    <t>LV-102</t>
  </si>
  <si>
    <t>Glen Isle Ditch and Pond</t>
  </si>
  <si>
    <t>LV-105</t>
  </si>
  <si>
    <t>Big Thompson Natural Area</t>
  </si>
  <si>
    <t>LV-114</t>
  </si>
  <si>
    <t>LV-117</t>
  </si>
  <si>
    <t>Centerra</t>
  </si>
  <si>
    <t>LV-120</t>
  </si>
  <si>
    <t>End of City Limits North</t>
  </si>
  <si>
    <t>LV-121</t>
  </si>
  <si>
    <t>Bayfield and Windsor</t>
  </si>
  <si>
    <t>LV-122</t>
  </si>
  <si>
    <t>Fallgold</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</si>
  <si>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</si>
  <si>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</si>
  <si>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</si>
  <si>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</si>
  <si>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</si>
  <si>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</si>
  <si>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</si>
  <si>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</si>
  <si>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</si>
  <si>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</si>
  <si>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</si>
  <si>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</si>
  <si>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</si>
  <si>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</si>
  <si>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</si>
  <si>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</si>
  <si>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</si>
  <si>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</si>
  <si>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</si>
  <si>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</si>
  <si>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</si>
  <si>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</si>
  <si>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</si>
  <si>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Rockcreek</t>
  </si>
  <si>
    <t>Magic Carpet</t>
  </si>
  <si>
    <t>Chelsea Ridge</t>
  </si>
  <si>
    <t>Casa Grande and Downing</t>
  </si>
  <si>
    <t>Spring Creek Trail @ Michener Dr</t>
  </si>
  <si>
    <t>Waters Edge at Blue Mesa</t>
  </si>
  <si>
    <t>Silvergate Road</t>
  </si>
  <si>
    <t>FC-tar</t>
  </si>
  <si>
    <t>FC-pip</t>
  </si>
  <si>
    <t>LV-tar</t>
  </si>
  <si>
    <t>LV-pip</t>
  </si>
  <si>
    <t>SW-tar</t>
  </si>
  <si>
    <t>SW-pip</t>
  </si>
  <si>
    <t>SE-tar</t>
  </si>
  <si>
    <t>SE-pip</t>
  </si>
  <si>
    <t>NW-pip</t>
  </si>
  <si>
    <t>NW-tar</t>
  </si>
  <si>
    <t>NE-pip</t>
  </si>
  <si>
    <t>NE-tar</t>
  </si>
  <si>
    <t>InfTotal</t>
  </si>
  <si>
    <t>InfZone</t>
  </si>
  <si>
    <t>GRAPH 1A</t>
  </si>
  <si>
    <t>Graph 1B</t>
  </si>
  <si>
    <t>FC-072</t>
  </si>
  <si>
    <t>LC-054</t>
  </si>
  <si>
    <t>422 Lake Drive Alley</t>
  </si>
  <si>
    <t>BE</t>
  </si>
  <si>
    <t>BE-tar</t>
  </si>
  <si>
    <t>FC-063gr</t>
  </si>
  <si>
    <t>FC-089gr</t>
  </si>
  <si>
    <t>Cattail Pond</t>
  </si>
  <si>
    <t>FC-091gr</t>
  </si>
  <si>
    <t>FC-066gr</t>
  </si>
  <si>
    <t>Positive</t>
  </si>
  <si>
    <t>BE-pip</t>
  </si>
  <si>
    <t>Infection Rate</t>
  </si>
  <si>
    <t>Lower Limit</t>
  </si>
  <si>
    <t>Upper Limit</t>
  </si>
  <si>
    <t>Scale</t>
  </si>
  <si>
    <t>Point Est Method</t>
  </si>
  <si>
    <t>CI Method</t>
  </si>
  <si>
    <t>Num Pools</t>
  </si>
  <si>
    <t>Num Pos Pools</t>
  </si>
  <si>
    <t>Num Individuals</t>
  </si>
  <si>
    <t>Score</t>
  </si>
  <si>
    <t>Bias Corrected MLE</t>
  </si>
  <si>
    <t>Corrected Score</t>
  </si>
  <si>
    <t>LV-125</t>
  </si>
  <si>
    <t>Jefferson and 11th</t>
  </si>
  <si>
    <t>LV-088</t>
  </si>
  <si>
    <t>2229 Arikaree Court</t>
  </si>
  <si>
    <t>LV-116</t>
  </si>
  <si>
    <t>Sundisk and 13E</t>
  </si>
  <si>
    <t>LV-124</t>
  </si>
  <si>
    <t>LV-080</t>
  </si>
  <si>
    <t>LV-112</t>
  </si>
  <si>
    <t>LV-004</t>
  </si>
  <si>
    <t>29th and Madison</t>
  </si>
  <si>
    <t>LV-113</t>
  </si>
  <si>
    <t>The Springs at Marianna</t>
  </si>
  <si>
    <t>LV-118</t>
  </si>
  <si>
    <t>Golf Vista at Golf Course Pond</t>
  </si>
  <si>
    <t>LV-100</t>
  </si>
  <si>
    <t>Lynx Runoff @ Blue Tree Real Estate</t>
  </si>
  <si>
    <t>LV-077</t>
  </si>
  <si>
    <t>LV-074</t>
  </si>
  <si>
    <t>PVH Gravid</t>
  </si>
  <si>
    <t>FC Visitors Center</t>
  </si>
  <si>
    <t xml:space="preserve">Seven Lakes Park </t>
  </si>
  <si>
    <t>Harding and Reagan</t>
  </si>
  <si>
    <t>Boyd Lake</t>
  </si>
  <si>
    <t>Outlet Mall Apts</t>
  </si>
  <si>
    <t>Paradise Acres</t>
  </si>
  <si>
    <t>Eagle Ranch</t>
  </si>
  <si>
    <t>Timnath - 5th and Kern</t>
  </si>
  <si>
    <t>Timnath - Golf Course</t>
  </si>
  <si>
    <t>Timnath - Summerfields</t>
  </si>
  <si>
    <t>Timnath - Wildwing</t>
  </si>
  <si>
    <t>Timnath - Saratoga Falls</t>
  </si>
  <si>
    <t>Timnath - Walmart</t>
  </si>
  <si>
    <t>Fossil Creek South</t>
  </si>
  <si>
    <t>West Chase</t>
  </si>
  <si>
    <t>Sage Creek North</t>
  </si>
  <si>
    <t>3001 San Luis</t>
  </si>
  <si>
    <t>2nd St at Storage yard</t>
  </si>
  <si>
    <t>915 Boise Ave</t>
  </si>
  <si>
    <t>CR 20C and CR 9</t>
  </si>
  <si>
    <t>1105 East 1st Street</t>
  </si>
  <si>
    <t>8th and No Name</t>
  </si>
  <si>
    <t>Holley Plant Research Center</t>
  </si>
  <si>
    <t>118 N Grant</t>
  </si>
  <si>
    <t>Golden Current</t>
  </si>
  <si>
    <t>Jill Drive Pond</t>
  </si>
  <si>
    <t>Linda and 26th Street</t>
  </si>
  <si>
    <t>Bonnell West</t>
  </si>
  <si>
    <t xml:space="preserve">Berthoud Point </t>
  </si>
  <si>
    <t>Berthoud Park</t>
  </si>
  <si>
    <t>Berthoud North</t>
  </si>
  <si>
    <t>737 Parliament</t>
  </si>
  <si>
    <t>Ben's Park</t>
  </si>
  <si>
    <t>5029 Crest Drive</t>
  </si>
  <si>
    <t>Lopez Elementary</t>
  </si>
  <si>
    <t>Registry Ridge</t>
  </si>
  <si>
    <t>West 43rd @ Dead End RR</t>
  </si>
  <si>
    <t>Aspen Drive @ Benson Park</t>
  </si>
  <si>
    <t>LV-099</t>
  </si>
  <si>
    <t>Cattails GC 2874 North Empire</t>
  </si>
  <si>
    <t>Farasita @ Rist Benson</t>
  </si>
  <si>
    <t>CSU-11313</t>
  </si>
  <si>
    <t>CSU-11314</t>
  </si>
  <si>
    <t>CSU-11315</t>
  </si>
  <si>
    <t>CSU-11316</t>
  </si>
  <si>
    <t>CSU-11317</t>
  </si>
  <si>
    <t>CSU-11318</t>
  </si>
  <si>
    <t>CSU-11319</t>
  </si>
  <si>
    <t>CSU-11320</t>
  </si>
  <si>
    <t>CSU-11321</t>
  </si>
  <si>
    <t>CSU-11322</t>
  </si>
  <si>
    <t>CSU-11323</t>
  </si>
  <si>
    <t>CSU-11324</t>
  </si>
  <si>
    <t>CSU-11325</t>
  </si>
  <si>
    <t>CSU-11326</t>
  </si>
  <si>
    <t>CSU-11327</t>
  </si>
  <si>
    <t>CSU-11328</t>
  </si>
  <si>
    <t>CSU-11329</t>
  </si>
  <si>
    <t>CSU-11330</t>
  </si>
  <si>
    <t>CSU-11331</t>
  </si>
  <si>
    <t>CSU-11332</t>
  </si>
  <si>
    <t>CSU-11333</t>
  </si>
  <si>
    <t>CSU-11334</t>
  </si>
  <si>
    <t>CSU-11335</t>
  </si>
  <si>
    <t>CSU-11336</t>
  </si>
  <si>
    <t>CSU-11337</t>
  </si>
  <si>
    <t>CSU-11338</t>
  </si>
  <si>
    <t>CSU-11339</t>
  </si>
  <si>
    <t>CSU-11340</t>
  </si>
  <si>
    <t>CSU-11341</t>
  </si>
  <si>
    <t>CSU-11342</t>
  </si>
  <si>
    <t>CSU-11343</t>
  </si>
  <si>
    <t>CSU-11344</t>
  </si>
  <si>
    <t>CSU-11345</t>
  </si>
  <si>
    <t>CSU-11346</t>
  </si>
  <si>
    <t>CSU-11347</t>
  </si>
  <si>
    <t>CSU-11348</t>
  </si>
  <si>
    <t>CSU-11349</t>
  </si>
  <si>
    <t>CSU-11350</t>
  </si>
  <si>
    <t>CSU-11351</t>
  </si>
  <si>
    <t>CSU-11352</t>
  </si>
  <si>
    <t>CSU-11353</t>
  </si>
  <si>
    <t>CSU-11354</t>
  </si>
  <si>
    <t>CSU-11355</t>
  </si>
  <si>
    <t>CSU-11356</t>
  </si>
  <si>
    <t>CSU-11357</t>
  </si>
  <si>
    <t>CSU-11358</t>
  </si>
  <si>
    <t>CSU-11359</t>
  </si>
  <si>
    <t>CSU-11360</t>
  </si>
  <si>
    <t>CSU-11361</t>
  </si>
  <si>
    <t>CSU-11362</t>
  </si>
  <si>
    <t>CSU-11363</t>
  </si>
  <si>
    <t>CSU-11364</t>
  </si>
  <si>
    <t>CSU-11365</t>
  </si>
  <si>
    <t>CSU-11366</t>
  </si>
  <si>
    <t>CSU-11367</t>
  </si>
  <si>
    <t>CSU-11368</t>
  </si>
  <si>
    <t>CSU-11369</t>
  </si>
  <si>
    <t>CSU-11370</t>
  </si>
  <si>
    <t>CSU-11371</t>
  </si>
  <si>
    <t>CSU-11372</t>
  </si>
  <si>
    <t>CSU-11373</t>
  </si>
  <si>
    <t>CSU-11374</t>
  </si>
  <si>
    <t>CSU-11375</t>
  </si>
  <si>
    <t>CSU-11376</t>
  </si>
  <si>
    <t>CSU-11377</t>
  </si>
  <si>
    <t>CSU-11378</t>
  </si>
  <si>
    <t>CSU-11379</t>
  </si>
  <si>
    <t>CSU-11380</t>
  </si>
  <si>
    <t>CSU-11381</t>
  </si>
  <si>
    <t>CSU-11382</t>
  </si>
  <si>
    <t>CSU-11383</t>
  </si>
  <si>
    <t>CSU-11384</t>
  </si>
  <si>
    <t>CSU-11385</t>
  </si>
  <si>
    <t>CSU-11386</t>
  </si>
  <si>
    <t>CSU-11387</t>
  </si>
  <si>
    <t>FC-090gr</t>
  </si>
  <si>
    <t>CSU-11388</t>
  </si>
  <si>
    <t>CSU-11389</t>
  </si>
  <si>
    <t>CSU-11390</t>
  </si>
  <si>
    <t>CSU-11391</t>
  </si>
  <si>
    <t>CSU-11392</t>
  </si>
  <si>
    <t>CSU-11393</t>
  </si>
  <si>
    <t>CSU-11394</t>
  </si>
  <si>
    <t>CSU-11395</t>
  </si>
  <si>
    <t>CSU-11396</t>
  </si>
  <si>
    <t>CSU-11397</t>
  </si>
  <si>
    <t>CSU-11398</t>
  </si>
  <si>
    <t>CSU-11399</t>
  </si>
  <si>
    <t>CSU-11400</t>
  </si>
  <si>
    <t>CSU-11401</t>
  </si>
  <si>
    <t>CSU-11402</t>
  </si>
  <si>
    <t>CSU-11403</t>
  </si>
  <si>
    <t>CSU-11404</t>
  </si>
  <si>
    <t>RESET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</si>
</sst>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wrapText="1"/>
    </xf>
    <xf numFmtId="14" fontId="0" fillId="5" borderId="0" xfId="0" applyNumberFormat="1" applyFill="1"/>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vertical="center"/>
    </xf>
    <xf numFmtId="0" fontId="14" fillId="3" borderId="13" xfId="0" applyFont="1" applyFill="1" applyBorder="1" applyAlignment="1">
      <alignmen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72.577011111112"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0" maxValue="34" count="5">
        <n v="34"/>
        <n v="33" u="1"/>
        <n v="30" u="1"/>
        <n v="31" u="1"/>
        <n v="32" u="1"/>
      </sharedItems>
    </cacheField>
    <cacheField name="Trap Date" numFmtId="14">
      <sharedItems containsSemiMixedTypes="0" containsNonDate="0" containsDate="1" containsString="0" minDate="2017-08-21T00:00:00" maxDate="2017-08-25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4"/>
    </cacheField>
    <cacheField name="Cx pipiens" numFmtId="0">
      <sharedItems containsSemiMixedTypes="0" containsString="0" containsNumber="1" containsInteger="1" minValue="0" maxValue="50"/>
    </cacheField>
    <cacheField name="Total CX" numFmtId="0">
      <sharedItems containsSemiMixedTypes="0" containsString="0" containsNumber="1" containsInteger="1" minValue="0" maxValue="84"/>
    </cacheField>
    <cacheField name="Total Females" numFmtId="0">
      <sharedItems containsSemiMixedTypes="0" containsString="0" containsNumber="1" containsInteger="1" minValue="2" maxValue="2048"/>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72.583868518515" createdVersion="4" refreshedVersion="4" minRefreshableVersion="3" recordCount="92">
  <cacheSource type="worksheet">
    <worksheetSource ref="A1:R93"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860" maxValue="20951"/>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17-08-21T00:00:00" maxDate="2017-08-25T00:00:00" count="4">
        <d v="2017-08-21T00:00:00"/>
        <d v="2017-08-22T00:00:00"/>
        <d v="2017-08-23T00:00:00"/>
        <d v="2017-08-24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d v="2017-08-24T00:00:00"/>
    <s v="FC-001"/>
    <x v="0"/>
    <s v="Magic Carpet"/>
    <s v="LIGHT"/>
    <s v="NO"/>
    <n v="0"/>
    <n v="0"/>
    <n v="0"/>
    <n v="4"/>
    <m/>
  </r>
  <r>
    <x v="0"/>
    <d v="2017-08-23T00:00:00"/>
    <s v="FC-004"/>
    <x v="1"/>
    <s v="Bighorn Drive"/>
    <s v="LIGHT"/>
    <s v="NO"/>
    <n v="6"/>
    <n v="9"/>
    <n v="15"/>
    <n v="167"/>
    <m/>
  </r>
  <r>
    <x v="0"/>
    <d v="2017-08-21T00:00:00"/>
    <s v="FC-006"/>
    <x v="2"/>
    <s v="North Linden"/>
    <s v="LIGHT"/>
    <s v="NO"/>
    <n v="12"/>
    <n v="7"/>
    <n v="19"/>
    <n v="1487"/>
    <m/>
  </r>
  <r>
    <x v="0"/>
    <d v="2017-08-23T00:00:00"/>
    <s v="FC-011"/>
    <x v="3"/>
    <s v="Golden Current"/>
    <s v="LIGHT"/>
    <s v="NO"/>
    <n v="1"/>
    <n v="50"/>
    <n v="51"/>
    <n v="228"/>
    <m/>
  </r>
  <r>
    <x v="0"/>
    <d v="2017-08-21T00:00:00"/>
    <s v="FC-014"/>
    <x v="2"/>
    <s v="FC Visitors Center"/>
    <s v="LIGHT"/>
    <s v="NO"/>
    <n v="1"/>
    <n v="0"/>
    <n v="1"/>
    <n v="32"/>
    <m/>
  </r>
  <r>
    <x v="0"/>
    <d v="2017-08-23T00:00:00"/>
    <s v="FC-015"/>
    <x v="3"/>
    <s v="Stuart and Dorset"/>
    <s v="LIGHT"/>
    <s v="NO"/>
    <n v="6"/>
    <n v="3"/>
    <n v="9"/>
    <n v="110"/>
    <m/>
  </r>
  <r>
    <x v="0"/>
    <d v="2017-08-21T00:00:00"/>
    <s v="FC-019"/>
    <x v="2"/>
    <s v="Edora Park"/>
    <s v="LIGHT"/>
    <s v="NO"/>
    <n v="3"/>
    <n v="0"/>
    <n v="3"/>
    <n v="50"/>
    <m/>
  </r>
  <r>
    <x v="0"/>
    <d v="2017-08-23T00:00:00"/>
    <s v="FC-023"/>
    <x v="1"/>
    <s v="Boltz"/>
    <s v="LIGHT"/>
    <s v="NO"/>
    <n v="17"/>
    <n v="14"/>
    <n v="31"/>
    <n v="224"/>
    <m/>
  </r>
  <r>
    <x v="0"/>
    <d v="2017-08-23T00:00:00"/>
    <s v="FC-027"/>
    <x v="1"/>
    <s v="3001 San Luis"/>
    <s v="LIGHT"/>
    <s v="NO"/>
    <n v="8"/>
    <n v="0"/>
    <n v="8"/>
    <n v="39"/>
    <m/>
  </r>
  <r>
    <x v="0"/>
    <d v="2017-08-24T00:00:00"/>
    <s v="FC-029"/>
    <x v="1"/>
    <s v="Ben's Park"/>
    <s v="LIGHT"/>
    <s v="NO"/>
    <n v="15"/>
    <n v="3"/>
    <n v="18"/>
    <n v="82"/>
    <m/>
  </r>
  <r>
    <x v="0"/>
    <d v="2017-08-23T00:00:00"/>
    <s v="FC-031"/>
    <x v="1"/>
    <s v="Willow Springs"/>
    <s v="LIGHT"/>
    <s v="NO"/>
    <n v="2"/>
    <n v="0"/>
    <n v="2"/>
    <n v="42"/>
    <m/>
  </r>
  <r>
    <x v="0"/>
    <d v="2017-08-21T00:00:00"/>
    <s v="FC-034"/>
    <x v="2"/>
    <s v="Country Club"/>
    <s v="LIGHT"/>
    <s v="NO"/>
    <n v="9"/>
    <n v="0"/>
    <n v="9"/>
    <n v="99"/>
    <m/>
  </r>
  <r>
    <x v="0"/>
    <d v="2017-08-21T00:00:00"/>
    <s v="FC-036"/>
    <x v="3"/>
    <s v="Hemlock"/>
    <s v="LIGHT"/>
    <s v="NO"/>
    <n v="23"/>
    <n v="3"/>
    <n v="26"/>
    <n v="271"/>
    <m/>
  </r>
  <r>
    <x v="0"/>
    <d v="2017-08-24T00:00:00"/>
    <s v="FC-037"/>
    <x v="0"/>
    <s v="Chelsea Ridge"/>
    <s v="LIGHT"/>
    <s v="NO"/>
    <n v="27"/>
    <n v="0"/>
    <n v="27"/>
    <n v="80"/>
    <m/>
  </r>
  <r>
    <x v="0"/>
    <d v="2017-08-21T00:00:00"/>
    <s v="FC-038"/>
    <x v="2"/>
    <s v="Lochside Lane"/>
    <s v="LIGHT"/>
    <s v="NO"/>
    <n v="1"/>
    <n v="0"/>
    <n v="1"/>
    <n v="23"/>
    <m/>
  </r>
  <r>
    <x v="0"/>
    <d v="2017-08-22T00:00:00"/>
    <s v="FC-039"/>
    <x v="1"/>
    <s v="Fossil Creek South"/>
    <s v="LIGHT"/>
    <s v="NO"/>
    <n v="32"/>
    <n v="4"/>
    <n v="36"/>
    <n v="284"/>
    <m/>
  </r>
  <r>
    <x v="0"/>
    <d v="2017-08-21T00:00:00"/>
    <s v="FC-040"/>
    <x v="2"/>
    <s v="Redwood"/>
    <s v="LIGHT"/>
    <s v="NO"/>
    <n v="2"/>
    <n v="4"/>
    <n v="6"/>
    <n v="7"/>
    <m/>
  </r>
  <r>
    <x v="0"/>
    <d v="2017-08-23T00:00:00"/>
    <s v="FC-041"/>
    <x v="3"/>
    <s v="Fishback"/>
    <s v="LIGHT"/>
    <s v="NO"/>
    <n v="19"/>
    <n v="8"/>
    <n v="27"/>
    <n v="185"/>
    <m/>
  </r>
  <r>
    <x v="0"/>
    <d v="2017-08-23T00:00:00"/>
    <s v="FC-046"/>
    <x v="1"/>
    <s v="725 Westshore Court"/>
    <s v="LIGHT"/>
    <s v="NO"/>
    <n v="6"/>
    <n v="3"/>
    <n v="9"/>
    <n v="36"/>
    <m/>
  </r>
  <r>
    <x v="0"/>
    <d v="2017-08-23T00:00:00"/>
    <s v="FC-047"/>
    <x v="1"/>
    <s v="Keenland &amp; Twin Oak"/>
    <s v="LIGHT"/>
    <s v="NO"/>
    <n v="5"/>
    <n v="0"/>
    <n v="5"/>
    <n v="25"/>
    <m/>
  </r>
  <r>
    <x v="0"/>
    <d v="2017-08-23T00:00:00"/>
    <s v="FC-049"/>
    <x v="0"/>
    <s v="Casa Grande and Downing"/>
    <s v="LIGHT"/>
    <s v="NO"/>
    <n v="3"/>
    <n v="0"/>
    <n v="3"/>
    <n v="12"/>
    <m/>
  </r>
  <r>
    <x v="0"/>
    <d v="2017-08-23T00:00:00"/>
    <s v="FC-050"/>
    <x v="1"/>
    <s v="Golden Meadows Ditch"/>
    <s v="LIGHT"/>
    <s v="NO"/>
    <n v="7"/>
    <n v="3"/>
    <n v="10"/>
    <n v="85"/>
    <m/>
  </r>
  <r>
    <x v="0"/>
    <d v="2017-08-23T00:00:00"/>
    <s v="FC-052"/>
    <x v="3"/>
    <s v="603 Gilgalad Way"/>
    <s v="LIGHT"/>
    <s v="NO"/>
    <n v="2"/>
    <n v="0"/>
    <n v="2"/>
    <n v="638"/>
    <m/>
  </r>
  <r>
    <x v="0"/>
    <d v="2017-08-22T00:00:00"/>
    <s v="FC-053"/>
    <x v="1"/>
    <s v="Egret and Rookery"/>
    <s v="LIGHT"/>
    <s v="NO"/>
    <n v="20"/>
    <n v="4"/>
    <n v="24"/>
    <n v="119"/>
    <m/>
  </r>
  <r>
    <x v="0"/>
    <d v="2017-08-24T00:00:00"/>
    <s v="FC-054"/>
    <x v="1"/>
    <s v="737 Parliament"/>
    <s v="LIGHT"/>
    <s v="NO"/>
    <n v="10"/>
    <n v="0"/>
    <n v="10"/>
    <n v="81"/>
    <m/>
  </r>
  <r>
    <x v="0"/>
    <d v="2017-08-24T00:00:00"/>
    <s v="FC-057"/>
    <x v="0"/>
    <s v="Registry Ridge"/>
    <s v="LIGHT"/>
    <s v="NO"/>
    <n v="8"/>
    <n v="3"/>
    <n v="11"/>
    <n v="35"/>
    <m/>
  </r>
  <r>
    <x v="0"/>
    <d v="2017-08-23T00:00:00"/>
    <s v="FC-058"/>
    <x v="0"/>
    <s v="Spring Creek Trail @ Michener Dr"/>
    <s v="LIGHT"/>
    <s v="NO"/>
    <n v="0"/>
    <n v="4"/>
    <n v="4"/>
    <n v="12"/>
    <m/>
  </r>
  <r>
    <x v="0"/>
    <d v="2017-08-23T00:00:00"/>
    <s v="FC-059"/>
    <x v="1"/>
    <s v="Springwood and Lockwood"/>
    <s v="LIGHT"/>
    <s v="NO"/>
    <n v="5"/>
    <n v="0"/>
    <n v="5"/>
    <n v="64"/>
    <m/>
  </r>
  <r>
    <x v="0"/>
    <d v="2017-08-23T00:00:00"/>
    <s v="FC-060"/>
    <x v="3"/>
    <s v="808 Pondersosa"/>
    <s v="LIGHT"/>
    <s v="NO"/>
    <n v="6"/>
    <n v="0"/>
    <n v="6"/>
    <n v="48"/>
    <m/>
  </r>
  <r>
    <x v="0"/>
    <d v="2017-08-23T00:00:00"/>
    <s v="FC-061"/>
    <x v="3"/>
    <s v="Holley Plant Research Center"/>
    <s v="LIGHT"/>
    <s v="NO"/>
    <n v="7"/>
    <n v="0"/>
    <n v="7"/>
    <n v="711"/>
    <m/>
  </r>
  <r>
    <x v="0"/>
    <d v="2017-08-24T00:00:00"/>
    <s v="FC-062"/>
    <x v="0"/>
    <s v="Waters Edge at Blue Mesa"/>
    <s v="LIGHT"/>
    <s v="NO"/>
    <n v="4"/>
    <n v="0"/>
    <n v="4"/>
    <n v="28"/>
    <m/>
  </r>
  <r>
    <x v="0"/>
    <d v="2017-08-23T00:00:00"/>
    <s v="FC-063"/>
    <x v="3"/>
    <s v="Red Fox Meadows FCNA"/>
    <s v="LIGHT"/>
    <s v="NO"/>
    <n v="1"/>
    <n v="2"/>
    <n v="3"/>
    <n v="76"/>
    <m/>
  </r>
  <r>
    <x v="0"/>
    <d v="2017-08-22T00:00:00"/>
    <s v="FC-064"/>
    <x v="1"/>
    <s v="West Chase"/>
    <s v="LIGHT"/>
    <s v="NO"/>
    <n v="28"/>
    <n v="12"/>
    <n v="40"/>
    <n v="145"/>
    <m/>
  </r>
  <r>
    <x v="0"/>
    <d v="2017-08-21T00:00:00"/>
    <s v="FC-066"/>
    <x v="2"/>
    <s v="Prospect Ponds @ Drake Water"/>
    <s v="LIGHT"/>
    <s v="NO"/>
    <n v="5"/>
    <n v="18"/>
    <n v="23"/>
    <n v="840"/>
    <m/>
  </r>
  <r>
    <x v="0"/>
    <d v="2017-08-23T00:00:00"/>
    <s v="FC-067"/>
    <x v="2"/>
    <s v="Poudre River Drive at bike trail"/>
    <s v="LIGHT"/>
    <s v="NO"/>
    <n v="25"/>
    <n v="30"/>
    <n v="55"/>
    <n v="2048"/>
    <m/>
  </r>
  <r>
    <x v="0"/>
    <d v="2017-08-24T00:00:00"/>
    <s v="FC-068"/>
    <x v="0"/>
    <s v="5029 Crest Drive"/>
    <s v="LIGHT"/>
    <s v="NO"/>
    <n v="2"/>
    <n v="0"/>
    <n v="2"/>
    <n v="23"/>
    <m/>
  </r>
  <r>
    <x v="0"/>
    <d v="2017-08-21T00:00:00"/>
    <s v="FC-069"/>
    <x v="2"/>
    <s v="Linden Lake Rd"/>
    <s v="LIGHT"/>
    <s v="NO"/>
    <n v="9"/>
    <n v="7"/>
    <n v="16"/>
    <n v="64"/>
    <m/>
  </r>
  <r>
    <x v="0"/>
    <d v="2017-08-24T00:00:00"/>
    <s v="FC-071"/>
    <x v="0"/>
    <s v="Silvergate Road"/>
    <s v="LIGHT"/>
    <s v="NO"/>
    <n v="5"/>
    <n v="0"/>
    <n v="5"/>
    <n v="12"/>
    <m/>
  </r>
  <r>
    <x v="0"/>
    <d v="2017-08-21T00:00:00"/>
    <s v="FC-072"/>
    <x v="2"/>
    <s v="422 Lake Drive Alley"/>
    <s v="LIGHT"/>
    <s v="NO"/>
    <n v="10"/>
    <n v="0"/>
    <n v="10"/>
    <n v="295"/>
    <m/>
  </r>
  <r>
    <x v="0"/>
    <d v="2017-08-23T00:00:00"/>
    <s v="FC-073"/>
    <x v="3"/>
    <s v="118 N Grant"/>
    <s v="LIGHT"/>
    <s v="NO"/>
    <n v="5"/>
    <n v="0"/>
    <n v="5"/>
    <n v="102"/>
    <m/>
  </r>
  <r>
    <x v="0"/>
    <d v="2017-08-22T00:00:00"/>
    <s v="FC-074"/>
    <x v="1"/>
    <s v="Rockcreek"/>
    <s v="LIGHT"/>
    <s v="NO"/>
    <n v="27"/>
    <n v="12"/>
    <n v="39"/>
    <n v="695"/>
    <m/>
  </r>
  <r>
    <x v="0"/>
    <d v="2017-08-22T00:00:00"/>
    <s v="FC-075"/>
    <x v="1"/>
    <s v="Sage Creek North"/>
    <s v="LIGHT"/>
    <s v="NO"/>
    <n v="30"/>
    <n v="26"/>
    <n v="56"/>
    <n v="114"/>
    <m/>
  </r>
  <r>
    <x v="0"/>
    <d v="2017-08-21T00:00:00"/>
    <s v="FC-091gr"/>
    <x v="2"/>
    <s v="PVH Gravid"/>
    <s v="LIGHT"/>
    <s v="NO"/>
    <n v="0"/>
    <n v="9"/>
    <n v="9"/>
    <n v="9"/>
    <m/>
  </r>
  <r>
    <x v="0"/>
    <d v="2017-08-24T00:00:00"/>
    <s v="FC-093"/>
    <x v="0"/>
    <s v="Lopez Elementary"/>
    <s v="LIGHT"/>
    <s v="NO"/>
    <n v="4"/>
    <n v="0"/>
    <n v="4"/>
    <n v="52"/>
    <m/>
  </r>
  <r>
    <x v="0"/>
    <d v="2017-08-23T00:00:00"/>
    <s v="LC-001"/>
    <x v="4"/>
    <s v="Berthoud Park"/>
    <s v="LIGHT"/>
    <s v="NO"/>
    <n v="13"/>
    <n v="1"/>
    <n v="14"/>
    <n v="67"/>
    <m/>
  </r>
  <r>
    <x v="0"/>
    <d v="2017-08-21T00:00:00"/>
    <s v="LC-010"/>
    <x v="5"/>
    <s v="Timnath - 5th and Kern"/>
    <s v="LIGHT"/>
    <s v="NO"/>
    <n v="0"/>
    <n v="0"/>
    <n v="0"/>
    <n v="39"/>
    <m/>
  </r>
  <r>
    <x v="0"/>
    <d v="2017-08-23T00:00:00"/>
    <s v="LC-017"/>
    <x v="5"/>
    <s v="Bonnell West"/>
    <s v="LIGHT"/>
    <s v="NO"/>
    <n v="7"/>
    <n v="0"/>
    <n v="7"/>
    <n v="76"/>
    <m/>
  </r>
  <r>
    <x v="0"/>
    <d v="2017-08-21T00:00:00"/>
    <s v="LC-022"/>
    <x v="5"/>
    <s v="Timnath - Golf Course"/>
    <s v="LIGHT"/>
    <s v="NO"/>
    <n v="8"/>
    <n v="0"/>
    <n v="8"/>
    <n v="39"/>
    <m/>
  </r>
  <r>
    <x v="0"/>
    <d v="2017-08-21T00:00:00"/>
    <s v="LC-032"/>
    <x v="5"/>
    <s v="Paradise Acres"/>
    <s v="LIGHT"/>
    <s v="NO"/>
    <n v="19"/>
    <n v="8"/>
    <n v="27"/>
    <n v="213"/>
    <m/>
  </r>
  <r>
    <x v="0"/>
    <d v="2017-08-21T00:00:00"/>
    <s v="LC-038"/>
    <x v="5"/>
    <s v="Turman Bruns HOA"/>
    <s v="LIGHT"/>
    <s v="NO"/>
    <n v="58"/>
    <n v="5"/>
    <n v="63"/>
    <n v="90"/>
    <m/>
  </r>
  <r>
    <x v="0"/>
    <d v="2017-08-21T00:00:00"/>
    <s v="LC-046"/>
    <x v="5"/>
    <s v="Eagle Ranch"/>
    <s v="LIGHT"/>
    <s v="NO"/>
    <n v="19"/>
    <n v="0"/>
    <n v="19"/>
    <n v="43"/>
    <m/>
  </r>
  <r>
    <x v="0"/>
    <d v="2017-08-21T00:00:00"/>
    <s v="LC-048"/>
    <x v="5"/>
    <s v="Timnath - Summerfields"/>
    <s v="LIGHT"/>
    <s v="NO"/>
    <n v="14"/>
    <n v="0"/>
    <n v="14"/>
    <n v="82"/>
    <m/>
  </r>
  <r>
    <x v="0"/>
    <d v="2017-08-23T00:00:00"/>
    <s v="LC-049"/>
    <x v="4"/>
    <s v="Berthoud North"/>
    <s v="LIGHT"/>
    <s v="NO"/>
    <n v="12"/>
    <n v="0"/>
    <n v="12"/>
    <n v="130"/>
    <m/>
  </r>
  <r>
    <x v="0"/>
    <d v="2017-08-21T00:00:00"/>
    <s v="LC-050"/>
    <x v="5"/>
    <s v="Timnath - Wildwing"/>
    <s v="LIGHT"/>
    <s v="NO"/>
    <n v="35"/>
    <n v="16"/>
    <n v="51"/>
    <n v="699"/>
    <m/>
  </r>
  <r>
    <x v="0"/>
    <d v="2017-08-21T00:00:00"/>
    <s v="LC-051"/>
    <x v="5"/>
    <s v="Timnath - Saratoga Falls"/>
    <s v="LIGHT"/>
    <s v="NO"/>
    <n v="30"/>
    <n v="1"/>
    <n v="31"/>
    <n v="247"/>
    <m/>
  </r>
  <r>
    <x v="0"/>
    <d v="2017-08-21T00:00:00"/>
    <s v="LC-052"/>
    <x v="5"/>
    <s v="Timnath - Walmart"/>
    <s v="LIGHT"/>
    <s v="NO"/>
    <n v="10"/>
    <n v="6"/>
    <n v="16"/>
    <n v="250"/>
    <m/>
  </r>
  <r>
    <x v="0"/>
    <d v="2017-08-23T00:00:00"/>
    <s v="LC-053"/>
    <x v="4"/>
    <s v="Berthoud West"/>
    <s v="LIGHT"/>
    <s v="NO"/>
    <n v="35"/>
    <n v="7"/>
    <n v="42"/>
    <n v="340"/>
    <m/>
  </r>
  <r>
    <x v="0"/>
    <d v="2017-08-23T00:00:00"/>
    <s v="LC-054"/>
    <x v="4"/>
    <s v="Berthoud Point "/>
    <s v="LIGHT"/>
    <s v="NO"/>
    <n v="35"/>
    <n v="20"/>
    <n v="55"/>
    <n v="287"/>
    <m/>
  </r>
  <r>
    <x v="0"/>
    <d v="2017-08-21T00:00:00"/>
    <s v="LV-004"/>
    <x v="6"/>
    <s v="29th and Madison"/>
    <s v="LIGHT"/>
    <s v="NO"/>
    <n v="5"/>
    <n v="0"/>
    <n v="5"/>
    <n v="15"/>
    <m/>
  </r>
  <r>
    <x v="0"/>
    <d v="2017-08-24T00:00:00"/>
    <s v="LV-014"/>
    <x v="6"/>
    <s v="Estrella Park"/>
    <s v="LIGHT"/>
    <s v="NO"/>
    <n v="4"/>
    <n v="0"/>
    <n v="4"/>
    <n v="54"/>
    <m/>
  </r>
  <r>
    <x v="0"/>
    <d v="2017-08-23T00:00:00"/>
    <s v="LV-019"/>
    <x v="6"/>
    <s v="Jocelyn and Eagle"/>
    <s v="LIGHT"/>
    <s v="NO"/>
    <n v="3"/>
    <n v="5"/>
    <n v="8"/>
    <n v="92"/>
    <m/>
  </r>
  <r>
    <x v="0"/>
    <d v="2017-08-23T00:00:00"/>
    <s v="LV-020"/>
    <x v="6"/>
    <s v="Cattail Pond"/>
    <s v="LIGHT"/>
    <s v="NO"/>
    <n v="23"/>
    <n v="0"/>
    <n v="23"/>
    <n v="90"/>
    <m/>
  </r>
  <r>
    <x v="0"/>
    <d v="2017-08-23T00:00:00"/>
    <s v="LV-021"/>
    <x v="6"/>
    <s v="Linda and 26th Street"/>
    <s v="LIGHT"/>
    <s v="NO"/>
    <n v="36"/>
    <n v="16"/>
    <n v="52"/>
    <n v="908"/>
    <m/>
  </r>
  <r>
    <x v="0"/>
    <d v="2017-08-23T00:00:00"/>
    <s v="LV-042"/>
    <x v="6"/>
    <s v="2001 South Douglas"/>
    <s v="LIGHT"/>
    <s v="NO"/>
    <n v="9"/>
    <n v="8"/>
    <n v="17"/>
    <n v="132"/>
    <m/>
  </r>
  <r>
    <x v="0"/>
    <d v="2017-08-21T00:00:00"/>
    <s v="LV-066"/>
    <x v="6"/>
    <s v="Outlet Mall Apts"/>
    <s v="LIGHT"/>
    <s v="NO"/>
    <n v="28"/>
    <n v="0"/>
    <n v="28"/>
    <n v="546"/>
    <m/>
  </r>
  <r>
    <x v="0"/>
    <d v="2017-08-23T00:00:00"/>
    <s v="LV-067"/>
    <x v="6"/>
    <s v="Del Norte Private Park"/>
    <s v="LIGHT"/>
    <s v="NO"/>
    <n v="9"/>
    <n v="0"/>
    <n v="9"/>
    <n v="130"/>
    <m/>
  </r>
  <r>
    <x v="0"/>
    <d v="2017-08-21T00:00:00"/>
    <s v="LV-069"/>
    <x v="6"/>
    <s v="Horseshoe Peninsula"/>
    <s v="LIGHT"/>
    <s v="NO"/>
    <n v="38"/>
    <n v="3"/>
    <n v="41"/>
    <n v="55"/>
    <m/>
  </r>
  <r>
    <x v="0"/>
    <d v="2017-08-22T00:00:00"/>
    <s v="LV-074"/>
    <x v="6"/>
    <s v="Jefferson and 11th"/>
    <s v="LIGHT"/>
    <s v="NO"/>
    <n v="39"/>
    <n v="0"/>
    <n v="39"/>
    <n v="46"/>
    <m/>
  </r>
  <r>
    <x v="0"/>
    <d v="2017-08-22T00:00:00"/>
    <s v="LV-077"/>
    <x v="6"/>
    <s v="1105 East 1st Street"/>
    <s v="LIGHT"/>
    <s v="NO"/>
    <n v="3"/>
    <n v="0"/>
    <n v="3"/>
    <n v="27"/>
    <m/>
  </r>
  <r>
    <x v="0"/>
    <d v="2017-08-21T00:00:00"/>
    <s v="LV-078"/>
    <x v="6"/>
    <s v="Seven Lakes Park "/>
    <s v="LIGHT"/>
    <s v="NO"/>
    <n v="2"/>
    <n v="0"/>
    <n v="2"/>
    <n v="20"/>
    <m/>
  </r>
  <r>
    <x v="0"/>
    <d v="2017-08-21T00:00:00"/>
    <s v="LV-080"/>
    <x v="6"/>
    <s v="Harding and Reagan"/>
    <s v="LIGHT"/>
    <s v="NO"/>
    <n v="18"/>
    <n v="0"/>
    <n v="18"/>
    <n v="36"/>
    <m/>
  </r>
  <r>
    <x v="0"/>
    <d v="2017-08-23T00:00:00"/>
    <s v="LV-087"/>
    <x v="6"/>
    <s v="2444 Derby Hill Road"/>
    <s v="LIGHT"/>
    <s v="NO"/>
    <n v="12"/>
    <n v="2"/>
    <n v="14"/>
    <n v="116"/>
    <m/>
  </r>
  <r>
    <x v="0"/>
    <d v="2017-08-21T00:00:00"/>
    <s v="LV-088"/>
    <x v="6"/>
    <s v="2229 Arikaree Court"/>
    <s v="LIGHT"/>
    <s v="NO"/>
    <n v="24"/>
    <n v="0"/>
    <n v="24"/>
    <n v="32"/>
    <m/>
  </r>
  <r>
    <x v="0"/>
    <d v="2017-08-22T00:00:00"/>
    <s v="LV-089"/>
    <x v="6"/>
    <s v="9th and Des Moines"/>
    <s v="LIGHT"/>
    <s v="NO"/>
    <n v="11"/>
    <n v="0"/>
    <n v="11"/>
    <n v="218"/>
    <m/>
  </r>
  <r>
    <x v="0"/>
    <d v="2017-08-21T00:00:00"/>
    <s v="LV-093"/>
    <x v="6"/>
    <s v="Pond at Silver Lake"/>
    <s v="LIGHT"/>
    <s v="NO"/>
    <n v="0"/>
    <n v="0"/>
    <n v="0"/>
    <n v="2"/>
    <m/>
  </r>
  <r>
    <x v="0"/>
    <d v="2017-08-21T00:00:00"/>
    <s v="LV-095"/>
    <x v="6"/>
    <s v="Boyd Lake"/>
    <s v="LIGHT"/>
    <s v="NO"/>
    <n v="74"/>
    <n v="10"/>
    <n v="84"/>
    <n v="686"/>
    <m/>
  </r>
  <r>
    <x v="0"/>
    <d v="2017-08-24T00:00:00"/>
    <s v="LV-097"/>
    <x v="6"/>
    <s v="Farasita @ Rist Benson"/>
    <s v="LIGHT"/>
    <s v="NO"/>
    <n v="1"/>
    <n v="0"/>
    <n v="1"/>
    <n v="42"/>
    <m/>
  </r>
  <r>
    <x v="0"/>
    <d v="2017-08-24T00:00:00"/>
    <s v="LV-098"/>
    <x v="6"/>
    <s v="Aspen Drive @ Benson Park"/>
    <s v="LIGHT"/>
    <s v="NO"/>
    <n v="2"/>
    <n v="0"/>
    <n v="2"/>
    <n v="12"/>
    <m/>
  </r>
  <r>
    <x v="0"/>
    <d v="2017-08-24T00:00:00"/>
    <s v="LV-099"/>
    <x v="6"/>
    <s v="Cattails GC 2874 North Empire"/>
    <s v="LIGHT"/>
    <s v="NO"/>
    <n v="3"/>
    <n v="0"/>
    <n v="3"/>
    <n v="3"/>
    <m/>
  </r>
  <r>
    <x v="0"/>
    <d v="2017-08-22T00:00:00"/>
    <s v="LV-100"/>
    <x v="6"/>
    <s v="Lynx Runoff @ Blue Tree Real Estate"/>
    <s v="LIGHT"/>
    <s v="NO"/>
    <n v="8"/>
    <n v="0"/>
    <n v="8"/>
    <n v="24"/>
    <m/>
  </r>
  <r>
    <x v="0"/>
    <d v="2017-08-24T00:00:00"/>
    <s v="LV-102"/>
    <x v="6"/>
    <s v="Glen Isle Ditch and Pond"/>
    <s v="LIGHT"/>
    <s v="NO"/>
    <n v="21"/>
    <n v="6"/>
    <n v="27"/>
    <n v="43"/>
    <m/>
  </r>
  <r>
    <x v="0"/>
    <d v="2017-08-22T00:00:00"/>
    <s v="LV-104"/>
    <x v="6"/>
    <s v="CR 20C and CR 9"/>
    <s v="LIGHT"/>
    <s v="NO"/>
    <n v="18"/>
    <n v="0"/>
    <n v="18"/>
    <n v="117"/>
    <m/>
  </r>
  <r>
    <x v="0"/>
    <d v="2017-08-24T00:00:00"/>
    <s v="LV-105"/>
    <x v="6"/>
    <s v="West 43rd @ Dead End RR"/>
    <s v="LIGHT"/>
    <s v="NO"/>
    <n v="14"/>
    <n v="0"/>
    <n v="14"/>
    <n v="37"/>
    <m/>
  </r>
  <r>
    <x v="0"/>
    <d v="2017-08-22T00:00:00"/>
    <s v="LV-110"/>
    <x v="6"/>
    <s v="Big Thompson Natural Area"/>
    <s v="LIGHT"/>
    <s v="NO"/>
    <n v="21"/>
    <n v="1"/>
    <n v="22"/>
    <n v="139"/>
    <m/>
  </r>
  <r>
    <x v="0"/>
    <d v="2017-08-22T00:00:00"/>
    <s v="LV-112"/>
    <x v="6"/>
    <s v="915 Boise Ave"/>
    <s v="LIGHT"/>
    <s v="NO"/>
    <n v="9"/>
    <n v="0"/>
    <n v="9"/>
    <n v="24"/>
    <m/>
  </r>
  <r>
    <x v="0"/>
    <d v="2017-08-22T00:00:00"/>
    <s v="LV-113"/>
    <x v="6"/>
    <s v="The Springs at Marianna"/>
    <s v="LIGHT"/>
    <s v="NO"/>
    <n v="4"/>
    <n v="0"/>
    <n v="4"/>
    <n v="94"/>
    <m/>
  </r>
  <r>
    <x v="0"/>
    <d v="2017-08-23T00:00:00"/>
    <s v="LV-114"/>
    <x v="6"/>
    <s v="Jill Drive Pond"/>
    <s v="LIGHT"/>
    <s v="NO"/>
    <n v="40"/>
    <n v="20"/>
    <n v="60"/>
    <n v="452"/>
    <m/>
  </r>
  <r>
    <x v="0"/>
    <d v="2017-08-21T00:00:00"/>
    <s v="LV-116"/>
    <x v="6"/>
    <s v="Sundisk and 13E"/>
    <s v="LIGHT"/>
    <s v="NO"/>
    <n v="17"/>
    <n v="4"/>
    <n v="21"/>
    <n v="94"/>
    <m/>
  </r>
  <r>
    <x v="0"/>
    <d v="2017-08-21T00:00:00"/>
    <s v="LV-117"/>
    <x v="6"/>
    <s v="Centerra"/>
    <s v="LIGHT"/>
    <s v="NO"/>
    <n v="40"/>
    <n v="20"/>
    <n v="60"/>
    <n v="384"/>
    <m/>
  </r>
  <r>
    <x v="0"/>
    <d v="2017-08-22T00:00:00"/>
    <s v="LV-118"/>
    <x v="6"/>
    <s v="Golf Vista at Golf Course Pond"/>
    <s v="LIGHT"/>
    <s v="NO"/>
    <n v="12"/>
    <n v="3"/>
    <n v="15"/>
    <n v="44"/>
    <m/>
  </r>
  <r>
    <x v="0"/>
    <d v="2017-08-23T00:00:00"/>
    <s v="LV-120"/>
    <x v="6"/>
    <s v="End of City Limits North"/>
    <s v="LIGHT"/>
    <s v="NO"/>
    <n v="32"/>
    <n v="20"/>
    <n v="52"/>
    <n v="544"/>
    <m/>
  </r>
  <r>
    <x v="0"/>
    <d v="2017-08-24T00:00:00"/>
    <s v="LV-121"/>
    <x v="6"/>
    <s v="Bayfield and Windsor"/>
    <s v="LIGHT"/>
    <s v="NO"/>
    <n v="3"/>
    <n v="0"/>
    <n v="3"/>
    <n v="15"/>
    <m/>
  </r>
  <r>
    <x v="0"/>
    <d v="2017-08-24T00:00:00"/>
    <s v="LV-122"/>
    <x v="6"/>
    <s v="Fallgold"/>
    <s v="LIGHT"/>
    <s v="NO"/>
    <n v="4"/>
    <n v="0"/>
    <n v="4"/>
    <n v="15"/>
    <m/>
  </r>
  <r>
    <x v="0"/>
    <d v="2017-08-22T00:00:00"/>
    <s v="LV-124"/>
    <x v="6"/>
    <s v="2nd St at Storage yard"/>
    <s v="LIGHT"/>
    <s v="NO"/>
    <n v="17"/>
    <n v="2"/>
    <n v="19"/>
    <n v="43"/>
    <m/>
  </r>
  <r>
    <x v="0"/>
    <d v="2017-08-22T00:00:00"/>
    <s v="LV-125"/>
    <x v="6"/>
    <s v="8th and No Name"/>
    <s v="LIGHT"/>
    <s v="NO"/>
    <n v="12"/>
    <n v="11"/>
    <n v="23"/>
    <n v="108"/>
    <m/>
  </r>
</pivotCacheRecords>
</file>

<file path=xl/pivotCache/pivotCacheRecords2.xml><?xml version="1.0" encoding="utf-8"?>
<pivotCacheRecords xmlns="http://schemas.openxmlformats.org/spreadsheetml/2006/main" xmlns:r="http://schemas.openxmlformats.org/officeDocument/2006/relationships" count="92">
  <r>
    <n v="2017"/>
    <s v="CSU-11319"/>
    <n v="20866"/>
    <x v="0"/>
    <x v="0"/>
    <s v="LC"/>
    <s v="LV"/>
    <s v="LV-095"/>
    <x v="0"/>
    <s v="L"/>
    <s v="Cx."/>
    <x v="0"/>
    <s v="F"/>
    <m/>
    <n v="50"/>
    <n v="50"/>
    <n v="0"/>
    <s v="Negative"/>
  </r>
  <r>
    <n v="2017"/>
    <s v="CSU-11320"/>
    <n v="20867"/>
    <x v="0"/>
    <x v="0"/>
    <s v="LC"/>
    <s v="LV"/>
    <s v="LV-095"/>
    <x v="0"/>
    <s v="L"/>
    <s v="Cx."/>
    <x v="0"/>
    <s v="F"/>
    <m/>
    <n v="24"/>
    <n v="24"/>
    <n v="0"/>
    <s v="Negative"/>
  </r>
  <r>
    <n v="2017"/>
    <s v="CSU-11321"/>
    <n v="20868"/>
    <x v="0"/>
    <x v="0"/>
    <s v="LC"/>
    <s v="LV"/>
    <s v="LV-095"/>
    <x v="0"/>
    <s v="L"/>
    <s v="Cx."/>
    <x v="1"/>
    <s v="F"/>
    <m/>
    <n v="10"/>
    <n v="10"/>
    <n v="0"/>
    <s v="Negative"/>
  </r>
  <r>
    <n v="2017"/>
    <s v="CSU-11351"/>
    <n v="20898"/>
    <x v="0"/>
    <x v="1"/>
    <s v="LC"/>
    <s v="LV"/>
    <s v="LV-110"/>
    <x v="0"/>
    <s v="L"/>
    <s v="Cx."/>
    <x v="0"/>
    <s v="F"/>
    <m/>
    <n v="21"/>
    <n v="21"/>
    <n v="0"/>
    <s v="Negative"/>
  </r>
  <r>
    <n v="2017"/>
    <s v="CSU-11352"/>
    <n v="20899"/>
    <x v="0"/>
    <x v="1"/>
    <s v="LC"/>
    <s v="LV"/>
    <s v="LV-110"/>
    <x v="0"/>
    <s v="L"/>
    <s v="Cx."/>
    <x v="1"/>
    <s v="F"/>
    <m/>
    <n v="1"/>
    <n v="1"/>
    <n v="0"/>
    <s v="Negative"/>
  </r>
  <r>
    <n v="2017"/>
    <s v="CSU-11313"/>
    <n v="20860"/>
    <x v="0"/>
    <x v="0"/>
    <s v="LC"/>
    <s v="LV"/>
    <s v="LV-069"/>
    <x v="0"/>
    <s v="L"/>
    <s v="Cx."/>
    <x v="0"/>
    <s v="F"/>
    <m/>
    <n v="38"/>
    <n v="38"/>
    <n v="0"/>
    <s v="Negative"/>
  </r>
  <r>
    <n v="2017"/>
    <s v="CSU-11314"/>
    <n v="20861"/>
    <x v="0"/>
    <x v="0"/>
    <s v="LC"/>
    <s v="LV"/>
    <s v="LV-069"/>
    <x v="0"/>
    <s v="L"/>
    <s v="Cx."/>
    <x v="1"/>
    <s v="F"/>
    <m/>
    <n v="3"/>
    <n v="3"/>
    <n v="0"/>
    <s v="Negative"/>
  </r>
  <r>
    <n v="2017"/>
    <s v="CSU-11349"/>
    <n v="20896"/>
    <x v="0"/>
    <x v="1"/>
    <s v="LC"/>
    <s v="LV"/>
    <s v="LV-104"/>
    <x v="0"/>
    <s v="L"/>
    <s v="Cx."/>
    <x v="0"/>
    <s v="F"/>
    <m/>
    <n v="18"/>
    <n v="18"/>
    <n v="0"/>
    <s v="Negative"/>
  </r>
  <r>
    <n v="2017"/>
    <s v="CSU-11350"/>
    <n v="20897"/>
    <x v="0"/>
    <x v="1"/>
    <s v="LC"/>
    <s v="LV"/>
    <s v="LV-089"/>
    <x v="0"/>
    <s v="L"/>
    <s v="Cx."/>
    <x v="0"/>
    <s v="F"/>
    <m/>
    <n v="11"/>
    <n v="11"/>
    <n v="0"/>
    <s v="Negative"/>
  </r>
  <r>
    <n v="2017"/>
    <s v="CSU-11356"/>
    <n v="20903"/>
    <x v="0"/>
    <x v="2"/>
    <s v="LC"/>
    <s v="LV"/>
    <s v="LV-020"/>
    <x v="0"/>
    <s v="L"/>
    <s v="Cx."/>
    <x v="0"/>
    <s v="F"/>
    <m/>
    <n v="23"/>
    <n v="23"/>
    <n v="0"/>
    <s v="Negative"/>
  </r>
  <r>
    <n v="2017"/>
    <s v="CSU-11353"/>
    <n v="20900"/>
    <x v="0"/>
    <x v="2"/>
    <s v="LC"/>
    <s v="BE"/>
    <s v="LC-001"/>
    <x v="1"/>
    <s v="L"/>
    <s v="Cx."/>
    <x v="0"/>
    <s v="F"/>
    <m/>
    <n v="13"/>
    <n v="13"/>
    <n v="0"/>
    <s v="Negative"/>
  </r>
  <r>
    <n v="2017"/>
    <s v="CSU-11354"/>
    <n v="20901"/>
    <x v="0"/>
    <x v="2"/>
    <s v="LC"/>
    <s v="BE"/>
    <s v="LC-001"/>
    <x v="1"/>
    <s v="L"/>
    <s v="Cx."/>
    <x v="1"/>
    <s v="F"/>
    <m/>
    <n v="1"/>
    <n v="1"/>
    <n v="0"/>
    <s v="Negative"/>
  </r>
  <r>
    <n v="2017"/>
    <s v="CSU-11355"/>
    <n v="20902"/>
    <x v="0"/>
    <x v="2"/>
    <s v="LC"/>
    <s v="BE"/>
    <s v="LC-049"/>
    <x v="1"/>
    <s v="L"/>
    <s v="Cx."/>
    <x v="0"/>
    <s v="F"/>
    <m/>
    <n v="12"/>
    <n v="12"/>
    <n v="1"/>
    <s v="Positive"/>
  </r>
  <r>
    <n v="2017"/>
    <s v="CSU-11359"/>
    <n v="20906"/>
    <x v="0"/>
    <x v="2"/>
    <s v="LC"/>
    <s v="BE"/>
    <s v="LC-054"/>
    <x v="1"/>
    <s v="L"/>
    <s v="Cx."/>
    <x v="0"/>
    <s v="F"/>
    <m/>
    <n v="35"/>
    <n v="35"/>
    <n v="1"/>
    <s v="Positive"/>
  </r>
  <r>
    <n v="2017"/>
    <s v="CSU-11360"/>
    <n v="20907"/>
    <x v="0"/>
    <x v="2"/>
    <s v="LC"/>
    <s v="BE"/>
    <s v="LC-054"/>
    <x v="1"/>
    <s v="L"/>
    <s v="Cx."/>
    <x v="1"/>
    <s v="F"/>
    <m/>
    <n v="20"/>
    <n v="20"/>
    <n v="0"/>
    <s v="Negative"/>
  </r>
  <r>
    <n v="2017"/>
    <s v="CSU-11361"/>
    <n v="20908"/>
    <x v="0"/>
    <x v="2"/>
    <s v="LC"/>
    <s v="BE"/>
    <s v="LC-053"/>
    <x v="1"/>
    <s v="L"/>
    <s v="Cx."/>
    <x v="0"/>
    <s v="F"/>
    <m/>
    <n v="35"/>
    <n v="35"/>
    <n v="1"/>
    <s v="Positive"/>
  </r>
  <r>
    <n v="2017"/>
    <s v="CSU-11362"/>
    <n v="20909"/>
    <x v="0"/>
    <x v="2"/>
    <s v="LC"/>
    <s v="BE"/>
    <s v="LC-053"/>
    <x v="1"/>
    <s v="L"/>
    <s v="Cx."/>
    <x v="1"/>
    <s v="F"/>
    <m/>
    <n v="7"/>
    <n v="7"/>
    <n v="0"/>
    <s v="Negative"/>
  </r>
  <r>
    <n v="2017"/>
    <s v="CSU-11315"/>
    <n v="20862"/>
    <x v="0"/>
    <x v="0"/>
    <s v="LC"/>
    <s v="FC"/>
    <s v="FC-038"/>
    <x v="2"/>
    <s v="L"/>
    <s v="Cx."/>
    <x v="0"/>
    <s v="F"/>
    <m/>
    <n v="1"/>
    <n v="1"/>
    <n v="0"/>
    <s v="Negative"/>
  </r>
  <r>
    <n v="2017"/>
    <s v="CSU-11316"/>
    <n v="20863"/>
    <x v="0"/>
    <x v="0"/>
    <s v="LC"/>
    <s v="FC"/>
    <s v="FC-034"/>
    <x v="2"/>
    <s v="L"/>
    <s v="Cx."/>
    <x v="0"/>
    <s v="F"/>
    <m/>
    <n v="9"/>
    <n v="9"/>
    <n v="0"/>
    <s v="Negative"/>
  </r>
  <r>
    <n v="2017"/>
    <s v="CSU-11317"/>
    <n v="20864"/>
    <x v="0"/>
    <x v="0"/>
    <s v="LC"/>
    <s v="FC"/>
    <s v="FC-069"/>
    <x v="2"/>
    <s v="L"/>
    <s v="Cx."/>
    <x v="0"/>
    <s v="F"/>
    <m/>
    <n v="9"/>
    <n v="9"/>
    <n v="0"/>
    <s v="Negative"/>
  </r>
  <r>
    <n v="2017"/>
    <s v="CSU-11318"/>
    <n v="20865"/>
    <x v="0"/>
    <x v="0"/>
    <s v="LC"/>
    <s v="FC"/>
    <s v="FC-069"/>
    <x v="2"/>
    <s v="L"/>
    <s v="Cx."/>
    <x v="1"/>
    <s v="F"/>
    <m/>
    <n v="7"/>
    <n v="7"/>
    <n v="0"/>
    <s v="Negative"/>
  </r>
  <r>
    <n v="2017"/>
    <s v="CSU-11322"/>
    <n v="20869"/>
    <x v="0"/>
    <x v="0"/>
    <s v="LC"/>
    <s v="FC"/>
    <s v="FC-040"/>
    <x v="2"/>
    <s v="L"/>
    <s v="Cx."/>
    <x v="0"/>
    <s v="F"/>
    <m/>
    <n v="2"/>
    <n v="2"/>
    <n v="0"/>
    <s v="Negative"/>
  </r>
  <r>
    <n v="2017"/>
    <s v="CSU-11323"/>
    <n v="20870"/>
    <x v="0"/>
    <x v="0"/>
    <s v="LC"/>
    <s v="FC"/>
    <s v="FC-040"/>
    <x v="2"/>
    <s v="L"/>
    <s v="Cx."/>
    <x v="1"/>
    <s v="F"/>
    <m/>
    <n v="4"/>
    <n v="4"/>
    <n v="0"/>
    <s v="Negative"/>
  </r>
  <r>
    <n v="2017"/>
    <s v="CSU-11324"/>
    <n v="20871"/>
    <x v="0"/>
    <x v="0"/>
    <s v="LC"/>
    <s v="FC"/>
    <s v="FC-014"/>
    <x v="2"/>
    <s v="L"/>
    <s v="Cx."/>
    <x v="0"/>
    <s v="F"/>
    <m/>
    <n v="1"/>
    <n v="1"/>
    <n v="0"/>
    <s v="Negative"/>
  </r>
  <r>
    <n v="2017"/>
    <s v="CSU-11325"/>
    <n v="20872"/>
    <x v="0"/>
    <x v="0"/>
    <s v="LC"/>
    <s v="FC"/>
    <s v="FC-066gr"/>
    <x v="2"/>
    <s v="G"/>
    <s v="Cx."/>
    <x v="1"/>
    <s v="F"/>
    <n v="3"/>
    <m/>
    <n v="3"/>
    <n v="0"/>
    <s v="Negative"/>
  </r>
  <r>
    <n v="2017"/>
    <s v="CSU-11326"/>
    <n v="20873"/>
    <x v="0"/>
    <x v="0"/>
    <s v="LC"/>
    <s v="FC"/>
    <s v="FC-040gr"/>
    <x v="2"/>
    <s v="G"/>
    <s v="Cx."/>
    <x v="1"/>
    <s v="F"/>
    <n v="41"/>
    <m/>
    <n v="41"/>
    <n v="0"/>
    <s v="Negative"/>
  </r>
  <r>
    <n v="2017"/>
    <s v="CSU-11329"/>
    <n v="20876"/>
    <x v="0"/>
    <x v="0"/>
    <s v="LC"/>
    <s v="FC"/>
    <s v="FC-006"/>
    <x v="2"/>
    <s v="L"/>
    <s v="Cx."/>
    <x v="0"/>
    <s v="F"/>
    <m/>
    <n v="12"/>
    <n v="12"/>
    <n v="0"/>
    <s v="Negative"/>
  </r>
  <r>
    <n v="2017"/>
    <s v="CSU-11330"/>
    <n v="20877"/>
    <x v="0"/>
    <x v="0"/>
    <s v="LC"/>
    <s v="FC"/>
    <s v="FC-006"/>
    <x v="2"/>
    <s v="L"/>
    <s v="Cx."/>
    <x v="1"/>
    <s v="F"/>
    <m/>
    <n v="7"/>
    <n v="7"/>
    <n v="0"/>
    <s v="Negative"/>
  </r>
  <r>
    <n v="2017"/>
    <s v="CSU-11331"/>
    <n v="20878"/>
    <x v="0"/>
    <x v="0"/>
    <s v="LC"/>
    <s v="FC"/>
    <s v="FC-092gr"/>
    <x v="2"/>
    <s v="G"/>
    <s v="Cx."/>
    <x v="1"/>
    <s v="F"/>
    <n v="6"/>
    <m/>
    <n v="6"/>
    <n v="0"/>
    <s v="Negative"/>
  </r>
  <r>
    <n v="2017"/>
    <s v="CSU-11332"/>
    <n v="20879"/>
    <x v="0"/>
    <x v="0"/>
    <s v="LC"/>
    <s v="FC"/>
    <s v="FC-019"/>
    <x v="2"/>
    <s v="L"/>
    <s v="Cx."/>
    <x v="0"/>
    <s v="F"/>
    <m/>
    <n v="3"/>
    <n v="3"/>
    <n v="0"/>
    <s v="Negative"/>
  </r>
  <r>
    <n v="2017"/>
    <s v="CSU-11333"/>
    <n v="20880"/>
    <x v="0"/>
    <x v="0"/>
    <s v="LC"/>
    <s v="FC"/>
    <s v="FC-091gr"/>
    <x v="2"/>
    <s v="G"/>
    <s v="Cx."/>
    <x v="1"/>
    <s v="F"/>
    <n v="9"/>
    <m/>
    <n v="9"/>
    <n v="0"/>
    <s v="Negative"/>
  </r>
  <r>
    <n v="2017"/>
    <s v="CSU-11334"/>
    <n v="20881"/>
    <x v="0"/>
    <x v="0"/>
    <s v="LC"/>
    <s v="FC"/>
    <s v="FC-066"/>
    <x v="2"/>
    <s v="L"/>
    <s v="Cx."/>
    <x v="0"/>
    <s v="F"/>
    <m/>
    <n v="5"/>
    <n v="5"/>
    <n v="0"/>
    <s v="Negative"/>
  </r>
  <r>
    <n v="2017"/>
    <s v="CSU-11335"/>
    <n v="20882"/>
    <x v="0"/>
    <x v="0"/>
    <s v="LC"/>
    <s v="FC"/>
    <s v="FC-066"/>
    <x v="2"/>
    <s v="L"/>
    <s v="Cx."/>
    <x v="1"/>
    <s v="F"/>
    <m/>
    <n v="18"/>
    <n v="18"/>
    <n v="0"/>
    <s v="Negative"/>
  </r>
  <r>
    <n v="2017"/>
    <s v="CSU-11336"/>
    <n v="20883"/>
    <x v="0"/>
    <x v="0"/>
    <s v="LC"/>
    <s v="FC"/>
    <s v="FC-072"/>
    <x v="2"/>
    <s v="L"/>
    <s v="Cx."/>
    <x v="0"/>
    <s v="F"/>
    <m/>
    <n v="10"/>
    <n v="10"/>
    <n v="0"/>
    <s v="Negative"/>
  </r>
  <r>
    <n v="2017"/>
    <s v="CSU-11380"/>
    <n v="20927"/>
    <x v="0"/>
    <x v="2"/>
    <s v="LC"/>
    <s v="FC"/>
    <s v="FC-067"/>
    <x v="2"/>
    <s v="L"/>
    <s v="Cx."/>
    <x v="0"/>
    <s v="F"/>
    <m/>
    <n v="25"/>
    <n v="25"/>
    <n v="0"/>
    <s v="Negative"/>
  </r>
  <r>
    <n v="2017"/>
    <s v="CSU-11381"/>
    <n v="20928"/>
    <x v="0"/>
    <x v="2"/>
    <s v="LC"/>
    <s v="FC"/>
    <s v="FC-067"/>
    <x v="2"/>
    <s v="L"/>
    <s v="Cx."/>
    <x v="1"/>
    <s v="F"/>
    <m/>
    <n v="30"/>
    <n v="30"/>
    <n v="0"/>
    <s v="Negative"/>
  </r>
  <r>
    <n v="2017"/>
    <s v="CSU-11327"/>
    <n v="20874"/>
    <x v="0"/>
    <x v="0"/>
    <s v="LC"/>
    <s v="FC"/>
    <s v="FC-036"/>
    <x v="3"/>
    <s v="L"/>
    <s v="Cx."/>
    <x v="0"/>
    <s v="F"/>
    <m/>
    <n v="23"/>
    <n v="23"/>
    <n v="1"/>
    <s v="Positive"/>
  </r>
  <r>
    <n v="2017"/>
    <s v="CSU-11328"/>
    <n v="20875"/>
    <x v="0"/>
    <x v="0"/>
    <s v="LC"/>
    <s v="FC"/>
    <s v="FC-036"/>
    <x v="3"/>
    <s v="L"/>
    <s v="Cx."/>
    <x v="1"/>
    <s v="F"/>
    <m/>
    <n v="3"/>
    <n v="3"/>
    <n v="0"/>
    <s v="Negative"/>
  </r>
  <r>
    <n v="2017"/>
    <s v="CSU-11378"/>
    <n v="20925"/>
    <x v="0"/>
    <x v="2"/>
    <s v="LC"/>
    <s v="FC"/>
    <s v="FC-015"/>
    <x v="3"/>
    <s v="L"/>
    <s v="Cx."/>
    <x v="0"/>
    <s v="F"/>
    <m/>
    <n v="6"/>
    <n v="6"/>
    <n v="0"/>
    <s v="Negative"/>
  </r>
  <r>
    <n v="2017"/>
    <s v="CSU-11379"/>
    <n v="20926"/>
    <x v="0"/>
    <x v="2"/>
    <s v="LC"/>
    <s v="FC"/>
    <s v="FC-015"/>
    <x v="3"/>
    <s v="L"/>
    <s v="Cx."/>
    <x v="1"/>
    <s v="F"/>
    <m/>
    <n v="3"/>
    <n v="3"/>
    <n v="0"/>
    <s v="Negative"/>
  </r>
  <r>
    <n v="2017"/>
    <s v="CSU-11382"/>
    <n v="20929"/>
    <x v="0"/>
    <x v="2"/>
    <s v="LC"/>
    <s v="FC"/>
    <s v="FC-063gr"/>
    <x v="3"/>
    <s v="G"/>
    <s v="Cx."/>
    <x v="1"/>
    <s v="F"/>
    <n v="17"/>
    <m/>
    <n v="17"/>
    <n v="0"/>
    <s v="Negative"/>
  </r>
  <r>
    <n v="2017"/>
    <s v="CSU-11383"/>
    <n v="20930"/>
    <x v="0"/>
    <x v="2"/>
    <s v="LC"/>
    <s v="FC"/>
    <s v="FC-061"/>
    <x v="3"/>
    <s v="L"/>
    <s v="Cx."/>
    <x v="0"/>
    <s v="F"/>
    <m/>
    <n v="7"/>
    <n v="7"/>
    <n v="0"/>
    <s v="Negative"/>
  </r>
  <r>
    <n v="2017"/>
    <s v="CSU-11384"/>
    <n v="20931"/>
    <x v="0"/>
    <x v="2"/>
    <s v="LC"/>
    <s v="FC"/>
    <s v="FC-063"/>
    <x v="3"/>
    <s v="L"/>
    <s v="Cx."/>
    <x v="0"/>
    <s v="F"/>
    <m/>
    <n v="1"/>
    <n v="1"/>
    <n v="0"/>
    <s v="Negative"/>
  </r>
  <r>
    <n v="2017"/>
    <s v="CSU-11385"/>
    <n v="20932"/>
    <x v="0"/>
    <x v="2"/>
    <s v="LC"/>
    <s v="FC"/>
    <s v="FC-063"/>
    <x v="3"/>
    <s v="L"/>
    <s v="Cx."/>
    <x v="1"/>
    <s v="F"/>
    <m/>
    <n v="2"/>
    <n v="2"/>
    <n v="0"/>
    <s v="Negative"/>
  </r>
  <r>
    <n v="2017"/>
    <s v="CSU-11386"/>
    <n v="20933"/>
    <x v="0"/>
    <x v="2"/>
    <s v="LC"/>
    <s v="FC"/>
    <s v="FC-073"/>
    <x v="3"/>
    <s v="L"/>
    <s v="Cx."/>
    <x v="0"/>
    <s v="F"/>
    <m/>
    <n v="5"/>
    <n v="5"/>
    <n v="0"/>
    <s v="Negative"/>
  </r>
  <r>
    <n v="2017"/>
    <s v="CSU-11387"/>
    <n v="20934"/>
    <x v="0"/>
    <x v="2"/>
    <s v="LC"/>
    <s v="FC"/>
    <s v="FC-090gr"/>
    <x v="3"/>
    <s v="G"/>
    <s v="Cx."/>
    <x v="1"/>
    <s v="F"/>
    <n v="12"/>
    <m/>
    <n v="12"/>
    <n v="0"/>
    <s v="Negative"/>
  </r>
  <r>
    <n v="2017"/>
    <s v="CSU-11388"/>
    <n v="20935"/>
    <x v="0"/>
    <x v="2"/>
    <s v="LC"/>
    <s v="FC"/>
    <s v="FC-041"/>
    <x v="3"/>
    <s v="L"/>
    <s v="Cx."/>
    <x v="0"/>
    <s v="F"/>
    <m/>
    <n v="19"/>
    <n v="19"/>
    <n v="0"/>
    <s v="Negative"/>
  </r>
  <r>
    <n v="2017"/>
    <s v="CSU-11389"/>
    <n v="20936"/>
    <x v="0"/>
    <x v="2"/>
    <s v="LC"/>
    <s v="FC"/>
    <s v="FC-041"/>
    <x v="3"/>
    <s v="L"/>
    <s v="Cx."/>
    <x v="1"/>
    <s v="F"/>
    <m/>
    <n v="8"/>
    <n v="8"/>
    <n v="0"/>
    <s v="Negative"/>
  </r>
  <r>
    <n v="2017"/>
    <s v="CSU-11390"/>
    <n v="20937"/>
    <x v="0"/>
    <x v="2"/>
    <s v="LC"/>
    <s v="FC"/>
    <s v="FC-011"/>
    <x v="3"/>
    <s v="L"/>
    <s v="Cx."/>
    <x v="0"/>
    <s v="F"/>
    <m/>
    <n v="1"/>
    <n v="1"/>
    <n v="0"/>
    <s v="Negative"/>
  </r>
  <r>
    <n v="2017"/>
    <s v="CSU-11391"/>
    <n v="20938"/>
    <x v="0"/>
    <x v="2"/>
    <s v="LC"/>
    <s v="FC"/>
    <s v="FC-011"/>
    <x v="3"/>
    <s v="L"/>
    <s v="Cx."/>
    <x v="1"/>
    <s v="F"/>
    <m/>
    <n v="50"/>
    <n v="50"/>
    <n v="0"/>
    <s v="Negative"/>
  </r>
  <r>
    <n v="2017"/>
    <s v="CSU-11392"/>
    <n v="20939"/>
    <x v="0"/>
    <x v="2"/>
    <s v="LC"/>
    <s v="FC"/>
    <s v="FC-060"/>
    <x v="3"/>
    <s v="L"/>
    <s v="Cx."/>
    <x v="0"/>
    <s v="F"/>
    <m/>
    <n v="6"/>
    <n v="6"/>
    <n v="0"/>
    <s v="Negative"/>
  </r>
  <r>
    <n v="2017"/>
    <s v="CSU-11337"/>
    <n v="20884"/>
    <x v="0"/>
    <x v="1"/>
    <s v="LC"/>
    <s v="FC"/>
    <s v="FC-039"/>
    <x v="4"/>
    <s v="L"/>
    <s v="Cx."/>
    <x v="0"/>
    <s v="F"/>
    <m/>
    <n v="32"/>
    <n v="32"/>
    <n v="0"/>
    <s v="Negative"/>
  </r>
  <r>
    <n v="2017"/>
    <s v="CSU-11338"/>
    <n v="20885"/>
    <x v="0"/>
    <x v="1"/>
    <s v="LC"/>
    <s v="FC"/>
    <s v="FC-039"/>
    <x v="4"/>
    <s v="L"/>
    <s v="Cx."/>
    <x v="1"/>
    <s v="F"/>
    <m/>
    <n v="4"/>
    <n v="4"/>
    <n v="0"/>
    <s v="Negative"/>
  </r>
  <r>
    <n v="2017"/>
    <s v="CSU-11339"/>
    <n v="20886"/>
    <x v="0"/>
    <x v="1"/>
    <s v="LC"/>
    <s v="FC"/>
    <s v="FC-064"/>
    <x v="4"/>
    <s v="L"/>
    <s v="Cx."/>
    <x v="0"/>
    <s v="F"/>
    <m/>
    <n v="28"/>
    <n v="28"/>
    <n v="0"/>
    <s v="Negative"/>
  </r>
  <r>
    <n v="2017"/>
    <s v="CSU-11340"/>
    <n v="20887"/>
    <x v="0"/>
    <x v="1"/>
    <s v="LC"/>
    <s v="FC"/>
    <s v="FC-064"/>
    <x v="4"/>
    <s v="L"/>
    <s v="Cx."/>
    <x v="1"/>
    <s v="F"/>
    <m/>
    <n v="12"/>
    <n v="12"/>
    <n v="0"/>
    <s v="Negative"/>
  </r>
  <r>
    <n v="2017"/>
    <s v="CSU-11341"/>
    <n v="20888"/>
    <x v="0"/>
    <x v="1"/>
    <s v="LC"/>
    <s v="FC"/>
    <s v="FC-053"/>
    <x v="4"/>
    <s v="L"/>
    <s v="Cx."/>
    <x v="0"/>
    <s v="F"/>
    <m/>
    <n v="20"/>
    <n v="20"/>
    <n v="0"/>
    <s v="Negative"/>
  </r>
  <r>
    <n v="2017"/>
    <s v="CSU-11342"/>
    <n v="20889"/>
    <x v="0"/>
    <x v="1"/>
    <s v="LC"/>
    <s v="FC"/>
    <s v="FC-053"/>
    <x v="4"/>
    <s v="L"/>
    <s v="Cx."/>
    <x v="1"/>
    <s v="F"/>
    <m/>
    <n v="4"/>
    <n v="4"/>
    <n v="0"/>
    <s v="Negative"/>
  </r>
  <r>
    <n v="2017"/>
    <s v="CSU-11343"/>
    <n v="20890"/>
    <x v="0"/>
    <x v="1"/>
    <s v="LC"/>
    <s v="FC"/>
    <s v="FC-075"/>
    <x v="4"/>
    <s v="L"/>
    <s v="Cx."/>
    <x v="0"/>
    <s v="F"/>
    <m/>
    <n v="30"/>
    <n v="30"/>
    <n v="0"/>
    <s v="Negative"/>
  </r>
  <r>
    <n v="2017"/>
    <s v="CSU-11344"/>
    <n v="20891"/>
    <x v="0"/>
    <x v="1"/>
    <s v="LC"/>
    <s v="FC"/>
    <s v="FC-075"/>
    <x v="4"/>
    <s v="L"/>
    <s v="Cx."/>
    <x v="1"/>
    <s v="F"/>
    <m/>
    <n v="26"/>
    <n v="26"/>
    <n v="0"/>
    <s v="Negative"/>
  </r>
  <r>
    <n v="2017"/>
    <s v="CSU-11345"/>
    <n v="20892"/>
    <x v="0"/>
    <x v="1"/>
    <s v="LC"/>
    <s v="FC"/>
    <s v="FC-075gr"/>
    <x v="4"/>
    <s v="G"/>
    <s v="Cx."/>
    <x v="1"/>
    <s v="F"/>
    <n v="50"/>
    <m/>
    <n v="50"/>
    <n v="0"/>
    <s v="Negative"/>
  </r>
  <r>
    <n v="2017"/>
    <s v="CSU-11346"/>
    <n v="20893"/>
    <x v="0"/>
    <x v="1"/>
    <s v="LC"/>
    <s v="FC"/>
    <s v="FC-075gr"/>
    <x v="4"/>
    <s v="G"/>
    <s v="Cx."/>
    <x v="1"/>
    <s v="F"/>
    <n v="43"/>
    <m/>
    <n v="43"/>
    <n v="0"/>
    <s v="Negative"/>
  </r>
  <r>
    <n v="2017"/>
    <s v="CSU-11347"/>
    <n v="20894"/>
    <x v="0"/>
    <x v="1"/>
    <s v="LC"/>
    <s v="FC"/>
    <s v="FC-074"/>
    <x v="4"/>
    <s v="L"/>
    <s v="Cx."/>
    <x v="0"/>
    <s v="F"/>
    <m/>
    <n v="27"/>
    <n v="27"/>
    <n v="0"/>
    <s v="Negative"/>
  </r>
  <r>
    <n v="2017"/>
    <s v="CSU-11348"/>
    <n v="20895"/>
    <x v="0"/>
    <x v="1"/>
    <s v="LC"/>
    <s v="FC"/>
    <s v="FC-074"/>
    <x v="4"/>
    <s v="L"/>
    <s v="Cx."/>
    <x v="1"/>
    <s v="F"/>
    <m/>
    <n v="12"/>
    <n v="12"/>
    <n v="0"/>
    <s v="Negative"/>
  </r>
  <r>
    <n v="2017"/>
    <s v="CSU-11357"/>
    <n v="20904"/>
    <x v="0"/>
    <x v="2"/>
    <s v="LC"/>
    <s v="FC"/>
    <s v="FC-088gr"/>
    <x v="4"/>
    <s v="G"/>
    <s v="Cx."/>
    <x v="1"/>
    <s v="F"/>
    <n v="50"/>
    <m/>
    <n v="50"/>
    <n v="0"/>
    <s v="Negative"/>
  </r>
  <r>
    <n v="2017"/>
    <s v="CSU-11358"/>
    <n v="20905"/>
    <x v="0"/>
    <x v="2"/>
    <s v="LC"/>
    <s v="FC"/>
    <s v="FC-088gr"/>
    <x v="4"/>
    <s v="G"/>
    <s v="Cx."/>
    <x v="1"/>
    <s v="F"/>
    <n v="19"/>
    <m/>
    <n v="19"/>
    <n v="1"/>
    <s v="Positive"/>
  </r>
  <r>
    <n v="2017"/>
    <s v="CSU-11363"/>
    <n v="20910"/>
    <x v="0"/>
    <x v="2"/>
    <s v="LC"/>
    <s v="FC"/>
    <s v="FC-004"/>
    <x v="4"/>
    <s v="L"/>
    <s v="Cx."/>
    <x v="0"/>
    <s v="F"/>
    <m/>
    <n v="6"/>
    <n v="6"/>
    <n v="0"/>
    <s v="Negative"/>
  </r>
  <r>
    <n v="2017"/>
    <s v="CSU-11364"/>
    <n v="20911"/>
    <x v="0"/>
    <x v="2"/>
    <s v="LC"/>
    <s v="FC"/>
    <s v="FC-004"/>
    <x v="4"/>
    <s v="L"/>
    <s v="Cx."/>
    <x v="1"/>
    <s v="F"/>
    <m/>
    <n v="9"/>
    <n v="9"/>
    <n v="0"/>
    <s v="Negative"/>
  </r>
  <r>
    <n v="2017"/>
    <s v="CSU-11365"/>
    <n v="20912"/>
    <x v="0"/>
    <x v="2"/>
    <s v="LC"/>
    <s v="FC"/>
    <s v="FC-031"/>
    <x v="4"/>
    <s v="L"/>
    <s v="Cx."/>
    <x v="0"/>
    <s v="F"/>
    <m/>
    <n v="2"/>
    <n v="2"/>
    <n v="0"/>
    <s v="Negative"/>
  </r>
  <r>
    <n v="2017"/>
    <s v="CSU-11366"/>
    <n v="20913"/>
    <x v="0"/>
    <x v="2"/>
    <s v="LC"/>
    <s v="FC"/>
    <s v="FC-027"/>
    <x v="4"/>
    <s v="L"/>
    <s v="Cx."/>
    <x v="0"/>
    <s v="F"/>
    <m/>
    <n v="8"/>
    <n v="8"/>
    <n v="0"/>
    <s v="Negative"/>
  </r>
  <r>
    <n v="2017"/>
    <s v="CSU-11367"/>
    <n v="20914"/>
    <x v="0"/>
    <x v="2"/>
    <s v="LC"/>
    <s v="FC"/>
    <s v="FC-047"/>
    <x v="4"/>
    <s v="L"/>
    <s v="Cx."/>
    <x v="0"/>
    <s v="F"/>
    <m/>
    <n v="5"/>
    <n v="5"/>
    <n v="0"/>
    <s v="Negative"/>
  </r>
  <r>
    <n v="2017"/>
    <s v="CSU-11368"/>
    <n v="20915"/>
    <x v="0"/>
    <x v="2"/>
    <s v="LC"/>
    <s v="FC"/>
    <s v="FC-059"/>
    <x v="4"/>
    <s v="L"/>
    <s v="Cx."/>
    <x v="0"/>
    <s v="F"/>
    <m/>
    <n v="5"/>
    <n v="5"/>
    <n v="0"/>
    <s v="Negative"/>
  </r>
  <r>
    <n v="2017"/>
    <s v="CSU-11369"/>
    <n v="20916"/>
    <x v="0"/>
    <x v="2"/>
    <s v="LC"/>
    <s v="FC"/>
    <s v="FC-046"/>
    <x v="4"/>
    <s v="L"/>
    <s v="Cx."/>
    <x v="0"/>
    <s v="F"/>
    <m/>
    <n v="6"/>
    <n v="6"/>
    <n v="0"/>
    <s v="Negative"/>
  </r>
  <r>
    <n v="2017"/>
    <s v="CSU-11370"/>
    <n v="20917"/>
    <x v="0"/>
    <x v="2"/>
    <s v="LC"/>
    <s v="FC"/>
    <s v="FC-046"/>
    <x v="4"/>
    <s v="L"/>
    <s v="Cx."/>
    <x v="1"/>
    <s v="F"/>
    <m/>
    <n v="3"/>
    <n v="3"/>
    <n v="0"/>
    <s v="Negative"/>
  </r>
  <r>
    <n v="2017"/>
    <s v="CSU-11371"/>
    <n v="20918"/>
    <x v="0"/>
    <x v="2"/>
    <s v="LC"/>
    <s v="FC"/>
    <s v="FC-023"/>
    <x v="4"/>
    <s v="L"/>
    <s v="Cx."/>
    <x v="0"/>
    <s v="F"/>
    <m/>
    <n v="17"/>
    <n v="17"/>
    <n v="0"/>
    <s v="Negative"/>
  </r>
  <r>
    <n v="2017"/>
    <s v="CSU-11372"/>
    <n v="20919"/>
    <x v="0"/>
    <x v="2"/>
    <s v="LC"/>
    <s v="FC"/>
    <s v="FC-023"/>
    <x v="4"/>
    <s v="L"/>
    <s v="Cx."/>
    <x v="1"/>
    <s v="F"/>
    <m/>
    <n v="14"/>
    <n v="14"/>
    <n v="0"/>
    <s v="Negative"/>
  </r>
  <r>
    <n v="2017"/>
    <s v="CSU-11373"/>
    <n v="20920"/>
    <x v="0"/>
    <x v="2"/>
    <s v="LC"/>
    <s v="FC"/>
    <s v="FC-050"/>
    <x v="4"/>
    <s v="L"/>
    <s v="Cx."/>
    <x v="0"/>
    <s v="F"/>
    <m/>
    <n v="7"/>
    <n v="7"/>
    <n v="1"/>
    <s v="Positive"/>
  </r>
  <r>
    <n v="2017"/>
    <s v="CSU-11374"/>
    <n v="20921"/>
    <x v="0"/>
    <x v="2"/>
    <s v="LC"/>
    <s v="FC"/>
    <s v="FC-050"/>
    <x v="4"/>
    <s v="L"/>
    <s v="Cx."/>
    <x v="1"/>
    <s v="F"/>
    <m/>
    <n v="3"/>
    <n v="3"/>
    <n v="0"/>
    <s v="Negative"/>
  </r>
  <r>
    <n v="2017"/>
    <s v="CSU-11393"/>
    <n v="20940"/>
    <x v="0"/>
    <x v="3"/>
    <s v="LC"/>
    <s v="FC"/>
    <s v="FC-054"/>
    <x v="4"/>
    <s v="L"/>
    <s v="Cx."/>
    <x v="0"/>
    <s v="F"/>
    <m/>
    <n v="10"/>
    <n v="10"/>
    <n v="0"/>
    <s v="Negative"/>
  </r>
  <r>
    <n v="2017"/>
    <s v="CSU-11394"/>
    <n v="20941"/>
    <x v="0"/>
    <x v="3"/>
    <s v="LC"/>
    <s v="FC"/>
    <s v="FC-029"/>
    <x v="4"/>
    <s v="L"/>
    <s v="Cx."/>
    <x v="0"/>
    <s v="F"/>
    <m/>
    <n v="15"/>
    <n v="15"/>
    <n v="0"/>
    <s v="Negative"/>
  </r>
  <r>
    <n v="2017"/>
    <s v="CSU-11395"/>
    <n v="20942"/>
    <x v="0"/>
    <x v="3"/>
    <s v="LC"/>
    <s v="FC"/>
    <s v="FC-029"/>
    <x v="4"/>
    <s v="L"/>
    <s v="Cx."/>
    <x v="1"/>
    <s v="F"/>
    <m/>
    <n v="3"/>
    <n v="3"/>
    <n v="0"/>
    <s v="Negative"/>
  </r>
  <r>
    <n v="2017"/>
    <s v="CSU-11397"/>
    <n v="20944"/>
    <x v="0"/>
    <x v="3"/>
    <s v="LC"/>
    <s v="FC"/>
    <s v="FC-029gr"/>
    <x v="4"/>
    <s v="G"/>
    <s v="Cx."/>
    <x v="1"/>
    <s v="F"/>
    <n v="21"/>
    <m/>
    <n v="21"/>
    <n v="0"/>
    <s v="Negative"/>
  </r>
  <r>
    <n v="2017"/>
    <s v="CSU-11375"/>
    <n v="20922"/>
    <x v="0"/>
    <x v="2"/>
    <s v="LC"/>
    <s v="FC"/>
    <s v="FC-058"/>
    <x v="5"/>
    <s v="L"/>
    <s v="Cx."/>
    <x v="1"/>
    <s v="F"/>
    <m/>
    <n v="4"/>
    <n v="4"/>
    <n v="0"/>
    <s v="Negative"/>
  </r>
  <r>
    <n v="2017"/>
    <s v="CSU-11376"/>
    <n v="20923"/>
    <x v="0"/>
    <x v="2"/>
    <s v="LC"/>
    <s v="FC"/>
    <s v="FC-049"/>
    <x v="5"/>
    <s v="L"/>
    <s v="Cx."/>
    <x v="0"/>
    <s v="F"/>
    <m/>
    <n v="3"/>
    <n v="3"/>
    <n v="0"/>
    <s v="Negative"/>
  </r>
  <r>
    <n v="2017"/>
    <s v="CSU-11377"/>
    <n v="20924"/>
    <x v="0"/>
    <x v="2"/>
    <s v="LC"/>
    <s v="FC"/>
    <s v="FC-052"/>
    <x v="5"/>
    <s v="L"/>
    <s v="Cx."/>
    <x v="0"/>
    <s v="F"/>
    <m/>
    <n v="2"/>
    <n v="2"/>
    <n v="0"/>
    <s v="Negative"/>
  </r>
  <r>
    <n v="2017"/>
    <s v="CSU-11396"/>
    <n v="20943"/>
    <x v="0"/>
    <x v="3"/>
    <s v="LC"/>
    <s v="FC"/>
    <s v="FC-068"/>
    <x v="5"/>
    <s v="L"/>
    <s v="Cx."/>
    <x v="0"/>
    <s v="F"/>
    <m/>
    <n v="2"/>
    <n v="2"/>
    <n v="0"/>
    <s v="Negative"/>
  </r>
  <r>
    <n v="2017"/>
    <s v="CSU-11398"/>
    <n v="20945"/>
    <x v="0"/>
    <x v="3"/>
    <s v="LC"/>
    <s v="FC"/>
    <s v="FC-093"/>
    <x v="5"/>
    <s v="L"/>
    <s v="Cx."/>
    <x v="0"/>
    <s v="F"/>
    <m/>
    <n v="4"/>
    <n v="4"/>
    <n v="0"/>
    <s v="Negative"/>
  </r>
  <r>
    <n v="2017"/>
    <s v="CSU-11399"/>
    <n v="20946"/>
    <x v="0"/>
    <x v="3"/>
    <s v="LC"/>
    <s v="FC"/>
    <s v="FC-062"/>
    <x v="5"/>
    <s v="L"/>
    <s v="Cx."/>
    <x v="0"/>
    <s v="F"/>
    <m/>
    <n v="4"/>
    <n v="4"/>
    <n v="0"/>
    <s v="Negative"/>
  </r>
  <r>
    <n v="2017"/>
    <s v="CSU-11400"/>
    <n v="20947"/>
    <x v="0"/>
    <x v="3"/>
    <s v="LC"/>
    <s v="FC"/>
    <s v="FC-071"/>
    <x v="5"/>
    <s v="L"/>
    <s v="Cx."/>
    <x v="0"/>
    <s v="F"/>
    <m/>
    <n v="5"/>
    <n v="5"/>
    <n v="0"/>
    <s v="Negative"/>
  </r>
  <r>
    <n v="2017"/>
    <s v="CSU-11401"/>
    <n v="20948"/>
    <x v="0"/>
    <x v="3"/>
    <s v="LC"/>
    <s v="FC"/>
    <s v="FC-089gr"/>
    <x v="5"/>
    <s v="G"/>
    <s v="Cx."/>
    <x v="1"/>
    <s v="F"/>
    <n v="16"/>
    <m/>
    <n v="16"/>
    <n v="0"/>
    <s v="Negative"/>
  </r>
  <r>
    <n v="2017"/>
    <s v="CSU-11402"/>
    <n v="20949"/>
    <x v="0"/>
    <x v="3"/>
    <s v="LC"/>
    <s v="FC"/>
    <s v="FC-037"/>
    <x v="5"/>
    <s v="L"/>
    <s v="Cx."/>
    <x v="0"/>
    <s v="F"/>
    <m/>
    <n v="27"/>
    <n v="27"/>
    <n v="0"/>
    <s v="Negative"/>
  </r>
  <r>
    <n v="2017"/>
    <s v="CSU-11403"/>
    <n v="20950"/>
    <x v="0"/>
    <x v="3"/>
    <s v="LC"/>
    <s v="FC"/>
    <s v="FC-057"/>
    <x v="5"/>
    <s v="L"/>
    <s v="Cx."/>
    <x v="0"/>
    <s v="F"/>
    <m/>
    <n v="8"/>
    <n v="8"/>
    <n v="0"/>
    <s v="Negative"/>
  </r>
  <r>
    <n v="2017"/>
    <s v="CSU-11404"/>
    <n v="20951"/>
    <x v="0"/>
    <x v="3"/>
    <s v="LC"/>
    <s v="FC"/>
    <s v="FC-057"/>
    <x v="5"/>
    <s v="L"/>
    <s v="Cx."/>
    <x v="1"/>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6">
        <item m="1" x="2"/>
        <item m="1" x="3"/>
        <item m="1" x="4"/>
        <item m="1" x="1"/>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4" t="s">
        <v>53</v>
      </c>
      <c r="H1" s="94"/>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7</v>
      </c>
      <c r="D6" s="2">
        <v>10</v>
      </c>
      <c r="G6" s="1" t="s">
        <v>9</v>
      </c>
      <c r="H6" s="2">
        <f>GETPIVOTDATA("CSU Pool Number     (CMC enters)",$A$4,"Zone","LV","Spp","pipiens")</f>
        <v>3</v>
      </c>
      <c r="I6" s="2">
        <f>GETPIVOTDATA("CSU Pool Number     (CMC enters)",$A$4,"Zone","LV","Spp","tarsalis")</f>
        <v>7</v>
      </c>
      <c r="J6" s="2">
        <f>GETPIVOTDATA("CSU Pool Number     (CMC enters)",$A$4,"Zone","LV")</f>
        <v>10</v>
      </c>
    </row>
    <row r="7" spans="1:10" x14ac:dyDescent="0.25">
      <c r="A7" s="1" t="s">
        <v>59</v>
      </c>
      <c r="B7" s="2">
        <v>9</v>
      </c>
      <c r="C7" s="2">
        <v>10</v>
      </c>
      <c r="D7" s="2">
        <v>19</v>
      </c>
      <c r="G7" s="1" t="s">
        <v>59</v>
      </c>
      <c r="H7" s="2">
        <f>GETPIVOTDATA("CSU Pool Number     (CMC enters)",$A$4,"Zone","NE","Spp","pipiens")</f>
        <v>9</v>
      </c>
      <c r="I7" s="2">
        <f>GETPIVOTDATA("CSU Pool Number     (CMC enters)",$A$4,"Zone","NE","Spp","tarsalis")</f>
        <v>10</v>
      </c>
      <c r="J7" s="2">
        <f>GETPIVOTDATA("CSU Pool Number     (CMC enters)",$A$4,"Zone","NE")</f>
        <v>19</v>
      </c>
    </row>
    <row r="8" spans="1:10" x14ac:dyDescent="0.25">
      <c r="A8" s="1" t="s">
        <v>58</v>
      </c>
      <c r="B8" s="2">
        <v>7</v>
      </c>
      <c r="C8" s="2">
        <v>8</v>
      </c>
      <c r="D8" s="2">
        <v>15</v>
      </c>
      <c r="G8" s="1" t="s">
        <v>58</v>
      </c>
      <c r="H8" s="2">
        <f>GETPIVOTDATA("CSU Pool Number     (CMC enters)",$A$4,"Zone","NW","Spp","pipiens")</f>
        <v>7</v>
      </c>
      <c r="I8" s="2">
        <f>GETPIVOTDATA("CSU Pool Number     (CMC enters)",$A$4,"Zone","NW","Spp","tarsalis")</f>
        <v>8</v>
      </c>
      <c r="J8" s="2">
        <f>GETPIVOTDATA("CSU Pool Number     (CMC enters)",$A$4,"Zone","NW")</f>
        <v>15</v>
      </c>
    </row>
    <row r="9" spans="1:10" x14ac:dyDescent="0.25">
      <c r="A9" s="1" t="s">
        <v>60</v>
      </c>
      <c r="B9" s="2">
        <v>15</v>
      </c>
      <c r="C9" s="2">
        <v>15</v>
      </c>
      <c r="D9" s="2">
        <v>30</v>
      </c>
      <c r="G9" s="1" t="s">
        <v>60</v>
      </c>
      <c r="H9" s="2">
        <f>GETPIVOTDATA("CSU Pool Number     (CMC enters)",$A$4,"Zone","SE","Spp","pipiens")</f>
        <v>15</v>
      </c>
      <c r="I9" s="2">
        <f>GETPIVOTDATA("CSU Pool Number     (CMC enters)",$A$4,"Zone","SE","Spp","tarsalis")</f>
        <v>15</v>
      </c>
      <c r="J9" s="2">
        <f>GETPIVOTDATA("CSU Pool Number     (CMC enters)",$A$4,"Zone","SE")</f>
        <v>30</v>
      </c>
    </row>
    <row r="10" spans="1:10" x14ac:dyDescent="0.25">
      <c r="A10" s="1" t="s">
        <v>61</v>
      </c>
      <c r="B10" s="2">
        <v>3</v>
      </c>
      <c r="C10" s="2">
        <v>8</v>
      </c>
      <c r="D10" s="2">
        <v>11</v>
      </c>
      <c r="G10" s="1" t="s">
        <v>61</v>
      </c>
      <c r="H10" s="2">
        <f>GETPIVOTDATA("CSU Pool Number     (CMC enters)",$A$4,"Zone","SW","Spp","pipiens")</f>
        <v>3</v>
      </c>
      <c r="I10" s="2">
        <f>GETPIVOTDATA("CSU Pool Number     (CMC enters)",$A$4,"Zone","SW","Spp","tarsalis")</f>
        <v>8</v>
      </c>
      <c r="J10" s="2">
        <f>GETPIVOTDATA("CSU Pool Number     (CMC enters)",$A$4,"Zone","SW")</f>
        <v>11</v>
      </c>
    </row>
    <row r="11" spans="1:10" x14ac:dyDescent="0.25">
      <c r="A11" s="1" t="s">
        <v>259</v>
      </c>
      <c r="B11" s="2">
        <v>3</v>
      </c>
      <c r="C11" s="2">
        <v>4</v>
      </c>
      <c r="D11" s="2">
        <v>7</v>
      </c>
      <c r="G11" s="1" t="s">
        <v>259</v>
      </c>
      <c r="H11">
        <f>GETPIVOTDATA("CSU Pool Number     (CMC enters)",$A$4,"Zone","BE","Spp","pipiens")</f>
        <v>3</v>
      </c>
      <c r="I11">
        <f>GETPIVOTDATA("CSU Pool Number     (CMC enters)",$A$4,"Zone","BE","Spp","tarsalis")</f>
        <v>4</v>
      </c>
      <c r="J11">
        <f>GETPIVOTDATA("CSU Pool Number     (CMC enters)",$A$4,"Zone","BE")</f>
        <v>7</v>
      </c>
    </row>
    <row r="12" spans="1:10" x14ac:dyDescent="0.25">
      <c r="A12" s="1" t="s">
        <v>7</v>
      </c>
      <c r="B12" s="2">
        <v>40</v>
      </c>
      <c r="C12" s="2">
        <v>52</v>
      </c>
      <c r="D12" s="2">
        <v>92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8" sqref="D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4" t="s">
        <v>77</v>
      </c>
      <c r="B1" s="94"/>
      <c r="C1" s="94"/>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1</v>
      </c>
      <c r="D7" s="2">
        <v>1</v>
      </c>
      <c r="F7" s="1" t="s">
        <v>58</v>
      </c>
      <c r="G7" s="2">
        <f>GETPIVOTDATA("Test code (CSU enters)",$A$5,"Zone","NW","Spp","pipiens")</f>
        <v>0</v>
      </c>
      <c r="H7" s="2">
        <f>GETPIVOTDATA("Test code (CSU enters)",$A$5,"Zone","NW","Spp","tarsalis")</f>
        <v>1</v>
      </c>
      <c r="I7" s="2">
        <f>GETPIVOTDATA("Test code (CSU enters)",$A$5,"Zone","NW")</f>
        <v>1</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1</v>
      </c>
      <c r="C9" s="2">
        <v>1</v>
      </c>
      <c r="D9" s="2">
        <v>2</v>
      </c>
      <c r="F9" s="1" t="s">
        <v>60</v>
      </c>
      <c r="G9" s="2">
        <f>GETPIVOTDATA("Test code (CSU enters)",$A$5,"Zone","SE","Spp","pipiens")</f>
        <v>1</v>
      </c>
      <c r="H9" s="2">
        <f>GETPIVOTDATA("Test code (CSU enters)",$A$5,"Zone","SE","Spp","tarsalis")</f>
        <v>1</v>
      </c>
      <c r="I9" s="2">
        <f>GETPIVOTDATA("Test code (CSU enters)",$A$5,"Zone","SE")</f>
        <v>2</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259</v>
      </c>
      <c r="B12" s="2">
        <v>0</v>
      </c>
      <c r="C12" s="2">
        <v>3</v>
      </c>
      <c r="D12" s="2">
        <v>3</v>
      </c>
      <c r="F12" s="1" t="s">
        <v>259</v>
      </c>
      <c r="G12">
        <f>GETPIVOTDATA("Test code (CSU enters)",$A$5,"Zone","BE","Spp","pipiens")</f>
        <v>0</v>
      </c>
      <c r="H12">
        <f>GETPIVOTDATA("Test code (CSU enters)",$A$5,"Zone","BE","Spp","tarsalis")</f>
        <v>3</v>
      </c>
      <c r="I12">
        <f>GETPIVOTDATA("Test code (CSU enters)",$A$5,"Zone","BE")</f>
        <v>3</v>
      </c>
    </row>
    <row r="13" spans="1:9" x14ac:dyDescent="0.25">
      <c r="A13" s="1" t="s">
        <v>7</v>
      </c>
      <c r="B13" s="2">
        <v>1</v>
      </c>
      <c r="C13" s="2">
        <v>5</v>
      </c>
      <c r="D13" s="2">
        <v>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H23" sqref="H23"/>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1.92</v>
      </c>
    </row>
    <row r="3" spans="1:11" x14ac:dyDescent="0.25">
      <c r="A3" t="s">
        <v>47</v>
      </c>
      <c r="B3" t="s">
        <v>16</v>
      </c>
      <c r="C3" s="31">
        <v>4.8499999999999996</v>
      </c>
    </row>
    <row r="4" spans="1:11" x14ac:dyDescent="0.25">
      <c r="A4" t="s">
        <v>9</v>
      </c>
      <c r="B4" t="s">
        <v>15</v>
      </c>
      <c r="C4" s="31">
        <v>0</v>
      </c>
    </row>
    <row r="5" spans="1:11" x14ac:dyDescent="0.25">
      <c r="A5" t="s">
        <v>9</v>
      </c>
      <c r="B5" t="s">
        <v>16</v>
      </c>
      <c r="C5" s="31">
        <v>0</v>
      </c>
    </row>
    <row r="6" spans="1:11" x14ac:dyDescent="0.25">
      <c r="A6" t="s">
        <v>259</v>
      </c>
      <c r="B6" t="s">
        <v>15</v>
      </c>
      <c r="C6" s="31">
        <v>0</v>
      </c>
    </row>
    <row r="7" spans="1:11" x14ac:dyDescent="0.25">
      <c r="A7" t="s">
        <v>259</v>
      </c>
      <c r="B7" t="s">
        <v>16</v>
      </c>
      <c r="C7" s="31">
        <v>46.24</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G14" s="31"/>
      <c r="H14" s="56"/>
      <c r="I14" s="66"/>
      <c r="J14" s="56"/>
    </row>
    <row r="15" spans="1:11" x14ac:dyDescent="0.25">
      <c r="G15" s="31"/>
      <c r="I15" s="31"/>
      <c r="K15" s="31"/>
    </row>
    <row r="16" spans="1:11" x14ac:dyDescent="0.25">
      <c r="G16" s="31"/>
      <c r="I16" s="31"/>
      <c r="J16" s="66"/>
      <c r="K16" s="66"/>
    </row>
    <row r="17" spans="7:11" x14ac:dyDescent="0.25">
      <c r="G17" s="31"/>
      <c r="I17" s="31"/>
      <c r="J17" s="31"/>
      <c r="K17" s="31"/>
    </row>
    <row r="18" spans="7:11" x14ac:dyDescent="0.25">
      <c r="G18" s="31"/>
      <c r="I18" s="31"/>
      <c r="J18" s="31"/>
      <c r="K18" s="31"/>
    </row>
    <row r="19" spans="7:11" x14ac:dyDescent="0.25">
      <c r="G19" s="31"/>
      <c r="I19" s="31"/>
      <c r="J19" s="31"/>
      <c r="K19" s="31"/>
    </row>
    <row r="20" spans="7:11" x14ac:dyDescent="0.25">
      <c r="G20" s="31"/>
      <c r="I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K25" sqref="K2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15.75</v>
      </c>
    </row>
    <row r="4" spans="1:12" x14ac:dyDescent="0.25">
      <c r="A4" t="s">
        <v>59</v>
      </c>
      <c r="B4" t="s">
        <v>15</v>
      </c>
      <c r="C4" s="31">
        <v>0</v>
      </c>
    </row>
    <row r="5" spans="1:12" x14ac:dyDescent="0.25">
      <c r="A5" t="s">
        <v>59</v>
      </c>
      <c r="B5" t="s">
        <v>16</v>
      </c>
      <c r="C5" s="31">
        <v>0</v>
      </c>
    </row>
    <row r="6" spans="1:12" x14ac:dyDescent="0.25">
      <c r="A6" t="s">
        <v>60</v>
      </c>
      <c r="B6" t="s">
        <v>15</v>
      </c>
      <c r="C6" s="31">
        <v>3.56</v>
      </c>
    </row>
    <row r="7" spans="1:12" x14ac:dyDescent="0.25">
      <c r="A7" t="s">
        <v>60</v>
      </c>
      <c r="B7" t="s">
        <v>16</v>
      </c>
      <c r="C7" s="31">
        <v>4.42</v>
      </c>
      <c r="H7" s="31"/>
    </row>
    <row r="8" spans="1:12" x14ac:dyDescent="0.25">
      <c r="A8" t="s">
        <v>61</v>
      </c>
      <c r="B8" t="s">
        <v>15</v>
      </c>
      <c r="C8" s="31">
        <v>0</v>
      </c>
      <c r="H8" s="31"/>
    </row>
    <row r="9" spans="1:12" x14ac:dyDescent="0.25">
      <c r="A9" t="s">
        <v>61</v>
      </c>
      <c r="B9" t="s">
        <v>16</v>
      </c>
      <c r="C9" s="31">
        <v>0</v>
      </c>
      <c r="H9" s="31"/>
      <c r="L9" s="31"/>
    </row>
    <row r="10" spans="1:12" x14ac:dyDescent="0.25">
      <c r="H10" s="31"/>
      <c r="L10" s="31"/>
    </row>
    <row r="11" spans="1:12" x14ac:dyDescent="0.25">
      <c r="H11" s="31"/>
      <c r="I11" s="56"/>
      <c r="J11" s="66"/>
      <c r="L11" s="31"/>
    </row>
    <row r="12" spans="1:12" x14ac:dyDescent="0.25">
      <c r="B12" s="31"/>
      <c r="G12" s="56"/>
      <c r="H12" s="66"/>
      <c r="I12" s="66"/>
      <c r="J12" s="31"/>
      <c r="L12" s="31"/>
    </row>
    <row r="13" spans="1:12" x14ac:dyDescent="0.25">
      <c r="B13" s="31"/>
      <c r="H13" s="31"/>
      <c r="I13" s="31"/>
      <c r="J13" s="56"/>
      <c r="K13" s="66"/>
      <c r="L13" s="31"/>
    </row>
    <row r="14" spans="1:12" x14ac:dyDescent="0.25">
      <c r="B14" s="31"/>
      <c r="H14" s="31"/>
      <c r="I14" s="31"/>
      <c r="K14" s="31"/>
      <c r="L14" s="31"/>
    </row>
    <row r="15" spans="1:12" x14ac:dyDescent="0.25">
      <c r="B15" s="31"/>
      <c r="H15" s="56"/>
      <c r="I15" s="66"/>
      <c r="K15" s="31"/>
      <c r="L15" s="31"/>
    </row>
    <row r="16" spans="1:12" x14ac:dyDescent="0.25">
      <c r="B16" s="31"/>
      <c r="I16" s="31"/>
      <c r="K16" s="31"/>
      <c r="L16" s="31"/>
    </row>
    <row r="17" spans="2:12" x14ac:dyDescent="0.25">
      <c r="B17" s="31"/>
      <c r="I17" s="31"/>
      <c r="K17" s="31"/>
      <c r="L17" s="31"/>
    </row>
    <row r="18" spans="2:12" x14ac:dyDescent="0.25">
      <c r="B18" s="31"/>
      <c r="I18" s="31"/>
      <c r="K18" s="31"/>
      <c r="L18" s="31"/>
    </row>
    <row r="19" spans="2:12" x14ac:dyDescent="0.25">
      <c r="B19" s="31"/>
      <c r="I19" s="31"/>
      <c r="K19" s="31"/>
      <c r="L19" s="31"/>
    </row>
    <row r="20" spans="2:12" x14ac:dyDescent="0.25">
      <c r="B20" s="31"/>
      <c r="I20" s="31"/>
      <c r="K20" s="31"/>
    </row>
    <row r="21" spans="2:12" x14ac:dyDescent="0.25">
      <c r="B21" s="31"/>
      <c r="I21" s="31"/>
      <c r="K21" s="31"/>
    </row>
    <row r="22" spans="2:12" x14ac:dyDescent="0.25">
      <c r="I22" s="31"/>
      <c r="K22" s="31"/>
    </row>
    <row r="23" spans="2:12" x14ac:dyDescent="0.25">
      <c r="I23" s="31"/>
      <c r="K23" s="31"/>
    </row>
    <row r="24" spans="2:12" x14ac:dyDescent="0.25">
      <c r="I24" s="31"/>
      <c r="K24" s="31"/>
    </row>
    <row r="25" spans="2:12" x14ac:dyDescent="0.25">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zoomScale="80" zoomScaleNormal="80" workbookViewId="0">
      <selection activeCell="P87" sqref="P8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254</v>
      </c>
      <c r="B1" s="4"/>
      <c r="C1" s="99" t="s">
        <v>11</v>
      </c>
      <c r="D1" s="100"/>
      <c r="E1" s="99" t="s">
        <v>12</v>
      </c>
      <c r="F1" s="100"/>
      <c r="G1" s="107"/>
      <c r="H1" s="108"/>
      <c r="I1" s="109"/>
    </row>
    <row r="2" spans="1:14" ht="27" customHeight="1" x14ac:dyDescent="0.25">
      <c r="B2" s="5"/>
      <c r="C2" s="101"/>
      <c r="D2" s="102"/>
      <c r="E2" s="101" t="s">
        <v>13</v>
      </c>
      <c r="F2" s="102"/>
      <c r="G2" s="110" t="s">
        <v>14</v>
      </c>
      <c r="H2" s="111"/>
      <c r="I2" s="112"/>
    </row>
    <row r="3" spans="1:14" ht="15.75" thickBot="1" x14ac:dyDescent="0.3">
      <c r="B3" s="5"/>
      <c r="C3" s="103"/>
      <c r="D3" s="104"/>
      <c r="E3" s="105"/>
      <c r="F3" s="106"/>
      <c r="G3" s="105"/>
      <c r="H3" s="113"/>
      <c r="I3" s="106"/>
    </row>
    <row r="4" spans="1:14" ht="15.75" customHeight="1" x14ac:dyDescent="0.25">
      <c r="B4" s="5" t="s">
        <v>10</v>
      </c>
      <c r="C4" s="95" t="s">
        <v>15</v>
      </c>
      <c r="D4" s="95" t="s">
        <v>16</v>
      </c>
      <c r="E4" s="7" t="s">
        <v>17</v>
      </c>
      <c r="F4" s="7" t="s">
        <v>17</v>
      </c>
      <c r="G4" s="97" t="s">
        <v>18</v>
      </c>
      <c r="H4" s="97" t="s">
        <v>19</v>
      </c>
      <c r="I4" s="9" t="s">
        <v>20</v>
      </c>
    </row>
    <row r="5" spans="1:14" ht="15.75" thickBot="1" x14ac:dyDescent="0.3">
      <c r="B5" s="6"/>
      <c r="C5" s="96"/>
      <c r="D5" s="96"/>
      <c r="E5" s="8" t="s">
        <v>5</v>
      </c>
      <c r="F5" s="8" t="s">
        <v>6</v>
      </c>
      <c r="G5" s="98"/>
      <c r="H5" s="98"/>
      <c r="I5" s="10" t="s">
        <v>21</v>
      </c>
    </row>
    <row r="6" spans="1:14" ht="26.25" thickBot="1" x14ac:dyDescent="0.3">
      <c r="B6" s="11" t="s">
        <v>54</v>
      </c>
      <c r="C6" s="26">
        <f>G38</f>
        <v>7.333333333333333</v>
      </c>
      <c r="D6" s="26">
        <f>H38</f>
        <v>7.7777777777777777</v>
      </c>
      <c r="E6" s="42">
        <f>L69/1000</f>
        <v>0</v>
      </c>
      <c r="F6" s="42">
        <f>M69/1000</f>
        <v>1.575E-2</v>
      </c>
      <c r="G6" s="32">
        <f>C6*E6</f>
        <v>0</v>
      </c>
      <c r="H6" s="32">
        <f>D6*F6</f>
        <v>0.1225</v>
      </c>
      <c r="I6" s="32">
        <f>G6+H6</f>
        <v>0.1225</v>
      </c>
    </row>
    <row r="7" spans="1:14" ht="26.25" thickBot="1" x14ac:dyDescent="0.3">
      <c r="B7" s="11" t="s">
        <v>55</v>
      </c>
      <c r="C7" s="26">
        <f t="shared" ref="C7:C10" si="0">G39</f>
        <v>6.8181818181818183</v>
      </c>
      <c r="D7" s="26">
        <f t="shared" ref="D7:D10" si="1">H39</f>
        <v>7</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6</v>
      </c>
      <c r="D8" s="26">
        <f t="shared" si="1"/>
        <v>14.533333333333333</v>
      </c>
      <c r="E8" s="42">
        <f t="shared" si="2"/>
        <v>3.5600000000000002E-3</v>
      </c>
      <c r="F8" s="42">
        <f t="shared" si="3"/>
        <v>4.4200000000000003E-3</v>
      </c>
      <c r="G8" s="32">
        <f t="shared" si="4"/>
        <v>2.1360000000000001E-2</v>
      </c>
      <c r="H8" s="32">
        <f t="shared" si="5"/>
        <v>6.4237333333333341E-2</v>
      </c>
      <c r="I8" s="32">
        <f t="shared" si="6"/>
        <v>8.5597333333333345E-2</v>
      </c>
    </row>
    <row r="9" spans="1:14" ht="26.25" thickBot="1" x14ac:dyDescent="0.3">
      <c r="B9" s="11" t="s">
        <v>56</v>
      </c>
      <c r="C9" s="26">
        <f t="shared" si="0"/>
        <v>0.77777777777777779</v>
      </c>
      <c r="D9" s="26">
        <f t="shared" si="1"/>
        <v>5.8888888888888893</v>
      </c>
      <c r="E9" s="42">
        <f t="shared" si="2"/>
        <v>0</v>
      </c>
      <c r="F9" s="42">
        <f t="shared" si="3"/>
        <v>0</v>
      </c>
      <c r="G9" s="32">
        <f t="shared" si="4"/>
        <v>0</v>
      </c>
      <c r="H9" s="32">
        <f t="shared" si="5"/>
        <v>0</v>
      </c>
      <c r="I9" s="32">
        <f t="shared" si="6"/>
        <v>0</v>
      </c>
    </row>
    <row r="10" spans="1:14" ht="26.25" thickBot="1" x14ac:dyDescent="0.3">
      <c r="B10" s="11" t="s">
        <v>22</v>
      </c>
      <c r="C10" s="26">
        <f t="shared" si="0"/>
        <v>5.4090909090909092</v>
      </c>
      <c r="D10" s="26">
        <f t="shared" si="1"/>
        <v>9.5</v>
      </c>
      <c r="E10" s="42">
        <f t="shared" si="2"/>
        <v>1.9199999999999998E-3</v>
      </c>
      <c r="F10" s="42">
        <f t="shared" si="3"/>
        <v>4.8499999999999993E-3</v>
      </c>
      <c r="G10" s="32">
        <f>C10*E10</f>
        <v>1.0385454545454545E-2</v>
      </c>
      <c r="H10" s="32">
        <f>D10*F10</f>
        <v>4.6074999999999991E-2</v>
      </c>
      <c r="I10" s="32">
        <f t="shared" si="6"/>
        <v>5.6460454545454536E-2</v>
      </c>
      <c r="N10" s="31"/>
    </row>
    <row r="11" spans="1:14" ht="15.75" thickBot="1" x14ac:dyDescent="0.3">
      <c r="B11" s="11"/>
      <c r="C11" s="12"/>
      <c r="D11" s="12"/>
      <c r="E11" s="42"/>
      <c r="F11" s="42"/>
      <c r="G11" s="32"/>
      <c r="H11" s="32"/>
      <c r="I11" s="32"/>
    </row>
    <row r="12" spans="1:14" ht="15.75" thickBot="1" x14ac:dyDescent="0.3">
      <c r="B12" s="11" t="s">
        <v>9</v>
      </c>
      <c r="C12" s="29">
        <f>G44</f>
        <v>3.5405405405405403</v>
      </c>
      <c r="D12" s="29">
        <f>H44</f>
        <v>16.648648648648649</v>
      </c>
      <c r="E12" s="42">
        <f>L75/1000</f>
        <v>0</v>
      </c>
      <c r="F12" s="42">
        <f>M75/1000</f>
        <v>0</v>
      </c>
      <c r="G12" s="32">
        <f>C12*E12</f>
        <v>0</v>
      </c>
      <c r="H12" s="32">
        <f>D12*F12</f>
        <v>0</v>
      </c>
      <c r="I12" s="32">
        <f>G12+H12</f>
        <v>0</v>
      </c>
    </row>
    <row r="13" spans="1:14" ht="15.75" thickBot="1" x14ac:dyDescent="0.3">
      <c r="B13" s="11" t="s">
        <v>259</v>
      </c>
      <c r="C13" s="29">
        <f>G45</f>
        <v>7</v>
      </c>
      <c r="D13" s="29">
        <f>H45</f>
        <v>23.75</v>
      </c>
      <c r="E13" s="42">
        <f>L76/1000</f>
        <v>0</v>
      </c>
      <c r="F13" s="42">
        <f>M76/1000</f>
        <v>4.6240000000000003E-2</v>
      </c>
      <c r="G13" s="32">
        <f>C13*E13</f>
        <v>0</v>
      </c>
      <c r="H13" s="32">
        <f>D13*F13</f>
        <v>1.0982000000000001</v>
      </c>
      <c r="I13" s="32">
        <f>G13+H13</f>
        <v>1.0982000000000001</v>
      </c>
    </row>
    <row r="14" spans="1:14" ht="15.75" thickBot="1" x14ac:dyDescent="0.3"/>
    <row r="15" spans="1:14" ht="15" customHeight="1" x14ac:dyDescent="0.25">
      <c r="A15" t="s">
        <v>255</v>
      </c>
      <c r="B15" s="16"/>
      <c r="C15" s="114" t="s">
        <v>54</v>
      </c>
      <c r="D15" s="115"/>
      <c r="E15" s="114" t="s">
        <v>55</v>
      </c>
      <c r="F15" s="115"/>
      <c r="G15" s="114" t="s">
        <v>57</v>
      </c>
      <c r="H15" s="115"/>
      <c r="I15" s="114" t="s">
        <v>56</v>
      </c>
      <c r="J15" s="115"/>
      <c r="K15" s="114" t="s">
        <v>22</v>
      </c>
      <c r="L15" s="115"/>
      <c r="M15" s="19"/>
      <c r="N15" s="58"/>
    </row>
    <row r="16" spans="1:14" ht="15.75" thickBot="1" x14ac:dyDescent="0.3">
      <c r="B16" s="17"/>
      <c r="C16" s="116"/>
      <c r="D16" s="117"/>
      <c r="E16" s="116"/>
      <c r="F16" s="117"/>
      <c r="G16" s="116"/>
      <c r="H16" s="117"/>
      <c r="I16" s="116"/>
      <c r="J16" s="117"/>
      <c r="K16" s="116"/>
      <c r="L16" s="117"/>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259</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8">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8">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9">
        <v>0.108</v>
      </c>
      <c r="D25" s="46">
        <v>0.20111726592579454</v>
      </c>
      <c r="E25" s="49">
        <v>0.121665</v>
      </c>
      <c r="F25" s="46">
        <v>0.20687539723018417</v>
      </c>
      <c r="G25" s="49">
        <v>0.29234933333333335</v>
      </c>
      <c r="H25" s="46">
        <v>0.22361204650177652</v>
      </c>
      <c r="I25" s="49">
        <v>1.1757777777777778E-2</v>
      </c>
      <c r="J25" s="46">
        <v>8.7961372960925197E-2</v>
      </c>
      <c r="K25" s="49">
        <v>0.16151279069767441</v>
      </c>
      <c r="L25" s="46">
        <v>0.20540601099307301</v>
      </c>
      <c r="M25" s="49">
        <v>0</v>
      </c>
      <c r="N25" s="49">
        <v>0</v>
      </c>
    </row>
    <row r="26" spans="2:14" ht="15.75" thickBot="1" x14ac:dyDescent="0.3">
      <c r="B26" s="45">
        <v>32</v>
      </c>
      <c r="C26" s="49">
        <v>0</v>
      </c>
      <c r="D26" s="46">
        <v>0.16419582370107011</v>
      </c>
      <c r="E26" s="49">
        <v>7.3914000000000007E-2</v>
      </c>
      <c r="F26" s="46">
        <v>0.3392002907861878</v>
      </c>
      <c r="G26" s="49">
        <v>9.8729999999999984E-2</v>
      </c>
      <c r="H26" s="46">
        <v>0.38501867996340516</v>
      </c>
      <c r="I26" s="49">
        <v>0.11159555555555556</v>
      </c>
      <c r="J26" s="46">
        <v>0.10833288252121927</v>
      </c>
      <c r="K26" s="49">
        <v>7.7464545454545453E-2</v>
      </c>
      <c r="L26" s="46">
        <v>0.27324610630010632</v>
      </c>
      <c r="M26" s="49">
        <v>0</v>
      </c>
      <c r="N26" s="49">
        <v>0</v>
      </c>
    </row>
    <row r="27" spans="2:14" ht="15.75" thickBot="1" x14ac:dyDescent="0.3">
      <c r="B27" s="45">
        <v>33</v>
      </c>
      <c r="C27" s="49">
        <v>0</v>
      </c>
      <c r="D27" s="46">
        <v>0.18870169887062208</v>
      </c>
      <c r="E27" s="49">
        <v>0.16673272727272725</v>
      </c>
      <c r="F27" s="46">
        <v>0.41065233450506566</v>
      </c>
      <c r="G27" s="49">
        <v>0.13550399999999999</v>
      </c>
      <c r="H27" s="46">
        <v>0.27401277989355188</v>
      </c>
      <c r="I27" s="49">
        <v>0</v>
      </c>
      <c r="J27" s="46">
        <v>7.3000955770680748E-2</v>
      </c>
      <c r="K27" s="49">
        <v>9.4228636363636376E-2</v>
      </c>
      <c r="L27" s="46">
        <v>0.24745312771149272</v>
      </c>
      <c r="M27" s="49">
        <v>0.1358172972972973</v>
      </c>
      <c r="N27" s="49">
        <v>0</v>
      </c>
    </row>
    <row r="28" spans="2:14" ht="15.75" thickBot="1" x14ac:dyDescent="0.3">
      <c r="B28" s="45">
        <v>34</v>
      </c>
      <c r="C28" s="49">
        <v>0.1225</v>
      </c>
      <c r="D28" s="46">
        <v>0.13692864276036304</v>
      </c>
      <c r="E28" s="49">
        <v>0</v>
      </c>
      <c r="F28" s="46">
        <v>0.15169533961757323</v>
      </c>
      <c r="G28" s="49">
        <v>8.5597333333333345E-2</v>
      </c>
      <c r="H28" s="46">
        <v>0.31404464669536269</v>
      </c>
      <c r="I28" s="49">
        <v>0</v>
      </c>
      <c r="J28" s="46">
        <v>4.6096243556262927E-2</v>
      </c>
      <c r="K28" s="49">
        <v>5.6460454545454536E-2</v>
      </c>
      <c r="L28" s="46">
        <v>0.17986247001610783</v>
      </c>
      <c r="M28" s="49">
        <v>0</v>
      </c>
      <c r="N28" s="49">
        <v>1.0982000000000001</v>
      </c>
    </row>
    <row r="29" spans="2:14" ht="15.75" thickBot="1" x14ac:dyDescent="0.3">
      <c r="B29" s="45">
        <v>35</v>
      </c>
      <c r="C29" s="47"/>
      <c r="D29" s="46">
        <v>4.7080788104326782E-2</v>
      </c>
      <c r="E29" s="47"/>
      <c r="F29" s="46">
        <v>0.14215558173023635</v>
      </c>
      <c r="G29" s="47"/>
      <c r="H29" s="46">
        <v>0.20826161691130313</v>
      </c>
      <c r="I29" s="47"/>
      <c r="J29" s="46">
        <v>0.13320948692011367</v>
      </c>
      <c r="K29" s="47"/>
      <c r="L29" s="46">
        <v>0.1445229721667462</v>
      </c>
      <c r="M29" s="47"/>
      <c r="N29" s="47"/>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99" t="s">
        <v>25</v>
      </c>
      <c r="D33" s="118"/>
      <c r="E33" s="100"/>
      <c r="F33" s="15"/>
      <c r="G33" s="99" t="s">
        <v>28</v>
      </c>
      <c r="H33" s="118"/>
      <c r="I33" s="100"/>
    </row>
    <row r="34" spans="1:14" ht="38.25" x14ac:dyDescent="0.25">
      <c r="B34" s="5"/>
      <c r="C34" s="101" t="s">
        <v>26</v>
      </c>
      <c r="D34" s="119"/>
      <c r="E34" s="102"/>
      <c r="F34" s="14" t="s">
        <v>27</v>
      </c>
      <c r="G34" s="101"/>
      <c r="H34" s="120"/>
      <c r="I34" s="102"/>
    </row>
    <row r="35" spans="1:14" ht="15.75" thickBot="1" x14ac:dyDescent="0.3">
      <c r="B35" s="5"/>
      <c r="C35" s="105"/>
      <c r="D35" s="113"/>
      <c r="E35" s="106"/>
      <c r="F35" s="22"/>
      <c r="G35" s="103"/>
      <c r="H35" s="121"/>
      <c r="I35" s="104"/>
    </row>
    <row r="36" spans="1:14" x14ac:dyDescent="0.25">
      <c r="B36" s="5" t="s">
        <v>10</v>
      </c>
      <c r="C36" s="95" t="s">
        <v>15</v>
      </c>
      <c r="D36" s="95" t="s">
        <v>16</v>
      </c>
      <c r="E36" s="122" t="s">
        <v>29</v>
      </c>
      <c r="F36" s="22"/>
      <c r="G36" s="124" t="s">
        <v>30</v>
      </c>
      <c r="H36" s="124" t="s">
        <v>31</v>
      </c>
      <c r="I36" s="27" t="s">
        <v>20</v>
      </c>
    </row>
    <row r="37" spans="1:14" ht="15.75" thickBot="1" x14ac:dyDescent="0.3">
      <c r="B37" s="6"/>
      <c r="C37" s="96"/>
      <c r="D37" s="96"/>
      <c r="E37" s="123"/>
      <c r="F37" s="13"/>
      <c r="G37" s="125"/>
      <c r="H37" s="125"/>
      <c r="I37" s="28" t="s">
        <v>32</v>
      </c>
    </row>
    <row r="38" spans="1:14" ht="26.25" thickBot="1" x14ac:dyDescent="0.3">
      <c r="B38" s="11" t="s">
        <v>54</v>
      </c>
      <c r="C38" s="54">
        <f>'Total Number Of Ind'!H7</f>
        <v>66</v>
      </c>
      <c r="D38" s="54">
        <f>'Total Number Of Ind'!I7</f>
        <v>70</v>
      </c>
      <c r="E38" s="54">
        <f>C38+D38</f>
        <v>136</v>
      </c>
      <c r="F38" s="54">
        <v>9</v>
      </c>
      <c r="G38" s="26">
        <f>C38/F38</f>
        <v>7.333333333333333</v>
      </c>
      <c r="H38" s="26">
        <f>D38/F38</f>
        <v>7.7777777777777777</v>
      </c>
      <c r="I38" s="26">
        <f>E38/F38</f>
        <v>15.111111111111111</v>
      </c>
    </row>
    <row r="39" spans="1:14" ht="26.25" thickBot="1" x14ac:dyDescent="0.3">
      <c r="B39" s="11" t="s">
        <v>55</v>
      </c>
      <c r="C39" s="54">
        <f>'Total Number Of Ind'!H6</f>
        <v>75</v>
      </c>
      <c r="D39" s="54">
        <f>'Total Number Of Ind'!I6</f>
        <v>77</v>
      </c>
      <c r="E39" s="54">
        <f t="shared" ref="E39:E41" si="7">C39+D39</f>
        <v>152</v>
      </c>
      <c r="F39" s="54">
        <v>11</v>
      </c>
      <c r="G39" s="26">
        <f t="shared" ref="G39:G44" si="8">C39/F39</f>
        <v>6.8181818181818183</v>
      </c>
      <c r="H39" s="26">
        <f t="shared" ref="H39:H42" si="9">D39/F39</f>
        <v>7</v>
      </c>
      <c r="I39" s="26">
        <f t="shared" ref="I39:I44" si="10">E39/F39</f>
        <v>13.818181818181818</v>
      </c>
    </row>
    <row r="40" spans="1:14" ht="26.25" thickBot="1" x14ac:dyDescent="0.3">
      <c r="B40" s="11" t="s">
        <v>57</v>
      </c>
      <c r="C40" s="54">
        <f>'Total Number Of Ind'!H8</f>
        <v>90</v>
      </c>
      <c r="D40" s="54">
        <f>'Total Number Of Ind'!I8</f>
        <v>218</v>
      </c>
      <c r="E40" s="54">
        <f t="shared" si="7"/>
        <v>308</v>
      </c>
      <c r="F40" s="54">
        <v>15</v>
      </c>
      <c r="G40" s="26">
        <f t="shared" si="8"/>
        <v>6</v>
      </c>
      <c r="H40" s="26">
        <f>D40/F40</f>
        <v>14.533333333333333</v>
      </c>
      <c r="I40" s="26">
        <f>E40/F40</f>
        <v>20.533333333333335</v>
      </c>
    </row>
    <row r="41" spans="1:14" ht="26.25" thickBot="1" x14ac:dyDescent="0.3">
      <c r="B41" s="11" t="s">
        <v>56</v>
      </c>
      <c r="C41" s="54">
        <f>'Total Number Of Ind'!H9</f>
        <v>7</v>
      </c>
      <c r="D41" s="54">
        <f>'Total Number Of Ind'!I9</f>
        <v>53</v>
      </c>
      <c r="E41" s="54">
        <f t="shared" si="7"/>
        <v>60</v>
      </c>
      <c r="F41" s="54">
        <v>9</v>
      </c>
      <c r="G41" s="26">
        <f t="shared" si="8"/>
        <v>0.77777777777777779</v>
      </c>
      <c r="H41" s="26">
        <f t="shared" si="9"/>
        <v>5.8888888888888893</v>
      </c>
      <c r="I41" s="26">
        <f t="shared" si="10"/>
        <v>6.666666666666667</v>
      </c>
    </row>
    <row r="42" spans="1:14" ht="26.25" thickBot="1" x14ac:dyDescent="0.3">
      <c r="B42" s="11" t="s">
        <v>22</v>
      </c>
      <c r="C42" s="54">
        <f>SUM(C38:C41)</f>
        <v>238</v>
      </c>
      <c r="D42" s="54">
        <f>SUM(D38:D41)</f>
        <v>418</v>
      </c>
      <c r="E42" s="54">
        <f>SUM(E38:E41)</f>
        <v>656</v>
      </c>
      <c r="F42" s="54">
        <f>SUM(F38:F41)</f>
        <v>44</v>
      </c>
      <c r="G42" s="26">
        <f t="shared" si="8"/>
        <v>5.4090909090909092</v>
      </c>
      <c r="H42" s="26">
        <f t="shared" si="9"/>
        <v>9.5</v>
      </c>
      <c r="I42" s="26">
        <f>E42/F42</f>
        <v>14.909090909090908</v>
      </c>
    </row>
    <row r="43" spans="1:14" ht="15.75" thickBot="1" x14ac:dyDescent="0.3">
      <c r="B43" s="11"/>
      <c r="C43" s="54"/>
      <c r="D43" s="54"/>
      <c r="E43" s="54"/>
      <c r="F43" s="54"/>
      <c r="G43" s="26"/>
      <c r="H43" s="26"/>
      <c r="I43" s="26"/>
    </row>
    <row r="44" spans="1:14" ht="15.75" thickBot="1" x14ac:dyDescent="0.3">
      <c r="B44" s="11" t="s">
        <v>9</v>
      </c>
      <c r="C44" s="54">
        <f>'Total Number Of Ind'!H5</f>
        <v>131</v>
      </c>
      <c r="D44" s="54">
        <f>'Total Number Of Ind'!I5</f>
        <v>616</v>
      </c>
      <c r="E44" s="54">
        <f>C44+D44</f>
        <v>747</v>
      </c>
      <c r="F44" s="54">
        <v>37</v>
      </c>
      <c r="G44" s="26">
        <f t="shared" si="8"/>
        <v>3.5405405405405403</v>
      </c>
      <c r="H44" s="26">
        <f>D44/F44</f>
        <v>16.648648648648649</v>
      </c>
      <c r="I44" s="26">
        <f t="shared" si="10"/>
        <v>20.189189189189189</v>
      </c>
    </row>
    <row r="45" spans="1:14" ht="15.75" thickBot="1" x14ac:dyDescent="0.3">
      <c r="B45" s="11" t="s">
        <v>259</v>
      </c>
      <c r="C45" s="54">
        <f>'Total Number Of Ind'!H10</f>
        <v>28</v>
      </c>
      <c r="D45" s="54">
        <f>'Total Number Of Ind'!I10</f>
        <v>95</v>
      </c>
      <c r="E45" s="54">
        <f>C45+D45</f>
        <v>123</v>
      </c>
      <c r="F45" s="54">
        <v>4</v>
      </c>
      <c r="G45" s="26">
        <f t="shared" ref="G45" si="11">C45/F45</f>
        <v>7</v>
      </c>
      <c r="H45" s="26">
        <f>D45/F45</f>
        <v>23.75</v>
      </c>
      <c r="I45" s="26">
        <f t="shared" ref="I45" si="12">E45/F45</f>
        <v>30.75</v>
      </c>
    </row>
    <row r="46" spans="1:14" ht="15.75" thickBot="1" x14ac:dyDescent="0.3"/>
    <row r="47" spans="1:14" x14ac:dyDescent="0.25">
      <c r="A47" t="s">
        <v>50</v>
      </c>
      <c r="B47" s="16"/>
      <c r="C47" s="114" t="s">
        <v>54</v>
      </c>
      <c r="D47" s="115"/>
      <c r="E47" s="114" t="s">
        <v>55</v>
      </c>
      <c r="F47" s="115"/>
      <c r="G47" s="114" t="s">
        <v>57</v>
      </c>
      <c r="H47" s="115"/>
      <c r="I47" s="114" t="s">
        <v>56</v>
      </c>
      <c r="J47" s="115"/>
      <c r="K47" s="114" t="s">
        <v>22</v>
      </c>
      <c r="L47" s="115"/>
      <c r="M47" s="19"/>
      <c r="N47" s="58"/>
    </row>
    <row r="48" spans="1:14" ht="15.75" thickBot="1" x14ac:dyDescent="0.3">
      <c r="B48" s="17"/>
      <c r="C48" s="116"/>
      <c r="D48" s="117"/>
      <c r="E48" s="116"/>
      <c r="F48" s="117"/>
      <c r="G48" s="116"/>
      <c r="H48" s="117"/>
      <c r="I48" s="116"/>
      <c r="J48" s="117"/>
      <c r="K48" s="116"/>
      <c r="L48" s="117"/>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259</v>
      </c>
    </row>
    <row r="50" spans="1: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1: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1: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1: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1: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1: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1: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1:14" ht="15.75" thickBot="1" x14ac:dyDescent="0.3">
      <c r="B57" s="18">
        <v>31</v>
      </c>
      <c r="C57" s="30">
        <v>23.555555555555557</v>
      </c>
      <c r="D57" s="50">
        <v>66.090606060606078</v>
      </c>
      <c r="E57" s="30">
        <v>28.2</v>
      </c>
      <c r="F57" s="50">
        <v>98.826446280991732</v>
      </c>
      <c r="G57" s="30">
        <v>62.4</v>
      </c>
      <c r="H57" s="50">
        <v>59.888295038295034</v>
      </c>
      <c r="I57" s="30">
        <v>17</v>
      </c>
      <c r="J57" s="50">
        <v>17.796079365079368</v>
      </c>
      <c r="K57" s="30">
        <v>36.813953488372093</v>
      </c>
      <c r="L57" s="50">
        <v>65.300227970723697</v>
      </c>
      <c r="M57" s="30">
        <v>51.162162162162161</v>
      </c>
      <c r="N57" s="30">
        <v>41.25</v>
      </c>
    </row>
    <row r="58" spans="1:14" ht="15.75" thickBot="1" x14ac:dyDescent="0.3">
      <c r="B58" s="18">
        <v>32</v>
      </c>
      <c r="C58" s="30">
        <v>18.666666666666668</v>
      </c>
      <c r="D58" s="50">
        <v>43.194444444444436</v>
      </c>
      <c r="E58" s="30">
        <v>24.9</v>
      </c>
      <c r="F58" s="50">
        <v>70.397979797979801</v>
      </c>
      <c r="G58" s="30">
        <v>27.25</v>
      </c>
      <c r="H58" s="50">
        <v>52.874688644688646</v>
      </c>
      <c r="I58" s="30">
        <v>4.1111111111111107</v>
      </c>
      <c r="J58" s="50">
        <v>15.110151515151516</v>
      </c>
      <c r="K58" s="30">
        <v>20.227272727272727</v>
      </c>
      <c r="L58" s="50">
        <v>47.38993817669293</v>
      </c>
      <c r="M58" s="30">
        <v>17.75</v>
      </c>
      <c r="N58" s="30">
        <v>27.25</v>
      </c>
    </row>
    <row r="59" spans="1:14" ht="15.75" thickBot="1" x14ac:dyDescent="0.3">
      <c r="A59" s="31"/>
      <c r="B59" s="18">
        <v>33</v>
      </c>
      <c r="C59" s="30">
        <v>17.666666666666668</v>
      </c>
      <c r="D59" s="50">
        <v>29.544</v>
      </c>
      <c r="E59" s="30">
        <v>20.545454545454547</v>
      </c>
      <c r="F59" s="50">
        <v>58.413131313131316</v>
      </c>
      <c r="G59" s="30">
        <v>13.2</v>
      </c>
      <c r="H59" s="50">
        <v>36.888614718614718</v>
      </c>
      <c r="I59" s="30">
        <v>6.8888888888888893</v>
      </c>
      <c r="J59" s="50">
        <v>9.2335555555555562</v>
      </c>
      <c r="K59" s="30">
        <v>14.659090909090908</v>
      </c>
      <c r="L59" s="50">
        <v>36.261287111451601</v>
      </c>
      <c r="M59" s="30">
        <v>18.675675675675677</v>
      </c>
      <c r="N59" s="30">
        <v>17.75</v>
      </c>
    </row>
    <row r="60" spans="1:14" ht="15.75" thickBot="1" x14ac:dyDescent="0.3">
      <c r="B60" s="18">
        <v>34</v>
      </c>
      <c r="C60" s="30">
        <v>15.111111111111111</v>
      </c>
      <c r="D60" s="50">
        <v>19.157031746031741</v>
      </c>
      <c r="E60" s="30">
        <v>13.818181818181818</v>
      </c>
      <c r="F60" s="50">
        <v>41.746212121212125</v>
      </c>
      <c r="G60" s="30">
        <v>20.533333333333335</v>
      </c>
      <c r="H60" s="50">
        <v>24.611904761904761</v>
      </c>
      <c r="I60" s="30">
        <v>6.666666666666667</v>
      </c>
      <c r="J60" s="50">
        <v>6.8003333333333327</v>
      </c>
      <c r="K60" s="30">
        <v>14.909090909090908</v>
      </c>
      <c r="L60" s="50">
        <v>25.011849640077763</v>
      </c>
      <c r="M60" s="30">
        <v>20.189189189189189</v>
      </c>
      <c r="N60" s="30">
        <v>30.75</v>
      </c>
    </row>
    <row r="61" spans="1:14" ht="15.75" thickBot="1" x14ac:dyDescent="0.3">
      <c r="B61" s="18">
        <v>35</v>
      </c>
      <c r="C61" s="43"/>
      <c r="D61" s="50">
        <v>8.7274444444444441</v>
      </c>
      <c r="E61" s="43"/>
      <c r="F61" s="50">
        <v>18.967388167388165</v>
      </c>
      <c r="G61" s="43"/>
      <c r="H61" s="50">
        <v>12.713290043290044</v>
      </c>
      <c r="I61" s="43"/>
      <c r="J61" s="50">
        <v>3.7185396825396828</v>
      </c>
      <c r="K61" s="43"/>
      <c r="L61" s="50">
        <v>11.601285362462235</v>
      </c>
      <c r="M61" s="43"/>
      <c r="N61" s="60"/>
    </row>
    <row r="62" spans="1: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114" t="s">
        <v>34</v>
      </c>
      <c r="D65" s="126"/>
      <c r="E65" s="115"/>
      <c r="F65" s="114" t="s">
        <v>35</v>
      </c>
      <c r="G65" s="126"/>
      <c r="H65" s="115"/>
      <c r="I65" s="114" t="s">
        <v>33</v>
      </c>
      <c r="J65" s="126"/>
      <c r="K65" s="115"/>
      <c r="L65" s="114" t="s">
        <v>37</v>
      </c>
      <c r="M65" s="126"/>
      <c r="N65" s="115"/>
      <c r="Q65" s="56"/>
      <c r="R65" s="66"/>
    </row>
    <row r="66" spans="1:20" x14ac:dyDescent="0.25">
      <c r="B66" s="17"/>
      <c r="C66" s="127"/>
      <c r="D66" s="128"/>
      <c r="E66" s="129"/>
      <c r="F66" s="127"/>
      <c r="G66" s="128"/>
      <c r="H66" s="129"/>
      <c r="I66" s="127" t="s">
        <v>36</v>
      </c>
      <c r="J66" s="131"/>
      <c r="K66" s="129"/>
      <c r="L66" s="127"/>
      <c r="M66" s="128"/>
      <c r="N66" s="129"/>
      <c r="R66" s="31"/>
    </row>
    <row r="67" spans="1:20" ht="15.75" thickBot="1" x14ac:dyDescent="0.3">
      <c r="B67" s="17"/>
      <c r="C67" s="116"/>
      <c r="D67" s="130"/>
      <c r="E67" s="117"/>
      <c r="F67" s="116"/>
      <c r="G67" s="130"/>
      <c r="H67" s="117"/>
      <c r="I67" s="105"/>
      <c r="J67" s="113"/>
      <c r="K67" s="106"/>
      <c r="L67" s="116"/>
      <c r="M67" s="130"/>
      <c r="N67" s="117"/>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95</v>
      </c>
      <c r="D69" s="54">
        <f>'Total Number Ind Examined '!J8</f>
        <v>68</v>
      </c>
      <c r="E69" s="54">
        <f>C69+D69</f>
        <v>163</v>
      </c>
      <c r="F69" s="55">
        <f>'Total Number of Pools Examined'!H8</f>
        <v>7</v>
      </c>
      <c r="G69" s="55">
        <f>'Total Number of Pools Examined'!I8</f>
        <v>8</v>
      </c>
      <c r="H69" s="55">
        <f>F69+G69</f>
        <v>15</v>
      </c>
      <c r="I69" s="55">
        <f>'Total Number of WNV + Pools'!G7</f>
        <v>0</v>
      </c>
      <c r="J69" s="55">
        <f>'Total Number of WNV + Pools'!H7</f>
        <v>1</v>
      </c>
      <c r="K69" s="55">
        <f>'Total Number of WNV + Pools'!I7</f>
        <v>1</v>
      </c>
      <c r="L69" s="30">
        <f>ZONEINFRATE!C2</f>
        <v>0</v>
      </c>
      <c r="M69" s="30">
        <f>ZONEINFRATE!C3</f>
        <v>15.75</v>
      </c>
      <c r="N69" s="30">
        <v>6.09</v>
      </c>
      <c r="P69" t="s">
        <v>253</v>
      </c>
      <c r="R69" s="31"/>
      <c r="S69" s="66"/>
      <c r="T69" s="31"/>
    </row>
    <row r="70" spans="1:20" ht="24.75" thickBot="1" x14ac:dyDescent="0.3">
      <c r="B70" s="18" t="s">
        <v>55</v>
      </c>
      <c r="C70" s="54">
        <f>'Total Number Ind Examined '!I7</f>
        <v>125</v>
      </c>
      <c r="D70" s="54">
        <f>'Total Number Ind Examined '!J7</f>
        <v>77</v>
      </c>
      <c r="E70" s="54">
        <f t="shared" ref="E70:E73" si="13">C70+D70</f>
        <v>202</v>
      </c>
      <c r="F70" s="55">
        <f>'Total Number of Pools Examined'!H7</f>
        <v>9</v>
      </c>
      <c r="G70" s="55">
        <f>'Total Number of Pools Examined'!I7</f>
        <v>10</v>
      </c>
      <c r="H70" s="55">
        <f t="shared" ref="H70:H73" si="14">F70+G70</f>
        <v>19</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273</v>
      </c>
      <c r="D71" s="54">
        <f>'Total Number Ind Examined '!J9</f>
        <v>218</v>
      </c>
      <c r="E71" s="54">
        <f t="shared" si="13"/>
        <v>491</v>
      </c>
      <c r="F71" s="55">
        <f>'Total Number of Pools Examined'!H9</f>
        <v>15</v>
      </c>
      <c r="G71" s="55">
        <f>'Total Number of Pools Examined'!I9</f>
        <v>15</v>
      </c>
      <c r="H71" s="55">
        <f t="shared" si="14"/>
        <v>30</v>
      </c>
      <c r="I71" s="55">
        <f>'Total Number of WNV + Pools'!G9</f>
        <v>1</v>
      </c>
      <c r="J71" s="55">
        <f>'Total Number of WNV + Pools'!H9</f>
        <v>1</v>
      </c>
      <c r="K71" s="55">
        <f>'Total Number of WNV + Pools'!I9</f>
        <v>2</v>
      </c>
      <c r="L71" s="30">
        <f>ZONEINFRATE!C6</f>
        <v>3.56</v>
      </c>
      <c r="M71" s="30">
        <f>ZONEINFRATE!C7</f>
        <v>4.42</v>
      </c>
      <c r="N71" s="30">
        <v>4.0599999999999996</v>
      </c>
      <c r="R71" s="31"/>
      <c r="S71" s="31"/>
      <c r="T71" s="31"/>
    </row>
    <row r="72" spans="1:20" ht="24.75" thickBot="1" x14ac:dyDescent="0.3">
      <c r="B72" s="18" t="s">
        <v>56</v>
      </c>
      <c r="C72" s="54">
        <f>'Total Number Ind Examined '!I10</f>
        <v>23</v>
      </c>
      <c r="D72" s="54">
        <f>'Total Number Ind Examined '!J10</f>
        <v>55</v>
      </c>
      <c r="E72" s="54">
        <f t="shared" si="13"/>
        <v>78</v>
      </c>
      <c r="F72" s="55">
        <f>'Total Number of Pools Examined'!H10</f>
        <v>3</v>
      </c>
      <c r="G72" s="55">
        <f>'Total Number of Pools Examined'!I10</f>
        <v>8</v>
      </c>
      <c r="H72" s="55">
        <f t="shared" si="14"/>
        <v>11</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516</v>
      </c>
      <c r="D73" s="54">
        <f>SUM(D69:D72)</f>
        <v>418</v>
      </c>
      <c r="E73" s="54">
        <f t="shared" si="13"/>
        <v>934</v>
      </c>
      <c r="F73" s="55">
        <f t="shared" ref="F73:K73" si="15">SUM(F69:F72)</f>
        <v>34</v>
      </c>
      <c r="G73" s="55">
        <f t="shared" si="15"/>
        <v>41</v>
      </c>
      <c r="H73" s="55">
        <f t="shared" si="14"/>
        <v>75</v>
      </c>
      <c r="I73" s="55">
        <f t="shared" si="15"/>
        <v>1</v>
      </c>
      <c r="J73" s="55">
        <f t="shared" si="15"/>
        <v>2</v>
      </c>
      <c r="K73" s="55">
        <f t="shared" si="15"/>
        <v>3</v>
      </c>
      <c r="L73" s="30">
        <f>CITYINFRATE!C2</f>
        <v>1.92</v>
      </c>
      <c r="M73" s="30">
        <f>CITYINFRATE!C3</f>
        <v>4.8499999999999996</v>
      </c>
      <c r="N73" s="30">
        <v>3.25</v>
      </c>
      <c r="P73" s="31" t="s">
        <v>252</v>
      </c>
      <c r="Q73" s="56"/>
      <c r="R73" s="66"/>
      <c r="S73" s="31"/>
      <c r="T73" s="31"/>
    </row>
    <row r="74" spans="1:20" ht="15.75" thickBot="1" x14ac:dyDescent="0.3">
      <c r="B74" s="18"/>
      <c r="C74" s="55"/>
      <c r="D74" s="55"/>
      <c r="E74" s="55"/>
      <c r="F74" s="55"/>
      <c r="G74" s="55"/>
      <c r="H74" s="55"/>
      <c r="I74" s="55"/>
      <c r="J74" s="55"/>
      <c r="K74" s="55"/>
      <c r="L74" s="30"/>
      <c r="M74" s="30"/>
      <c r="N74" s="30"/>
      <c r="P74" s="31"/>
      <c r="R74" s="31"/>
      <c r="S74" s="31"/>
    </row>
    <row r="75" spans="1:20" ht="15.75" thickBot="1" x14ac:dyDescent="0.3">
      <c r="B75" s="18" t="s">
        <v>9</v>
      </c>
      <c r="C75" s="55">
        <f>'Total Number Ind Examined '!I6</f>
        <v>14</v>
      </c>
      <c r="D75" s="55">
        <f>'Total Number Ind Examined '!J6</f>
        <v>185</v>
      </c>
      <c r="E75" s="55">
        <f>C75+D75</f>
        <v>199</v>
      </c>
      <c r="F75" s="55">
        <f>'Total Number of Pools Examined'!H6</f>
        <v>3</v>
      </c>
      <c r="G75" s="55">
        <f>'Total Number of Pools Examined'!I6</f>
        <v>7</v>
      </c>
      <c r="H75" s="55">
        <f>F75+G75</f>
        <v>10</v>
      </c>
      <c r="I75" s="55">
        <f>'Total Number of WNV + Pools'!G11</f>
        <v>0</v>
      </c>
      <c r="J75" s="55">
        <f>'Total Number of WNV + Pools'!H11</f>
        <v>0</v>
      </c>
      <c r="K75" s="55">
        <f>I75+J75</f>
        <v>0</v>
      </c>
      <c r="L75" s="30">
        <f>CITYINFRATE!C4</f>
        <v>0</v>
      </c>
      <c r="M75" s="30">
        <f>CITYINFRATE!C5</f>
        <v>0</v>
      </c>
      <c r="N75" s="30">
        <v>0</v>
      </c>
      <c r="R75" s="31"/>
      <c r="S75" s="31"/>
      <c r="T75" s="31"/>
    </row>
    <row r="76" spans="1:20" ht="15.75" thickBot="1" x14ac:dyDescent="0.3">
      <c r="B76" s="18" t="s">
        <v>259</v>
      </c>
      <c r="C76" s="55">
        <f>'Total Number Ind Examined '!I11</f>
        <v>28</v>
      </c>
      <c r="D76" s="55">
        <f>'Total Number Ind Examined '!J11</f>
        <v>95</v>
      </c>
      <c r="E76" s="55">
        <f>C76+D76</f>
        <v>123</v>
      </c>
      <c r="F76" s="55">
        <f>'Total Number of Pools Examined'!H11</f>
        <v>3</v>
      </c>
      <c r="G76" s="55">
        <f>'Total Number of Pools Examined'!I11</f>
        <v>4</v>
      </c>
      <c r="H76" s="55">
        <f>F76+G76</f>
        <v>7</v>
      </c>
      <c r="I76" s="55">
        <f>'Total Number of WNV + Pools'!G12</f>
        <v>0</v>
      </c>
      <c r="J76" s="55">
        <f>'Total Number of WNV + Pools'!H12</f>
        <v>3</v>
      </c>
      <c r="K76" s="55">
        <f>I76+J76</f>
        <v>3</v>
      </c>
      <c r="L76" s="30">
        <f>CITYINFRATE!C6</f>
        <v>0</v>
      </c>
      <c r="M76" s="30">
        <f>CITYINFRATE!C7</f>
        <v>46.24</v>
      </c>
      <c r="N76" s="30">
        <v>33.840000000000003</v>
      </c>
      <c r="R76" s="31"/>
      <c r="T76" s="31"/>
    </row>
    <row r="77" spans="1:20" ht="15.75" thickBot="1" x14ac:dyDescent="0.3">
      <c r="R77" s="31"/>
      <c r="S77" s="66"/>
      <c r="T77" s="31"/>
    </row>
    <row r="78" spans="1:20" x14ac:dyDescent="0.25">
      <c r="A78" t="s">
        <v>52</v>
      </c>
      <c r="B78" s="16"/>
      <c r="C78" s="114" t="s">
        <v>54</v>
      </c>
      <c r="D78" s="115"/>
      <c r="E78" s="114" t="s">
        <v>55</v>
      </c>
      <c r="F78" s="115"/>
      <c r="G78" s="114" t="s">
        <v>57</v>
      </c>
      <c r="H78" s="115"/>
      <c r="I78" s="114" t="s">
        <v>56</v>
      </c>
      <c r="J78" s="115"/>
      <c r="K78" s="114" t="s">
        <v>22</v>
      </c>
      <c r="L78" s="115"/>
      <c r="M78" s="19"/>
      <c r="N78" s="58"/>
      <c r="S78" s="31"/>
    </row>
    <row r="79" spans="1:20" ht="15.75" thickBot="1" x14ac:dyDescent="0.3">
      <c r="B79" s="17"/>
      <c r="C79" s="116"/>
      <c r="D79" s="117"/>
      <c r="E79" s="116"/>
      <c r="F79" s="117"/>
      <c r="G79" s="116"/>
      <c r="H79" s="117"/>
      <c r="I79" s="116"/>
      <c r="J79" s="117"/>
      <c r="K79" s="116"/>
      <c r="L79" s="117"/>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259</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6"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6"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6"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6" ht="15.75" thickBot="1" x14ac:dyDescent="0.3">
      <c r="B88" s="18">
        <v>31</v>
      </c>
      <c r="C88" s="30">
        <v>2.5317843314141153</v>
      </c>
      <c r="D88" s="52">
        <v>4.0287896661990432</v>
      </c>
      <c r="E88" s="30">
        <v>4.526613431855977</v>
      </c>
      <c r="F88" s="52">
        <v>2.1836936507916049</v>
      </c>
      <c r="G88" s="30">
        <v>8.1733496876646523</v>
      </c>
      <c r="H88" s="52">
        <v>4.6416948205161583</v>
      </c>
      <c r="I88" s="30">
        <v>3.8299959724563943</v>
      </c>
      <c r="J88" s="52">
        <v>3.3338616711096623</v>
      </c>
      <c r="K88" s="30">
        <v>6.1641889056835746</v>
      </c>
      <c r="L88" s="52">
        <v>3.4216226302893888</v>
      </c>
      <c r="M88" s="30">
        <v>0</v>
      </c>
      <c r="N88" s="30">
        <v>0</v>
      </c>
    </row>
    <row r="89" spans="2:16" ht="15.75" thickBot="1" x14ac:dyDescent="0.3">
      <c r="B89" s="18">
        <v>32</v>
      </c>
      <c r="C89" s="30">
        <v>0</v>
      </c>
      <c r="D89" s="52">
        <v>4.2052013030789741</v>
      </c>
      <c r="E89" s="30">
        <v>3.46</v>
      </c>
      <c r="F89" s="52">
        <v>6.0876753776149366</v>
      </c>
      <c r="G89" s="30">
        <v>4.3600000000000003</v>
      </c>
      <c r="H89" s="52">
        <v>8.1450216800139241</v>
      </c>
      <c r="I89" s="30">
        <v>16.84</v>
      </c>
      <c r="J89" s="52">
        <v>10.168546857553956</v>
      </c>
      <c r="K89" s="30">
        <v>4.03</v>
      </c>
      <c r="L89" s="52">
        <v>6.2576537019252463</v>
      </c>
      <c r="M89" s="30">
        <v>0</v>
      </c>
      <c r="N89" s="30">
        <v>0</v>
      </c>
    </row>
    <row r="90" spans="2:16" ht="15.75" thickBot="1" x14ac:dyDescent="0.3">
      <c r="B90" s="18">
        <v>33</v>
      </c>
      <c r="C90" s="30">
        <v>0</v>
      </c>
      <c r="D90" s="52">
        <v>7.5557559654764654</v>
      </c>
      <c r="E90" s="30">
        <v>8.32</v>
      </c>
      <c r="F90" s="52">
        <v>7.1160569117854493</v>
      </c>
      <c r="G90" s="30">
        <v>12.84</v>
      </c>
      <c r="H90" s="52">
        <v>10.125551421735697</v>
      </c>
      <c r="I90" s="30">
        <v>0</v>
      </c>
      <c r="J90" s="52">
        <v>5.5014284829638518</v>
      </c>
      <c r="K90" s="30">
        <v>6.8</v>
      </c>
      <c r="L90" s="52">
        <v>8.2891179480654991</v>
      </c>
      <c r="M90" s="30">
        <v>7.67</v>
      </c>
      <c r="N90" s="30">
        <v>0</v>
      </c>
    </row>
    <row r="91" spans="2:16" ht="15.75" thickBot="1" x14ac:dyDescent="0.3">
      <c r="B91" s="18">
        <v>34</v>
      </c>
      <c r="C91" s="43">
        <v>6.09</v>
      </c>
      <c r="D91" s="52">
        <v>7.5146654315554207</v>
      </c>
      <c r="E91" s="43">
        <v>0</v>
      </c>
      <c r="F91" s="52">
        <v>4.2534614243031124</v>
      </c>
      <c r="G91" s="43">
        <v>4.0599999999999996</v>
      </c>
      <c r="H91" s="52">
        <v>11.553235928058379</v>
      </c>
      <c r="I91" s="43">
        <v>0</v>
      </c>
      <c r="J91" s="52">
        <v>10.434117019439311</v>
      </c>
      <c r="K91" s="43">
        <v>3.25</v>
      </c>
      <c r="L91" s="52">
        <v>7.9367037472016841</v>
      </c>
      <c r="M91" s="43">
        <v>0</v>
      </c>
      <c r="N91" s="60">
        <v>33.840000000000003</v>
      </c>
      <c r="P91" s="31"/>
    </row>
    <row r="92" spans="2:16" ht="15.75" thickBot="1" x14ac:dyDescent="0.3">
      <c r="B92" s="18">
        <v>35</v>
      </c>
      <c r="C92" s="43"/>
      <c r="D92" s="52">
        <v>9.6979924998127061</v>
      </c>
      <c r="E92" s="43"/>
      <c r="F92" s="52">
        <v>5.9920261646490811</v>
      </c>
      <c r="G92" s="43"/>
      <c r="H92" s="52">
        <v>15.630470474373897</v>
      </c>
      <c r="I92" s="43"/>
      <c r="J92" s="52">
        <v>45.885908436928389</v>
      </c>
      <c r="K92" s="43"/>
      <c r="L92" s="52">
        <v>11.121404412424742</v>
      </c>
      <c r="M92" s="43"/>
      <c r="N92" s="60"/>
    </row>
    <row r="93" spans="2:16" ht="15.75" thickBot="1" x14ac:dyDescent="0.3">
      <c r="B93" s="18">
        <v>36</v>
      </c>
      <c r="C93" s="44"/>
      <c r="D93" s="53">
        <v>10.96</v>
      </c>
      <c r="E93" s="44"/>
      <c r="F93" s="53">
        <v>2.4300000000000002</v>
      </c>
      <c r="G93" s="44"/>
      <c r="H93" s="53">
        <v>0</v>
      </c>
      <c r="I93" s="44"/>
      <c r="J93" s="53">
        <v>0</v>
      </c>
      <c r="K93" s="44"/>
      <c r="L93" s="53">
        <v>1.68</v>
      </c>
      <c r="M93" s="44"/>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B19" zoomScaleNormal="100" workbookViewId="0">
      <selection activeCell="H21" sqref="H21"/>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0"/>
      <c r="X1" s="90"/>
      <c r="Y1" s="90"/>
      <c r="Z1" s="90"/>
      <c r="AA1" s="90"/>
      <c r="AB1" s="90"/>
    </row>
    <row r="2" spans="1:28" s="57" customFormat="1" x14ac:dyDescent="0.2">
      <c r="A2" s="79">
        <v>2017</v>
      </c>
      <c r="B2" s="61" t="s">
        <v>341</v>
      </c>
      <c r="C2" s="61">
        <v>20860</v>
      </c>
      <c r="D2" s="62">
        <v>34</v>
      </c>
      <c r="E2" s="89">
        <v>42968</v>
      </c>
      <c r="F2" s="61" t="s">
        <v>103</v>
      </c>
      <c r="G2" s="61" t="s">
        <v>9</v>
      </c>
      <c r="H2" s="61" t="s">
        <v>120</v>
      </c>
      <c r="I2" s="57" t="s">
        <v>9</v>
      </c>
      <c r="J2" s="61" t="s">
        <v>105</v>
      </c>
      <c r="K2" s="61" t="s">
        <v>106</v>
      </c>
      <c r="L2" s="61" t="s">
        <v>6</v>
      </c>
      <c r="M2" s="61" t="s">
        <v>107</v>
      </c>
      <c r="N2" s="79"/>
      <c r="O2" s="79">
        <v>38</v>
      </c>
      <c r="P2" s="79">
        <v>38</v>
      </c>
      <c r="Q2" s="63">
        <v>0</v>
      </c>
      <c r="R2" s="57" t="s">
        <v>108</v>
      </c>
      <c r="T2" s="57" t="s">
        <v>242</v>
      </c>
      <c r="U2" s="57" t="s">
        <v>242</v>
      </c>
    </row>
    <row r="3" spans="1:28" s="57" customFormat="1" x14ac:dyDescent="0.2">
      <c r="A3" s="79">
        <v>2017</v>
      </c>
      <c r="B3" s="61" t="s">
        <v>342</v>
      </c>
      <c r="C3" s="61">
        <v>20861</v>
      </c>
      <c r="D3" s="62">
        <v>34</v>
      </c>
      <c r="E3" s="89">
        <v>42968</v>
      </c>
      <c r="F3" s="61" t="s">
        <v>103</v>
      </c>
      <c r="G3" s="61" t="s">
        <v>9</v>
      </c>
      <c r="H3" s="61" t="s">
        <v>120</v>
      </c>
      <c r="I3" s="57" t="s">
        <v>9</v>
      </c>
      <c r="J3" s="61" t="s">
        <v>105</v>
      </c>
      <c r="K3" s="61" t="s">
        <v>106</v>
      </c>
      <c r="L3" s="61" t="s">
        <v>5</v>
      </c>
      <c r="M3" s="61" t="s">
        <v>107</v>
      </c>
      <c r="N3" s="79"/>
      <c r="O3" s="79">
        <v>3</v>
      </c>
      <c r="P3" s="79">
        <v>3</v>
      </c>
      <c r="Q3" s="63">
        <v>0</v>
      </c>
      <c r="R3" s="57" t="s">
        <v>108</v>
      </c>
      <c r="T3" s="57" t="s">
        <v>243</v>
      </c>
      <c r="U3" s="57" t="s">
        <v>243</v>
      </c>
    </row>
    <row r="4" spans="1:28" s="57" customFormat="1" x14ac:dyDescent="0.2">
      <c r="A4" s="79">
        <v>2017</v>
      </c>
      <c r="B4" s="61" t="s">
        <v>343</v>
      </c>
      <c r="C4" s="61">
        <v>20862</v>
      </c>
      <c r="D4" s="62">
        <v>34</v>
      </c>
      <c r="E4" s="89">
        <v>42968</v>
      </c>
      <c r="F4" s="61" t="s">
        <v>103</v>
      </c>
      <c r="G4" s="61" t="s">
        <v>47</v>
      </c>
      <c r="H4" s="61" t="s">
        <v>161</v>
      </c>
      <c r="I4" s="57" t="s">
        <v>59</v>
      </c>
      <c r="J4" s="61" t="s">
        <v>105</v>
      </c>
      <c r="K4" s="61" t="s">
        <v>106</v>
      </c>
      <c r="L4" s="61" t="s">
        <v>6</v>
      </c>
      <c r="M4" s="61" t="s">
        <v>107</v>
      </c>
      <c r="N4" s="79"/>
      <c r="O4" s="79">
        <v>1</v>
      </c>
      <c r="P4" s="79">
        <v>1</v>
      </c>
      <c r="Q4" s="63">
        <v>0</v>
      </c>
      <c r="R4" s="57" t="s">
        <v>108</v>
      </c>
      <c r="T4" s="57" t="s">
        <v>240</v>
      </c>
      <c r="U4" s="57" t="s">
        <v>251</v>
      </c>
    </row>
    <row r="5" spans="1:28" s="57" customFormat="1" x14ac:dyDescent="0.2">
      <c r="A5" s="79">
        <v>2017</v>
      </c>
      <c r="B5" s="61" t="s">
        <v>344</v>
      </c>
      <c r="C5" s="61">
        <v>20863</v>
      </c>
      <c r="D5" s="62">
        <v>34</v>
      </c>
      <c r="E5" s="89">
        <v>42968</v>
      </c>
      <c r="F5" s="61" t="s">
        <v>103</v>
      </c>
      <c r="G5" s="61" t="s">
        <v>47</v>
      </c>
      <c r="H5" s="61" t="s">
        <v>212</v>
      </c>
      <c r="I5" s="57" t="s">
        <v>59</v>
      </c>
      <c r="J5" s="61" t="s">
        <v>105</v>
      </c>
      <c r="K5" s="61" t="s">
        <v>106</v>
      </c>
      <c r="L5" s="61" t="s">
        <v>6</v>
      </c>
      <c r="M5" s="61" t="s">
        <v>107</v>
      </c>
      <c r="N5" s="79"/>
      <c r="O5" s="79">
        <v>9</v>
      </c>
      <c r="P5" s="79">
        <v>9</v>
      </c>
      <c r="Q5" s="63">
        <v>0</v>
      </c>
      <c r="R5" s="57" t="s">
        <v>108</v>
      </c>
      <c r="T5" s="57" t="s">
        <v>240</v>
      </c>
      <c r="U5" s="57" t="s">
        <v>251</v>
      </c>
    </row>
    <row r="6" spans="1:28" s="57" customFormat="1" x14ac:dyDescent="0.2">
      <c r="A6" s="79">
        <v>2017</v>
      </c>
      <c r="B6" s="61" t="s">
        <v>345</v>
      </c>
      <c r="C6" s="61">
        <v>20864</v>
      </c>
      <c r="D6" s="62">
        <v>34</v>
      </c>
      <c r="E6" s="89">
        <v>42968</v>
      </c>
      <c r="F6" s="61" t="s">
        <v>103</v>
      </c>
      <c r="G6" s="61" t="s">
        <v>47</v>
      </c>
      <c r="H6" s="61" t="s">
        <v>159</v>
      </c>
      <c r="I6" s="57" t="s">
        <v>59</v>
      </c>
      <c r="J6" s="61" t="s">
        <v>105</v>
      </c>
      <c r="K6" s="61" t="s">
        <v>106</v>
      </c>
      <c r="L6" s="61" t="s">
        <v>6</v>
      </c>
      <c r="M6" s="61" t="s">
        <v>107</v>
      </c>
      <c r="N6" s="79"/>
      <c r="O6" s="79">
        <v>9</v>
      </c>
      <c r="P6" s="79">
        <v>9</v>
      </c>
      <c r="Q6" s="63">
        <v>0</v>
      </c>
      <c r="R6" s="57" t="s">
        <v>108</v>
      </c>
      <c r="T6" s="57" t="s">
        <v>240</v>
      </c>
      <c r="U6" s="57" t="s">
        <v>251</v>
      </c>
    </row>
    <row r="7" spans="1:28" s="57" customFormat="1" x14ac:dyDescent="0.2">
      <c r="A7" s="79">
        <v>2017</v>
      </c>
      <c r="B7" s="61" t="s">
        <v>346</v>
      </c>
      <c r="C7" s="61">
        <v>20865</v>
      </c>
      <c r="D7" s="62">
        <v>34</v>
      </c>
      <c r="E7" s="89">
        <v>42968</v>
      </c>
      <c r="F7" s="61" t="s">
        <v>103</v>
      </c>
      <c r="G7" s="61" t="s">
        <v>47</v>
      </c>
      <c r="H7" s="61" t="s">
        <v>159</v>
      </c>
      <c r="I7" s="57" t="s">
        <v>59</v>
      </c>
      <c r="J7" s="61" t="s">
        <v>105</v>
      </c>
      <c r="K7" s="61" t="s">
        <v>106</v>
      </c>
      <c r="L7" s="61" t="s">
        <v>5</v>
      </c>
      <c r="M7" s="61" t="s">
        <v>107</v>
      </c>
      <c r="N7" s="79"/>
      <c r="O7" s="79">
        <v>7</v>
      </c>
      <c r="P7" s="79">
        <v>7</v>
      </c>
      <c r="Q7" s="63">
        <v>0</v>
      </c>
      <c r="R7" s="57" t="s">
        <v>108</v>
      </c>
      <c r="T7" s="57" t="s">
        <v>241</v>
      </c>
      <c r="U7" s="57" t="s">
        <v>250</v>
      </c>
    </row>
    <row r="8" spans="1:28" s="57" customFormat="1" x14ac:dyDescent="0.2">
      <c r="A8" s="79">
        <v>2017</v>
      </c>
      <c r="B8" s="61" t="s">
        <v>347</v>
      </c>
      <c r="C8" s="61">
        <v>20866</v>
      </c>
      <c r="D8" s="62">
        <v>34</v>
      </c>
      <c r="E8" s="89">
        <v>42968</v>
      </c>
      <c r="F8" s="61" t="s">
        <v>103</v>
      </c>
      <c r="G8" s="61" t="s">
        <v>9</v>
      </c>
      <c r="H8" s="61" t="s">
        <v>121</v>
      </c>
      <c r="I8" s="57" t="s">
        <v>9</v>
      </c>
      <c r="J8" s="61" t="s">
        <v>105</v>
      </c>
      <c r="K8" s="61" t="s">
        <v>106</v>
      </c>
      <c r="L8" s="61" t="s">
        <v>6</v>
      </c>
      <c r="M8" s="61" t="s">
        <v>107</v>
      </c>
      <c r="N8" s="79"/>
      <c r="O8" s="79">
        <v>50</v>
      </c>
      <c r="P8" s="79">
        <v>50</v>
      </c>
      <c r="Q8" s="63">
        <v>0</v>
      </c>
      <c r="R8" s="57" t="s">
        <v>108</v>
      </c>
      <c r="T8" s="57" t="s">
        <v>242</v>
      </c>
      <c r="U8" s="57" t="s">
        <v>242</v>
      </c>
    </row>
    <row r="9" spans="1:28" s="57" customFormat="1" x14ac:dyDescent="0.2">
      <c r="A9" s="79">
        <v>2017</v>
      </c>
      <c r="B9" s="61" t="s">
        <v>348</v>
      </c>
      <c r="C9" s="61">
        <v>20867</v>
      </c>
      <c r="D9" s="62">
        <v>34</v>
      </c>
      <c r="E9" s="89">
        <v>42968</v>
      </c>
      <c r="F9" s="61" t="s">
        <v>103</v>
      </c>
      <c r="G9" s="61" t="s">
        <v>9</v>
      </c>
      <c r="H9" s="61" t="s">
        <v>121</v>
      </c>
      <c r="I9" s="57" t="s">
        <v>9</v>
      </c>
      <c r="J9" s="61" t="s">
        <v>105</v>
      </c>
      <c r="K9" s="61" t="s">
        <v>106</v>
      </c>
      <c r="L9" s="61" t="s">
        <v>6</v>
      </c>
      <c r="M9" s="61" t="s">
        <v>107</v>
      </c>
      <c r="N9" s="79"/>
      <c r="O9" s="79">
        <v>24</v>
      </c>
      <c r="P9" s="79">
        <v>24</v>
      </c>
      <c r="Q9" s="63">
        <v>0</v>
      </c>
      <c r="R9" s="57" t="s">
        <v>108</v>
      </c>
      <c r="T9" s="57" t="s">
        <v>242</v>
      </c>
      <c r="U9" s="57" t="s">
        <v>242</v>
      </c>
    </row>
    <row r="10" spans="1:28" s="57" customFormat="1" x14ac:dyDescent="0.2">
      <c r="A10" s="79">
        <v>2017</v>
      </c>
      <c r="B10" s="61" t="s">
        <v>349</v>
      </c>
      <c r="C10" s="61">
        <v>20868</v>
      </c>
      <c r="D10" s="62">
        <v>34</v>
      </c>
      <c r="E10" s="89">
        <v>42968</v>
      </c>
      <c r="F10" s="61" t="s">
        <v>103</v>
      </c>
      <c r="G10" s="61" t="s">
        <v>9</v>
      </c>
      <c r="H10" s="61" t="s">
        <v>121</v>
      </c>
      <c r="I10" s="57" t="s">
        <v>9</v>
      </c>
      <c r="J10" s="61" t="s">
        <v>105</v>
      </c>
      <c r="K10" s="61" t="s">
        <v>106</v>
      </c>
      <c r="L10" s="61" t="s">
        <v>5</v>
      </c>
      <c r="M10" s="61" t="s">
        <v>107</v>
      </c>
      <c r="N10" s="79"/>
      <c r="O10" s="79">
        <v>10</v>
      </c>
      <c r="P10" s="79">
        <v>10</v>
      </c>
      <c r="Q10" s="63">
        <v>0</v>
      </c>
      <c r="R10" s="57" t="s">
        <v>108</v>
      </c>
      <c r="T10" s="57" t="s">
        <v>243</v>
      </c>
      <c r="U10" s="57" t="s">
        <v>243</v>
      </c>
    </row>
    <row r="11" spans="1:28" s="57" customFormat="1" x14ac:dyDescent="0.2">
      <c r="A11" s="79">
        <v>2017</v>
      </c>
      <c r="B11" s="61" t="s">
        <v>350</v>
      </c>
      <c r="C11" s="61">
        <v>20869</v>
      </c>
      <c r="D11" s="62">
        <v>34</v>
      </c>
      <c r="E11" s="89">
        <v>42968</v>
      </c>
      <c r="F11" s="61" t="s">
        <v>103</v>
      </c>
      <c r="G11" s="61" t="s">
        <v>47</v>
      </c>
      <c r="H11" s="61" t="s">
        <v>156</v>
      </c>
      <c r="I11" s="57" t="s">
        <v>59</v>
      </c>
      <c r="J11" s="61" t="s">
        <v>105</v>
      </c>
      <c r="K11" s="61" t="s">
        <v>106</v>
      </c>
      <c r="L11" s="61" t="s">
        <v>6</v>
      </c>
      <c r="M11" s="61" t="s">
        <v>107</v>
      </c>
      <c r="N11" s="79"/>
      <c r="O11" s="79">
        <v>2</v>
      </c>
      <c r="P11" s="79">
        <v>2</v>
      </c>
      <c r="Q11" s="63">
        <v>0</v>
      </c>
      <c r="R11" s="57" t="s">
        <v>108</v>
      </c>
      <c r="T11" s="57" t="s">
        <v>240</v>
      </c>
      <c r="U11" s="57" t="s">
        <v>251</v>
      </c>
    </row>
    <row r="12" spans="1:28" s="57" customFormat="1" x14ac:dyDescent="0.2">
      <c r="A12" s="79">
        <v>2017</v>
      </c>
      <c r="B12" s="61" t="s">
        <v>351</v>
      </c>
      <c r="C12" s="61">
        <v>20870</v>
      </c>
      <c r="D12" s="62">
        <v>34</v>
      </c>
      <c r="E12" s="89">
        <v>42968</v>
      </c>
      <c r="F12" s="61" t="s">
        <v>103</v>
      </c>
      <c r="G12" s="61" t="s">
        <v>47</v>
      </c>
      <c r="H12" s="61" t="s">
        <v>156</v>
      </c>
      <c r="I12" s="57" t="s">
        <v>59</v>
      </c>
      <c r="J12" s="61" t="s">
        <v>105</v>
      </c>
      <c r="K12" s="61" t="s">
        <v>106</v>
      </c>
      <c r="L12" s="61" t="s">
        <v>5</v>
      </c>
      <c r="M12" s="61" t="s">
        <v>107</v>
      </c>
      <c r="N12" s="79"/>
      <c r="O12" s="79">
        <v>4</v>
      </c>
      <c r="P12" s="79">
        <v>4</v>
      </c>
      <c r="Q12" s="63">
        <v>0</v>
      </c>
      <c r="R12" s="57" t="s">
        <v>108</v>
      </c>
      <c r="T12" s="57" t="s">
        <v>241</v>
      </c>
      <c r="U12" s="57" t="s">
        <v>250</v>
      </c>
    </row>
    <row r="13" spans="1:28" s="57" customFormat="1" x14ac:dyDescent="0.2">
      <c r="A13" s="79">
        <v>2017</v>
      </c>
      <c r="B13" s="61" t="s">
        <v>352</v>
      </c>
      <c r="C13" s="61">
        <v>20871</v>
      </c>
      <c r="D13" s="62">
        <v>34</v>
      </c>
      <c r="E13" s="89">
        <v>42968</v>
      </c>
      <c r="F13" s="61" t="s">
        <v>103</v>
      </c>
      <c r="G13" s="61" t="s">
        <v>47</v>
      </c>
      <c r="H13" s="61" t="s">
        <v>160</v>
      </c>
      <c r="I13" s="57" t="s">
        <v>59</v>
      </c>
      <c r="J13" s="61" t="s">
        <v>105</v>
      </c>
      <c r="K13" s="61" t="s">
        <v>106</v>
      </c>
      <c r="L13" s="61" t="s">
        <v>6</v>
      </c>
      <c r="M13" s="61" t="s">
        <v>107</v>
      </c>
      <c r="N13" s="79"/>
      <c r="O13" s="79">
        <v>1</v>
      </c>
      <c r="P13" s="79">
        <v>1</v>
      </c>
      <c r="Q13" s="63">
        <v>0</v>
      </c>
      <c r="R13" s="57" t="s">
        <v>108</v>
      </c>
      <c r="T13" s="57" t="s">
        <v>240</v>
      </c>
      <c r="U13" s="57" t="s">
        <v>251</v>
      </c>
    </row>
    <row r="14" spans="1:28" s="57" customFormat="1" x14ac:dyDescent="0.2">
      <c r="A14" s="79">
        <v>2017</v>
      </c>
      <c r="B14" s="61" t="s">
        <v>353</v>
      </c>
      <c r="C14" s="61">
        <v>20872</v>
      </c>
      <c r="D14" s="62">
        <v>34</v>
      </c>
      <c r="E14" s="89">
        <v>42968</v>
      </c>
      <c r="F14" s="61" t="s">
        <v>103</v>
      </c>
      <c r="G14" s="61" t="s">
        <v>47</v>
      </c>
      <c r="H14" s="61" t="s">
        <v>265</v>
      </c>
      <c r="I14" s="57" t="s">
        <v>59</v>
      </c>
      <c r="J14" s="61" t="s">
        <v>112</v>
      </c>
      <c r="K14" s="61" t="s">
        <v>106</v>
      </c>
      <c r="L14" s="61" t="s">
        <v>5</v>
      </c>
      <c r="M14" s="61" t="s">
        <v>107</v>
      </c>
      <c r="N14" s="79">
        <v>3</v>
      </c>
      <c r="O14" s="79"/>
      <c r="P14" s="79">
        <v>3</v>
      </c>
      <c r="Q14" s="63">
        <v>0</v>
      </c>
      <c r="R14" s="57" t="s">
        <v>108</v>
      </c>
      <c r="T14" s="57" t="s">
        <v>241</v>
      </c>
      <c r="U14" s="57" t="s">
        <v>250</v>
      </c>
    </row>
    <row r="15" spans="1:28" s="57" customFormat="1" x14ac:dyDescent="0.2">
      <c r="A15" s="79">
        <v>2017</v>
      </c>
      <c r="B15" s="61" t="s">
        <v>354</v>
      </c>
      <c r="C15" s="61">
        <v>20873</v>
      </c>
      <c r="D15" s="62">
        <v>34</v>
      </c>
      <c r="E15" s="89">
        <v>42968</v>
      </c>
      <c r="F15" s="61" t="s">
        <v>103</v>
      </c>
      <c r="G15" s="61" t="s">
        <v>47</v>
      </c>
      <c r="H15" s="61" t="s">
        <v>158</v>
      </c>
      <c r="I15" s="57" t="s">
        <v>59</v>
      </c>
      <c r="J15" s="61" t="s">
        <v>112</v>
      </c>
      <c r="K15" s="61" t="s">
        <v>106</v>
      </c>
      <c r="L15" s="61" t="s">
        <v>5</v>
      </c>
      <c r="M15" s="61" t="s">
        <v>107</v>
      </c>
      <c r="N15" s="79">
        <v>41</v>
      </c>
      <c r="O15" s="79"/>
      <c r="P15" s="79">
        <v>41</v>
      </c>
      <c r="Q15" s="63">
        <v>0</v>
      </c>
      <c r="R15" s="57" t="s">
        <v>108</v>
      </c>
      <c r="T15" s="57" t="s">
        <v>241</v>
      </c>
      <c r="U15" s="57" t="s">
        <v>250</v>
      </c>
    </row>
    <row r="16" spans="1:28" s="57" customFormat="1" x14ac:dyDescent="0.2">
      <c r="A16" s="86">
        <v>2017</v>
      </c>
      <c r="B16" s="73" t="s">
        <v>355</v>
      </c>
      <c r="C16" s="73">
        <v>20874</v>
      </c>
      <c r="D16" s="87">
        <v>34</v>
      </c>
      <c r="E16" s="75">
        <v>42968</v>
      </c>
      <c r="F16" s="73" t="s">
        <v>103</v>
      </c>
      <c r="G16" s="73" t="s">
        <v>47</v>
      </c>
      <c r="H16" s="73" t="s">
        <v>155</v>
      </c>
      <c r="I16" s="72" t="s">
        <v>58</v>
      </c>
      <c r="J16" s="73" t="s">
        <v>105</v>
      </c>
      <c r="K16" s="73" t="s">
        <v>106</v>
      </c>
      <c r="L16" s="73" t="s">
        <v>6</v>
      </c>
      <c r="M16" s="73" t="s">
        <v>107</v>
      </c>
      <c r="N16" s="86"/>
      <c r="O16" s="86">
        <v>23</v>
      </c>
      <c r="P16" s="86">
        <v>23</v>
      </c>
      <c r="Q16" s="74">
        <v>1</v>
      </c>
      <c r="R16" s="72" t="s">
        <v>266</v>
      </c>
      <c r="S16" s="72"/>
      <c r="T16" s="72" t="s">
        <v>240</v>
      </c>
      <c r="U16" s="72" t="s">
        <v>249</v>
      </c>
    </row>
    <row r="17" spans="1:21" s="57" customFormat="1" x14ac:dyDescent="0.2">
      <c r="A17" s="79">
        <v>2017</v>
      </c>
      <c r="B17" s="61" t="s">
        <v>356</v>
      </c>
      <c r="C17" s="61">
        <v>20875</v>
      </c>
      <c r="D17" s="62">
        <v>34</v>
      </c>
      <c r="E17" s="89">
        <v>42968</v>
      </c>
      <c r="F17" s="61" t="s">
        <v>103</v>
      </c>
      <c r="G17" s="61" t="s">
        <v>47</v>
      </c>
      <c r="H17" s="61" t="s">
        <v>155</v>
      </c>
      <c r="I17" s="57" t="s">
        <v>58</v>
      </c>
      <c r="J17" s="61" t="s">
        <v>105</v>
      </c>
      <c r="K17" s="61" t="s">
        <v>106</v>
      </c>
      <c r="L17" s="61" t="s">
        <v>5</v>
      </c>
      <c r="M17" s="61" t="s">
        <v>107</v>
      </c>
      <c r="N17" s="79"/>
      <c r="O17" s="79">
        <v>3</v>
      </c>
      <c r="P17" s="79">
        <v>3</v>
      </c>
      <c r="Q17" s="63">
        <v>0</v>
      </c>
      <c r="R17" s="57" t="s">
        <v>108</v>
      </c>
      <c r="T17" s="57" t="s">
        <v>241</v>
      </c>
      <c r="U17" s="57" t="s">
        <v>248</v>
      </c>
    </row>
    <row r="18" spans="1:21" s="57" customFormat="1" x14ac:dyDescent="0.2">
      <c r="A18" s="79">
        <v>2017</v>
      </c>
      <c r="B18" s="61" t="s">
        <v>357</v>
      </c>
      <c r="C18" s="61">
        <v>20876</v>
      </c>
      <c r="D18" s="62">
        <v>34</v>
      </c>
      <c r="E18" s="89">
        <v>42968</v>
      </c>
      <c r="F18" s="61" t="s">
        <v>103</v>
      </c>
      <c r="G18" s="61" t="s">
        <v>47</v>
      </c>
      <c r="H18" s="61" t="s">
        <v>157</v>
      </c>
      <c r="I18" s="57" t="s">
        <v>59</v>
      </c>
      <c r="J18" s="61" t="s">
        <v>105</v>
      </c>
      <c r="K18" s="61" t="s">
        <v>106</v>
      </c>
      <c r="L18" s="61" t="s">
        <v>6</v>
      </c>
      <c r="M18" s="61" t="s">
        <v>107</v>
      </c>
      <c r="N18" s="79"/>
      <c r="O18" s="79">
        <v>12</v>
      </c>
      <c r="P18" s="79">
        <v>12</v>
      </c>
      <c r="Q18" s="63">
        <v>0</v>
      </c>
      <c r="R18" s="57" t="s">
        <v>108</v>
      </c>
      <c r="T18" s="57" t="s">
        <v>240</v>
      </c>
      <c r="U18" s="57" t="s">
        <v>251</v>
      </c>
    </row>
    <row r="19" spans="1:21" s="57" customFormat="1" x14ac:dyDescent="0.2">
      <c r="A19" s="79">
        <v>2017</v>
      </c>
      <c r="B19" s="61" t="s">
        <v>358</v>
      </c>
      <c r="C19" s="61">
        <v>20877</v>
      </c>
      <c r="D19" s="62">
        <v>34</v>
      </c>
      <c r="E19" s="89">
        <v>42968</v>
      </c>
      <c r="F19" s="61" t="s">
        <v>103</v>
      </c>
      <c r="G19" s="61" t="s">
        <v>47</v>
      </c>
      <c r="H19" s="61" t="s">
        <v>157</v>
      </c>
      <c r="I19" s="57" t="s">
        <v>59</v>
      </c>
      <c r="J19" s="61" t="s">
        <v>105</v>
      </c>
      <c r="K19" s="61" t="s">
        <v>106</v>
      </c>
      <c r="L19" s="61" t="s">
        <v>5</v>
      </c>
      <c r="M19" s="61" t="s">
        <v>107</v>
      </c>
      <c r="N19" s="79"/>
      <c r="O19" s="79">
        <v>7</v>
      </c>
      <c r="P19" s="79">
        <v>7</v>
      </c>
      <c r="Q19" s="63">
        <v>0</v>
      </c>
      <c r="R19" s="57" t="s">
        <v>108</v>
      </c>
      <c r="T19" s="57" t="s">
        <v>241</v>
      </c>
      <c r="U19" s="57" t="s">
        <v>250</v>
      </c>
    </row>
    <row r="20" spans="1:21" s="57" customFormat="1" x14ac:dyDescent="0.2">
      <c r="A20" s="79">
        <v>2017</v>
      </c>
      <c r="B20" s="61" t="s">
        <v>359</v>
      </c>
      <c r="C20" s="61">
        <v>20878</v>
      </c>
      <c r="D20" s="62">
        <v>34</v>
      </c>
      <c r="E20" s="89">
        <v>42968</v>
      </c>
      <c r="F20" s="61" t="s">
        <v>103</v>
      </c>
      <c r="G20" s="61" t="s">
        <v>47</v>
      </c>
      <c r="H20" s="61" t="s">
        <v>154</v>
      </c>
      <c r="I20" s="57" t="s">
        <v>59</v>
      </c>
      <c r="J20" s="61" t="s">
        <v>112</v>
      </c>
      <c r="K20" s="61" t="s">
        <v>106</v>
      </c>
      <c r="L20" s="61" t="s">
        <v>5</v>
      </c>
      <c r="M20" s="61" t="s">
        <v>107</v>
      </c>
      <c r="N20" s="79">
        <v>6</v>
      </c>
      <c r="O20" s="79"/>
      <c r="P20" s="79">
        <v>6</v>
      </c>
      <c r="Q20" s="63">
        <v>0</v>
      </c>
      <c r="R20" s="57" t="s">
        <v>108</v>
      </c>
      <c r="T20" s="57" t="s">
        <v>241</v>
      </c>
      <c r="U20" s="57" t="s">
        <v>250</v>
      </c>
    </row>
    <row r="21" spans="1:21" s="57" customFormat="1" x14ac:dyDescent="0.2">
      <c r="A21" s="79">
        <v>2017</v>
      </c>
      <c r="B21" s="61" t="s">
        <v>360</v>
      </c>
      <c r="C21" s="61">
        <v>20879</v>
      </c>
      <c r="D21" s="62">
        <v>34</v>
      </c>
      <c r="E21" s="89">
        <v>42968</v>
      </c>
      <c r="F21" s="61" t="s">
        <v>103</v>
      </c>
      <c r="G21" s="61" t="s">
        <v>47</v>
      </c>
      <c r="H21" s="61" t="s">
        <v>152</v>
      </c>
      <c r="I21" s="57" t="s">
        <v>59</v>
      </c>
      <c r="J21" s="61" t="s">
        <v>105</v>
      </c>
      <c r="K21" s="61" t="s">
        <v>106</v>
      </c>
      <c r="L21" s="61" t="s">
        <v>6</v>
      </c>
      <c r="M21" s="61" t="s">
        <v>107</v>
      </c>
      <c r="N21" s="79"/>
      <c r="O21" s="79">
        <v>3</v>
      </c>
      <c r="P21" s="79">
        <v>3</v>
      </c>
      <c r="Q21" s="63">
        <v>0</v>
      </c>
      <c r="R21" s="57" t="s">
        <v>108</v>
      </c>
      <c r="T21" s="57" t="s">
        <v>240</v>
      </c>
      <c r="U21" s="57" t="s">
        <v>251</v>
      </c>
    </row>
    <row r="22" spans="1:21" s="57" customFormat="1" x14ac:dyDescent="0.2">
      <c r="A22" s="79">
        <v>2017</v>
      </c>
      <c r="B22" s="61" t="s">
        <v>361</v>
      </c>
      <c r="C22" s="61">
        <v>20880</v>
      </c>
      <c r="D22" s="62">
        <v>34</v>
      </c>
      <c r="E22" s="89">
        <v>42968</v>
      </c>
      <c r="F22" s="61" t="s">
        <v>103</v>
      </c>
      <c r="G22" s="61" t="s">
        <v>47</v>
      </c>
      <c r="H22" s="61" t="s">
        <v>264</v>
      </c>
      <c r="I22" s="57" t="s">
        <v>59</v>
      </c>
      <c r="J22" s="61" t="s">
        <v>112</v>
      </c>
      <c r="K22" s="61" t="s">
        <v>106</v>
      </c>
      <c r="L22" s="61" t="s">
        <v>5</v>
      </c>
      <c r="M22" s="61" t="s">
        <v>107</v>
      </c>
      <c r="N22" s="79">
        <v>9</v>
      </c>
      <c r="O22" s="79"/>
      <c r="P22" s="79">
        <v>9</v>
      </c>
      <c r="Q22" s="63">
        <v>0</v>
      </c>
      <c r="R22" s="57" t="s">
        <v>108</v>
      </c>
      <c r="T22" s="57" t="s">
        <v>241</v>
      </c>
      <c r="U22" s="57" t="s">
        <v>250</v>
      </c>
    </row>
    <row r="23" spans="1:21" s="57" customFormat="1" x14ac:dyDescent="0.2">
      <c r="A23" s="79">
        <v>2017</v>
      </c>
      <c r="B23" s="61" t="s">
        <v>362</v>
      </c>
      <c r="C23" s="61">
        <v>20881</v>
      </c>
      <c r="D23" s="62">
        <v>34</v>
      </c>
      <c r="E23" s="89">
        <v>42968</v>
      </c>
      <c r="F23" s="61" t="s">
        <v>103</v>
      </c>
      <c r="G23" s="61" t="s">
        <v>47</v>
      </c>
      <c r="H23" s="61" t="s">
        <v>151</v>
      </c>
      <c r="I23" s="57" t="s">
        <v>59</v>
      </c>
      <c r="J23" s="61" t="s">
        <v>105</v>
      </c>
      <c r="K23" s="61" t="s">
        <v>106</v>
      </c>
      <c r="L23" s="61" t="s">
        <v>6</v>
      </c>
      <c r="M23" s="61" t="s">
        <v>107</v>
      </c>
      <c r="N23" s="79"/>
      <c r="O23" s="79">
        <v>5</v>
      </c>
      <c r="P23" s="79">
        <v>5</v>
      </c>
      <c r="Q23" s="63">
        <v>0</v>
      </c>
      <c r="R23" s="57" t="s">
        <v>108</v>
      </c>
      <c r="T23" s="57" t="s">
        <v>240</v>
      </c>
      <c r="U23" s="57" t="s">
        <v>251</v>
      </c>
    </row>
    <row r="24" spans="1:21" s="57" customFormat="1" x14ac:dyDescent="0.2">
      <c r="A24" s="79">
        <v>2017</v>
      </c>
      <c r="B24" s="61" t="s">
        <v>363</v>
      </c>
      <c r="C24" s="61">
        <v>20882</v>
      </c>
      <c r="D24" s="62">
        <v>34</v>
      </c>
      <c r="E24" s="89">
        <v>42968</v>
      </c>
      <c r="F24" s="61" t="s">
        <v>103</v>
      </c>
      <c r="G24" s="61" t="s">
        <v>47</v>
      </c>
      <c r="H24" s="61" t="s">
        <v>151</v>
      </c>
      <c r="I24" s="57" t="s">
        <v>59</v>
      </c>
      <c r="J24" s="61" t="s">
        <v>105</v>
      </c>
      <c r="K24" s="61" t="s">
        <v>106</v>
      </c>
      <c r="L24" s="61" t="s">
        <v>5</v>
      </c>
      <c r="M24" s="61" t="s">
        <v>107</v>
      </c>
      <c r="N24" s="79"/>
      <c r="O24" s="79">
        <v>18</v>
      </c>
      <c r="P24" s="79">
        <v>18</v>
      </c>
      <c r="Q24" s="63">
        <v>0</v>
      </c>
      <c r="R24" s="57" t="s">
        <v>108</v>
      </c>
      <c r="T24" s="57" t="s">
        <v>241</v>
      </c>
      <c r="U24" s="57" t="s">
        <v>250</v>
      </c>
    </row>
    <row r="25" spans="1:21" s="57" customFormat="1" x14ac:dyDescent="0.2">
      <c r="A25" s="79">
        <v>2017</v>
      </c>
      <c r="B25" s="61" t="s">
        <v>364</v>
      </c>
      <c r="C25" s="61">
        <v>20883</v>
      </c>
      <c r="D25" s="62">
        <v>34</v>
      </c>
      <c r="E25" s="89">
        <v>42968</v>
      </c>
      <c r="F25" s="61" t="s">
        <v>103</v>
      </c>
      <c r="G25" s="61" t="s">
        <v>47</v>
      </c>
      <c r="H25" s="61" t="s">
        <v>256</v>
      </c>
      <c r="I25" s="57" t="s">
        <v>59</v>
      </c>
      <c r="J25" s="61" t="s">
        <v>105</v>
      </c>
      <c r="K25" s="61" t="s">
        <v>106</v>
      </c>
      <c r="L25" s="61" t="s">
        <v>6</v>
      </c>
      <c r="M25" s="61" t="s">
        <v>107</v>
      </c>
      <c r="N25" s="79"/>
      <c r="O25" s="79">
        <v>10</v>
      </c>
      <c r="P25" s="79">
        <v>10</v>
      </c>
      <c r="Q25" s="63">
        <v>0</v>
      </c>
      <c r="R25" s="57" t="s">
        <v>108</v>
      </c>
      <c r="T25" s="57" t="s">
        <v>240</v>
      </c>
      <c r="U25" s="57" t="s">
        <v>251</v>
      </c>
    </row>
    <row r="26" spans="1:21" s="57" customFormat="1" x14ac:dyDescent="0.2">
      <c r="A26" s="79">
        <v>2017</v>
      </c>
      <c r="B26" s="61" t="s">
        <v>365</v>
      </c>
      <c r="C26" s="61">
        <v>20884</v>
      </c>
      <c r="D26" s="62">
        <v>34</v>
      </c>
      <c r="E26" s="89">
        <v>42969</v>
      </c>
      <c r="F26" s="61" t="s">
        <v>103</v>
      </c>
      <c r="G26" s="61" t="s">
        <v>47</v>
      </c>
      <c r="H26" s="61" t="s">
        <v>137</v>
      </c>
      <c r="I26" s="57" t="s">
        <v>60</v>
      </c>
      <c r="J26" s="61" t="s">
        <v>105</v>
      </c>
      <c r="K26" s="61" t="s">
        <v>106</v>
      </c>
      <c r="L26" s="61" t="s">
        <v>6</v>
      </c>
      <c r="M26" s="61" t="s">
        <v>107</v>
      </c>
      <c r="N26" s="79"/>
      <c r="O26" s="79">
        <v>32</v>
      </c>
      <c r="P26" s="79">
        <v>32</v>
      </c>
      <c r="Q26" s="63">
        <v>0</v>
      </c>
      <c r="R26" s="57" t="s">
        <v>108</v>
      </c>
      <c r="T26" s="57" t="s">
        <v>240</v>
      </c>
      <c r="U26" s="57" t="s">
        <v>246</v>
      </c>
    </row>
    <row r="27" spans="1:21" s="57" customFormat="1" x14ac:dyDescent="0.2">
      <c r="A27" s="79">
        <v>2017</v>
      </c>
      <c r="B27" s="61" t="s">
        <v>366</v>
      </c>
      <c r="C27" s="61">
        <v>20885</v>
      </c>
      <c r="D27" s="62">
        <v>34</v>
      </c>
      <c r="E27" s="89">
        <v>42969</v>
      </c>
      <c r="F27" s="61" t="s">
        <v>103</v>
      </c>
      <c r="G27" s="61" t="s">
        <v>47</v>
      </c>
      <c r="H27" s="61" t="s">
        <v>137</v>
      </c>
      <c r="I27" s="57" t="s">
        <v>60</v>
      </c>
      <c r="J27" s="61" t="s">
        <v>105</v>
      </c>
      <c r="K27" s="61" t="s">
        <v>106</v>
      </c>
      <c r="L27" s="61" t="s">
        <v>5</v>
      </c>
      <c r="M27" s="61" t="s">
        <v>107</v>
      </c>
      <c r="N27" s="79"/>
      <c r="O27" s="79">
        <v>4</v>
      </c>
      <c r="P27" s="79">
        <v>4</v>
      </c>
      <c r="Q27" s="63">
        <v>0</v>
      </c>
      <c r="R27" s="57" t="s">
        <v>108</v>
      </c>
      <c r="T27" s="57" t="s">
        <v>241</v>
      </c>
      <c r="U27" s="57" t="s">
        <v>247</v>
      </c>
    </row>
    <row r="28" spans="1:21" s="57" customFormat="1" x14ac:dyDescent="0.2">
      <c r="A28" s="79">
        <v>2017</v>
      </c>
      <c r="B28" s="61" t="s">
        <v>367</v>
      </c>
      <c r="C28" s="61">
        <v>20886</v>
      </c>
      <c r="D28" s="62">
        <v>34</v>
      </c>
      <c r="E28" s="89">
        <v>42969</v>
      </c>
      <c r="F28" s="61" t="s">
        <v>103</v>
      </c>
      <c r="G28" s="61" t="s">
        <v>47</v>
      </c>
      <c r="H28" s="61" t="s">
        <v>138</v>
      </c>
      <c r="I28" s="57" t="s">
        <v>60</v>
      </c>
      <c r="J28" s="61" t="s">
        <v>105</v>
      </c>
      <c r="K28" s="61" t="s">
        <v>106</v>
      </c>
      <c r="L28" s="61" t="s">
        <v>6</v>
      </c>
      <c r="M28" s="61" t="s">
        <v>107</v>
      </c>
      <c r="N28" s="79"/>
      <c r="O28" s="79">
        <v>28</v>
      </c>
      <c r="P28" s="79">
        <v>28</v>
      </c>
      <c r="Q28" s="63">
        <v>0</v>
      </c>
      <c r="R28" s="57" t="s">
        <v>108</v>
      </c>
      <c r="T28" s="57" t="s">
        <v>240</v>
      </c>
      <c r="U28" s="57" t="s">
        <v>246</v>
      </c>
    </row>
    <row r="29" spans="1:21" s="57" customFormat="1" x14ac:dyDescent="0.2">
      <c r="A29" s="79">
        <v>2017</v>
      </c>
      <c r="B29" s="61" t="s">
        <v>368</v>
      </c>
      <c r="C29" s="61">
        <v>20887</v>
      </c>
      <c r="D29" s="62">
        <v>34</v>
      </c>
      <c r="E29" s="89">
        <v>42969</v>
      </c>
      <c r="F29" s="61" t="s">
        <v>103</v>
      </c>
      <c r="G29" s="61" t="s">
        <v>47</v>
      </c>
      <c r="H29" s="61" t="s">
        <v>138</v>
      </c>
      <c r="I29" s="57" t="s">
        <v>60</v>
      </c>
      <c r="J29" s="61" t="s">
        <v>105</v>
      </c>
      <c r="K29" s="61" t="s">
        <v>106</v>
      </c>
      <c r="L29" s="61" t="s">
        <v>5</v>
      </c>
      <c r="M29" s="61" t="s">
        <v>107</v>
      </c>
      <c r="N29" s="79"/>
      <c r="O29" s="79">
        <v>12</v>
      </c>
      <c r="P29" s="79">
        <v>12</v>
      </c>
      <c r="Q29" s="63">
        <v>0</v>
      </c>
      <c r="R29" s="57" t="s">
        <v>108</v>
      </c>
      <c r="T29" s="57" t="s">
        <v>241</v>
      </c>
      <c r="U29" s="57" t="s">
        <v>247</v>
      </c>
    </row>
    <row r="30" spans="1:21" s="57" customFormat="1" x14ac:dyDescent="0.2">
      <c r="A30" s="79">
        <v>2017</v>
      </c>
      <c r="B30" s="61" t="s">
        <v>369</v>
      </c>
      <c r="C30" s="61">
        <v>20888</v>
      </c>
      <c r="D30" s="62">
        <v>34</v>
      </c>
      <c r="E30" s="89">
        <v>42969</v>
      </c>
      <c r="F30" s="61" t="s">
        <v>103</v>
      </c>
      <c r="G30" s="61" t="s">
        <v>47</v>
      </c>
      <c r="H30" s="61" t="s">
        <v>136</v>
      </c>
      <c r="I30" s="57" t="s">
        <v>60</v>
      </c>
      <c r="J30" s="61" t="s">
        <v>105</v>
      </c>
      <c r="K30" s="61" t="s">
        <v>106</v>
      </c>
      <c r="L30" s="61" t="s">
        <v>6</v>
      </c>
      <c r="M30" s="61" t="s">
        <v>107</v>
      </c>
      <c r="N30" s="79"/>
      <c r="O30" s="79">
        <v>20</v>
      </c>
      <c r="P30" s="79">
        <v>20</v>
      </c>
      <c r="Q30" s="63">
        <v>0</v>
      </c>
      <c r="R30" s="57" t="s">
        <v>108</v>
      </c>
      <c r="T30" s="57" t="s">
        <v>240</v>
      </c>
      <c r="U30" s="57" t="s">
        <v>246</v>
      </c>
    </row>
    <row r="31" spans="1:21" s="57" customFormat="1" x14ac:dyDescent="0.2">
      <c r="A31" s="79">
        <v>2017</v>
      </c>
      <c r="B31" s="61" t="s">
        <v>370</v>
      </c>
      <c r="C31" s="61">
        <v>20889</v>
      </c>
      <c r="D31" s="62">
        <v>34</v>
      </c>
      <c r="E31" s="89">
        <v>42969</v>
      </c>
      <c r="F31" s="61" t="s">
        <v>103</v>
      </c>
      <c r="G31" s="61" t="s">
        <v>47</v>
      </c>
      <c r="H31" s="61" t="s">
        <v>136</v>
      </c>
      <c r="I31" s="57" t="s">
        <v>60</v>
      </c>
      <c r="J31" s="61" t="s">
        <v>105</v>
      </c>
      <c r="K31" s="61" t="s">
        <v>106</v>
      </c>
      <c r="L31" s="61" t="s">
        <v>5</v>
      </c>
      <c r="M31" s="61" t="s">
        <v>107</v>
      </c>
      <c r="N31" s="79"/>
      <c r="O31" s="79">
        <v>4</v>
      </c>
      <c r="P31" s="79">
        <v>4</v>
      </c>
      <c r="Q31" s="63">
        <v>0</v>
      </c>
      <c r="R31" s="57" t="s">
        <v>108</v>
      </c>
      <c r="T31" s="57" t="s">
        <v>241</v>
      </c>
      <c r="U31" s="57" t="s">
        <v>247</v>
      </c>
    </row>
    <row r="32" spans="1:21" s="57" customFormat="1" x14ac:dyDescent="0.2">
      <c r="A32" s="79">
        <v>2017</v>
      </c>
      <c r="B32" s="61" t="s">
        <v>371</v>
      </c>
      <c r="C32" s="61">
        <v>20890</v>
      </c>
      <c r="D32" s="62">
        <v>34</v>
      </c>
      <c r="E32" s="89">
        <v>42969</v>
      </c>
      <c r="F32" s="61" t="s">
        <v>103</v>
      </c>
      <c r="G32" s="61" t="s">
        <v>47</v>
      </c>
      <c r="H32" s="61" t="s">
        <v>142</v>
      </c>
      <c r="I32" s="57" t="s">
        <v>60</v>
      </c>
      <c r="J32" s="61" t="s">
        <v>105</v>
      </c>
      <c r="K32" s="61" t="s">
        <v>106</v>
      </c>
      <c r="L32" s="61" t="s">
        <v>6</v>
      </c>
      <c r="M32" s="61" t="s">
        <v>107</v>
      </c>
      <c r="N32" s="79"/>
      <c r="O32" s="79">
        <v>30</v>
      </c>
      <c r="P32" s="79">
        <v>30</v>
      </c>
      <c r="Q32" s="63">
        <v>0</v>
      </c>
      <c r="R32" s="57" t="s">
        <v>108</v>
      </c>
      <c r="T32" s="57" t="s">
        <v>240</v>
      </c>
      <c r="U32" s="57" t="s">
        <v>246</v>
      </c>
    </row>
    <row r="33" spans="1:21" s="57" customFormat="1" x14ac:dyDescent="0.2">
      <c r="A33" s="79">
        <v>2017</v>
      </c>
      <c r="B33" s="61" t="s">
        <v>372</v>
      </c>
      <c r="C33" s="61">
        <v>20891</v>
      </c>
      <c r="D33" s="62">
        <v>34</v>
      </c>
      <c r="E33" s="89">
        <v>42969</v>
      </c>
      <c r="F33" s="61" t="s">
        <v>103</v>
      </c>
      <c r="G33" s="61" t="s">
        <v>47</v>
      </c>
      <c r="H33" s="61" t="s">
        <v>142</v>
      </c>
      <c r="I33" s="57" t="s">
        <v>60</v>
      </c>
      <c r="J33" s="61" t="s">
        <v>105</v>
      </c>
      <c r="K33" s="61" t="s">
        <v>106</v>
      </c>
      <c r="L33" s="61" t="s">
        <v>5</v>
      </c>
      <c r="M33" s="61" t="s">
        <v>107</v>
      </c>
      <c r="N33" s="79"/>
      <c r="O33" s="79">
        <v>26</v>
      </c>
      <c r="P33" s="79">
        <v>26</v>
      </c>
      <c r="Q33" s="63">
        <v>0</v>
      </c>
      <c r="R33" s="57" t="s">
        <v>108</v>
      </c>
      <c r="T33" s="57" t="s">
        <v>241</v>
      </c>
      <c r="U33" s="57" t="s">
        <v>247</v>
      </c>
    </row>
    <row r="34" spans="1:21" s="57" customFormat="1" x14ac:dyDescent="0.2">
      <c r="A34" s="79">
        <v>2017</v>
      </c>
      <c r="B34" s="61" t="s">
        <v>373</v>
      </c>
      <c r="C34" s="61">
        <v>20892</v>
      </c>
      <c r="D34" s="62">
        <v>34</v>
      </c>
      <c r="E34" s="89">
        <v>42969</v>
      </c>
      <c r="F34" s="61" t="s">
        <v>103</v>
      </c>
      <c r="G34" s="61" t="s">
        <v>47</v>
      </c>
      <c r="H34" s="61" t="s">
        <v>135</v>
      </c>
      <c r="I34" s="57" t="s">
        <v>60</v>
      </c>
      <c r="J34" s="61" t="s">
        <v>112</v>
      </c>
      <c r="K34" s="61" t="s">
        <v>106</v>
      </c>
      <c r="L34" s="61" t="s">
        <v>5</v>
      </c>
      <c r="M34" s="61" t="s">
        <v>107</v>
      </c>
      <c r="N34" s="79">
        <v>50</v>
      </c>
      <c r="O34" s="79"/>
      <c r="P34" s="79">
        <v>50</v>
      </c>
      <c r="Q34" s="63">
        <v>0</v>
      </c>
      <c r="R34" s="57" t="s">
        <v>108</v>
      </c>
      <c r="T34" s="57" t="s">
        <v>241</v>
      </c>
      <c r="U34" s="57" t="s">
        <v>247</v>
      </c>
    </row>
    <row r="35" spans="1:21" s="57" customFormat="1" x14ac:dyDescent="0.2">
      <c r="A35" s="79">
        <v>2017</v>
      </c>
      <c r="B35" s="61" t="s">
        <v>374</v>
      </c>
      <c r="C35" s="61">
        <v>20893</v>
      </c>
      <c r="D35" s="62">
        <v>34</v>
      </c>
      <c r="E35" s="89">
        <v>42969</v>
      </c>
      <c r="F35" s="61" t="s">
        <v>103</v>
      </c>
      <c r="G35" s="61" t="s">
        <v>47</v>
      </c>
      <c r="H35" s="61" t="s">
        <v>135</v>
      </c>
      <c r="I35" s="61" t="s">
        <v>60</v>
      </c>
      <c r="J35" s="61" t="s">
        <v>112</v>
      </c>
      <c r="K35" s="61" t="s">
        <v>106</v>
      </c>
      <c r="L35" s="61" t="s">
        <v>5</v>
      </c>
      <c r="M35" s="61" t="s">
        <v>107</v>
      </c>
      <c r="N35" s="79">
        <v>43</v>
      </c>
      <c r="O35" s="79"/>
      <c r="P35" s="79">
        <v>43</v>
      </c>
      <c r="Q35" s="63">
        <v>0</v>
      </c>
      <c r="R35" s="57" t="s">
        <v>108</v>
      </c>
      <c r="T35" s="57" t="s">
        <v>241</v>
      </c>
      <c r="U35" s="57" t="s">
        <v>247</v>
      </c>
    </row>
    <row r="36" spans="1:21" s="57" customFormat="1" x14ac:dyDescent="0.2">
      <c r="A36" s="79">
        <v>2017</v>
      </c>
      <c r="B36" s="61" t="s">
        <v>375</v>
      </c>
      <c r="C36" s="61">
        <v>20894</v>
      </c>
      <c r="D36" s="62">
        <v>34</v>
      </c>
      <c r="E36" s="89">
        <v>42969</v>
      </c>
      <c r="F36" s="61" t="s">
        <v>103</v>
      </c>
      <c r="G36" s="61" t="s">
        <v>47</v>
      </c>
      <c r="H36" s="61" t="s">
        <v>134</v>
      </c>
      <c r="I36" s="61" t="s">
        <v>60</v>
      </c>
      <c r="J36" s="61" t="s">
        <v>105</v>
      </c>
      <c r="K36" s="61" t="s">
        <v>106</v>
      </c>
      <c r="L36" s="61" t="s">
        <v>6</v>
      </c>
      <c r="M36" s="61" t="s">
        <v>107</v>
      </c>
      <c r="N36" s="79"/>
      <c r="O36" s="79">
        <v>27</v>
      </c>
      <c r="P36" s="79">
        <v>27</v>
      </c>
      <c r="Q36" s="63">
        <v>0</v>
      </c>
      <c r="R36" s="57" t="s">
        <v>108</v>
      </c>
      <c r="T36" s="57" t="s">
        <v>240</v>
      </c>
      <c r="U36" s="57" t="s">
        <v>246</v>
      </c>
    </row>
    <row r="37" spans="1:21" s="57" customFormat="1" x14ac:dyDescent="0.2">
      <c r="A37" s="79">
        <v>2017</v>
      </c>
      <c r="B37" s="61" t="s">
        <v>376</v>
      </c>
      <c r="C37" s="61">
        <v>20895</v>
      </c>
      <c r="D37" s="62">
        <v>34</v>
      </c>
      <c r="E37" s="89">
        <v>42969</v>
      </c>
      <c r="F37" s="61" t="s">
        <v>103</v>
      </c>
      <c r="G37" s="61" t="s">
        <v>47</v>
      </c>
      <c r="H37" s="61" t="s">
        <v>134</v>
      </c>
      <c r="I37" s="61" t="s">
        <v>60</v>
      </c>
      <c r="J37" s="61" t="s">
        <v>105</v>
      </c>
      <c r="K37" s="61" t="s">
        <v>106</v>
      </c>
      <c r="L37" s="61" t="s">
        <v>5</v>
      </c>
      <c r="M37" s="61" t="s">
        <v>107</v>
      </c>
      <c r="N37" s="79"/>
      <c r="O37" s="79">
        <v>12</v>
      </c>
      <c r="P37" s="79">
        <v>12</v>
      </c>
      <c r="Q37" s="63">
        <v>0</v>
      </c>
      <c r="R37" s="57" t="s">
        <v>108</v>
      </c>
      <c r="T37" s="57" t="s">
        <v>241</v>
      </c>
      <c r="U37" s="57" t="s">
        <v>247</v>
      </c>
    </row>
    <row r="38" spans="1:21" s="57" customFormat="1" x14ac:dyDescent="0.2">
      <c r="A38" s="79">
        <v>2017</v>
      </c>
      <c r="B38" s="61" t="s">
        <v>377</v>
      </c>
      <c r="C38" s="61">
        <v>20896</v>
      </c>
      <c r="D38" s="62">
        <v>34</v>
      </c>
      <c r="E38" s="89">
        <v>42969</v>
      </c>
      <c r="F38" s="61" t="s">
        <v>103</v>
      </c>
      <c r="G38" s="61" t="s">
        <v>9</v>
      </c>
      <c r="H38" s="61" t="s">
        <v>123</v>
      </c>
      <c r="I38" s="61" t="s">
        <v>9</v>
      </c>
      <c r="J38" s="61" t="s">
        <v>105</v>
      </c>
      <c r="K38" s="61" t="s">
        <v>106</v>
      </c>
      <c r="L38" s="61" t="s">
        <v>6</v>
      </c>
      <c r="M38" s="61" t="s">
        <v>107</v>
      </c>
      <c r="N38" s="79"/>
      <c r="O38" s="79">
        <v>18</v>
      </c>
      <c r="P38" s="79">
        <v>18</v>
      </c>
      <c r="Q38" s="63">
        <v>0</v>
      </c>
      <c r="R38" s="57" t="s">
        <v>108</v>
      </c>
      <c r="T38" s="57" t="s">
        <v>242</v>
      </c>
      <c r="U38" s="57" t="s">
        <v>242</v>
      </c>
    </row>
    <row r="39" spans="1:21" s="57" customFormat="1" x14ac:dyDescent="0.2">
      <c r="A39" s="79">
        <v>2017</v>
      </c>
      <c r="B39" s="61" t="s">
        <v>378</v>
      </c>
      <c r="C39" s="61">
        <v>20897</v>
      </c>
      <c r="D39" s="62">
        <v>34</v>
      </c>
      <c r="E39" s="89">
        <v>42969</v>
      </c>
      <c r="F39" s="61" t="s">
        <v>103</v>
      </c>
      <c r="G39" s="61" t="s">
        <v>9</v>
      </c>
      <c r="H39" s="61" t="s">
        <v>126</v>
      </c>
      <c r="I39" s="61" t="s">
        <v>9</v>
      </c>
      <c r="J39" s="61" t="s">
        <v>105</v>
      </c>
      <c r="K39" s="61" t="s">
        <v>106</v>
      </c>
      <c r="L39" s="61" t="s">
        <v>6</v>
      </c>
      <c r="M39" s="61" t="s">
        <v>107</v>
      </c>
      <c r="N39" s="79"/>
      <c r="O39" s="79">
        <v>11</v>
      </c>
      <c r="P39" s="79">
        <v>11</v>
      </c>
      <c r="Q39" s="63">
        <v>0</v>
      </c>
      <c r="R39" s="57" t="s">
        <v>108</v>
      </c>
      <c r="T39" s="57" t="s">
        <v>242</v>
      </c>
      <c r="U39" s="57" t="s">
        <v>242</v>
      </c>
    </row>
    <row r="40" spans="1:21" s="57" customFormat="1" x14ac:dyDescent="0.2">
      <c r="A40" s="79">
        <v>2017</v>
      </c>
      <c r="B40" s="61" t="s">
        <v>379</v>
      </c>
      <c r="C40" s="61">
        <v>20898</v>
      </c>
      <c r="D40" s="62">
        <v>34</v>
      </c>
      <c r="E40" s="89">
        <v>42969</v>
      </c>
      <c r="F40" s="61" t="s">
        <v>103</v>
      </c>
      <c r="G40" s="61" t="s">
        <v>9</v>
      </c>
      <c r="H40" s="61" t="s">
        <v>129</v>
      </c>
      <c r="I40" s="57" t="s">
        <v>9</v>
      </c>
      <c r="J40" s="61" t="s">
        <v>105</v>
      </c>
      <c r="K40" s="61" t="s">
        <v>106</v>
      </c>
      <c r="L40" s="61" t="s">
        <v>6</v>
      </c>
      <c r="M40" s="61" t="s">
        <v>107</v>
      </c>
      <c r="N40" s="79"/>
      <c r="O40" s="79">
        <v>21</v>
      </c>
      <c r="P40" s="79">
        <v>21</v>
      </c>
      <c r="Q40" s="63">
        <v>0</v>
      </c>
      <c r="R40" s="57" t="s">
        <v>108</v>
      </c>
      <c r="T40" s="57" t="s">
        <v>242</v>
      </c>
      <c r="U40" s="57" t="s">
        <v>242</v>
      </c>
    </row>
    <row r="41" spans="1:21" s="57" customFormat="1" x14ac:dyDescent="0.2">
      <c r="A41" s="79">
        <v>2017</v>
      </c>
      <c r="B41" s="61" t="s">
        <v>380</v>
      </c>
      <c r="C41" s="61">
        <v>20899</v>
      </c>
      <c r="D41" s="62">
        <v>34</v>
      </c>
      <c r="E41" s="89">
        <v>42969</v>
      </c>
      <c r="F41" s="61" t="s">
        <v>103</v>
      </c>
      <c r="G41" s="61" t="s">
        <v>9</v>
      </c>
      <c r="H41" s="61" t="s">
        <v>129</v>
      </c>
      <c r="I41" s="57" t="s">
        <v>9</v>
      </c>
      <c r="J41" s="61" t="s">
        <v>105</v>
      </c>
      <c r="K41" s="61" t="s">
        <v>106</v>
      </c>
      <c r="L41" s="61" t="s">
        <v>5</v>
      </c>
      <c r="M41" s="61" t="s">
        <v>107</v>
      </c>
      <c r="N41" s="79"/>
      <c r="O41" s="79">
        <v>1</v>
      </c>
      <c r="P41" s="79">
        <v>1</v>
      </c>
      <c r="Q41" s="63">
        <v>0</v>
      </c>
      <c r="R41" s="57" t="s">
        <v>108</v>
      </c>
      <c r="T41" s="57" t="s">
        <v>243</v>
      </c>
      <c r="U41" s="57" t="s">
        <v>243</v>
      </c>
    </row>
    <row r="42" spans="1:21" s="57" customFormat="1" x14ac:dyDescent="0.2">
      <c r="A42" s="79">
        <v>2017</v>
      </c>
      <c r="B42" s="61" t="s">
        <v>381</v>
      </c>
      <c r="C42" s="61">
        <v>20900</v>
      </c>
      <c r="D42" s="62">
        <v>34</v>
      </c>
      <c r="E42" s="89">
        <v>42970</v>
      </c>
      <c r="F42" s="61" t="s">
        <v>103</v>
      </c>
      <c r="G42" s="61" t="s">
        <v>259</v>
      </c>
      <c r="H42" s="61" t="s">
        <v>162</v>
      </c>
      <c r="I42" s="57" t="s">
        <v>259</v>
      </c>
      <c r="J42" s="61" t="s">
        <v>105</v>
      </c>
      <c r="K42" s="61" t="s">
        <v>106</v>
      </c>
      <c r="L42" s="61" t="s">
        <v>6</v>
      </c>
      <c r="M42" s="61" t="s">
        <v>107</v>
      </c>
      <c r="N42" s="79"/>
      <c r="O42" s="79">
        <v>13</v>
      </c>
      <c r="P42" s="79">
        <v>13</v>
      </c>
      <c r="Q42" s="63">
        <v>0</v>
      </c>
      <c r="R42" s="57" t="s">
        <v>108</v>
      </c>
      <c r="T42" s="57" t="s">
        <v>260</v>
      </c>
      <c r="U42" s="57" t="s">
        <v>260</v>
      </c>
    </row>
    <row r="43" spans="1:21" s="57" customFormat="1" x14ac:dyDescent="0.2">
      <c r="A43" s="79">
        <v>2017</v>
      </c>
      <c r="B43" s="61" t="s">
        <v>382</v>
      </c>
      <c r="C43" s="61">
        <v>20901</v>
      </c>
      <c r="D43" s="62">
        <v>34</v>
      </c>
      <c r="E43" s="89">
        <v>42970</v>
      </c>
      <c r="F43" s="61" t="s">
        <v>103</v>
      </c>
      <c r="G43" s="61" t="s">
        <v>259</v>
      </c>
      <c r="H43" s="61" t="s">
        <v>162</v>
      </c>
      <c r="I43" s="57" t="s">
        <v>259</v>
      </c>
      <c r="J43" s="61" t="s">
        <v>105</v>
      </c>
      <c r="K43" s="61" t="s">
        <v>106</v>
      </c>
      <c r="L43" s="61" t="s">
        <v>5</v>
      </c>
      <c r="M43" s="61" t="s">
        <v>107</v>
      </c>
      <c r="N43" s="79"/>
      <c r="O43" s="79">
        <v>1</v>
      </c>
      <c r="P43" s="79">
        <v>1</v>
      </c>
      <c r="Q43" s="63">
        <v>0</v>
      </c>
      <c r="R43" s="57" t="s">
        <v>108</v>
      </c>
      <c r="T43" s="57" t="s">
        <v>267</v>
      </c>
      <c r="U43" s="57" t="s">
        <v>267</v>
      </c>
    </row>
    <row r="44" spans="1:21" s="57" customFormat="1" x14ac:dyDescent="0.2">
      <c r="A44" s="86">
        <v>2017</v>
      </c>
      <c r="B44" s="73" t="s">
        <v>383</v>
      </c>
      <c r="C44" s="73">
        <v>20902</v>
      </c>
      <c r="D44" s="87">
        <v>34</v>
      </c>
      <c r="E44" s="75">
        <v>42970</v>
      </c>
      <c r="F44" s="73" t="s">
        <v>103</v>
      </c>
      <c r="G44" s="73" t="s">
        <v>259</v>
      </c>
      <c r="H44" s="73" t="s">
        <v>173</v>
      </c>
      <c r="I44" s="72" t="s">
        <v>259</v>
      </c>
      <c r="J44" s="73" t="s">
        <v>105</v>
      </c>
      <c r="K44" s="73" t="s">
        <v>106</v>
      </c>
      <c r="L44" s="73" t="s">
        <v>6</v>
      </c>
      <c r="M44" s="73" t="s">
        <v>107</v>
      </c>
      <c r="N44" s="86"/>
      <c r="O44" s="86">
        <v>12</v>
      </c>
      <c r="P44" s="86">
        <v>12</v>
      </c>
      <c r="Q44" s="74">
        <v>1</v>
      </c>
      <c r="R44" s="72" t="s">
        <v>266</v>
      </c>
      <c r="S44" s="72"/>
      <c r="T44" s="72" t="s">
        <v>260</v>
      </c>
      <c r="U44" s="72" t="s">
        <v>260</v>
      </c>
    </row>
    <row r="45" spans="1:21" s="57" customFormat="1" x14ac:dyDescent="0.2">
      <c r="A45" s="79">
        <v>2017</v>
      </c>
      <c r="B45" s="61" t="s">
        <v>384</v>
      </c>
      <c r="C45" s="61">
        <v>20903</v>
      </c>
      <c r="D45" s="62">
        <v>34</v>
      </c>
      <c r="E45" s="89">
        <v>42970</v>
      </c>
      <c r="F45" s="61" t="s">
        <v>103</v>
      </c>
      <c r="G45" s="61" t="s">
        <v>9</v>
      </c>
      <c r="H45" s="61" t="s">
        <v>139</v>
      </c>
      <c r="I45" s="61" t="s">
        <v>9</v>
      </c>
      <c r="J45" s="61" t="s">
        <v>105</v>
      </c>
      <c r="K45" s="61" t="s">
        <v>106</v>
      </c>
      <c r="L45" s="61" t="s">
        <v>6</v>
      </c>
      <c r="M45" s="61" t="s">
        <v>107</v>
      </c>
      <c r="N45" s="79"/>
      <c r="O45" s="79">
        <v>23</v>
      </c>
      <c r="P45" s="79">
        <v>23</v>
      </c>
      <c r="Q45" s="63">
        <v>0</v>
      </c>
      <c r="R45" s="57" t="s">
        <v>108</v>
      </c>
      <c r="T45" s="57" t="s">
        <v>242</v>
      </c>
      <c r="U45" s="57" t="s">
        <v>242</v>
      </c>
    </row>
    <row r="46" spans="1:21" s="57" customFormat="1" x14ac:dyDescent="0.2">
      <c r="A46" s="79">
        <v>2017</v>
      </c>
      <c r="B46" s="61" t="s">
        <v>385</v>
      </c>
      <c r="C46" s="61">
        <v>20904</v>
      </c>
      <c r="D46" s="62">
        <v>34</v>
      </c>
      <c r="E46" s="89">
        <v>42970</v>
      </c>
      <c r="F46" s="61" t="s">
        <v>103</v>
      </c>
      <c r="G46" s="61" t="s">
        <v>47</v>
      </c>
      <c r="H46" s="61" t="s">
        <v>133</v>
      </c>
      <c r="I46" s="61" t="s">
        <v>60</v>
      </c>
      <c r="J46" s="61" t="s">
        <v>112</v>
      </c>
      <c r="K46" s="61" t="s">
        <v>106</v>
      </c>
      <c r="L46" s="61" t="s">
        <v>5</v>
      </c>
      <c r="M46" s="61" t="s">
        <v>107</v>
      </c>
      <c r="N46" s="79">
        <v>50</v>
      </c>
      <c r="O46" s="79"/>
      <c r="P46" s="79">
        <v>50</v>
      </c>
      <c r="Q46" s="63">
        <v>0</v>
      </c>
      <c r="R46" s="57" t="s">
        <v>108</v>
      </c>
      <c r="T46" s="57" t="s">
        <v>241</v>
      </c>
      <c r="U46" s="57" t="s">
        <v>247</v>
      </c>
    </row>
    <row r="47" spans="1:21" s="57" customFormat="1" x14ac:dyDescent="0.2">
      <c r="A47" s="86">
        <v>2017</v>
      </c>
      <c r="B47" s="73" t="s">
        <v>386</v>
      </c>
      <c r="C47" s="73">
        <v>20905</v>
      </c>
      <c r="D47" s="87">
        <v>34</v>
      </c>
      <c r="E47" s="75">
        <v>42970</v>
      </c>
      <c r="F47" s="73" t="s">
        <v>103</v>
      </c>
      <c r="G47" s="73" t="s">
        <v>47</v>
      </c>
      <c r="H47" s="73" t="s">
        <v>133</v>
      </c>
      <c r="I47" s="73" t="s">
        <v>60</v>
      </c>
      <c r="J47" s="73" t="s">
        <v>112</v>
      </c>
      <c r="K47" s="73" t="s">
        <v>106</v>
      </c>
      <c r="L47" s="73" t="s">
        <v>5</v>
      </c>
      <c r="M47" s="73" t="s">
        <v>107</v>
      </c>
      <c r="N47" s="86">
        <v>19</v>
      </c>
      <c r="O47" s="86"/>
      <c r="P47" s="86">
        <v>19</v>
      </c>
      <c r="Q47" s="74">
        <v>1</v>
      </c>
      <c r="R47" s="72" t="s">
        <v>266</v>
      </c>
      <c r="S47" s="72"/>
      <c r="T47" s="72" t="s">
        <v>241</v>
      </c>
      <c r="U47" s="72" t="s">
        <v>247</v>
      </c>
    </row>
    <row r="48" spans="1:21" s="57" customFormat="1" x14ac:dyDescent="0.2">
      <c r="A48" s="86">
        <v>2017</v>
      </c>
      <c r="B48" s="73" t="s">
        <v>387</v>
      </c>
      <c r="C48" s="73">
        <v>20906</v>
      </c>
      <c r="D48" s="87">
        <v>34</v>
      </c>
      <c r="E48" s="75">
        <v>42970</v>
      </c>
      <c r="F48" s="73" t="s">
        <v>103</v>
      </c>
      <c r="G48" s="73" t="s">
        <v>259</v>
      </c>
      <c r="H48" s="73" t="s">
        <v>257</v>
      </c>
      <c r="I48" s="72" t="s">
        <v>259</v>
      </c>
      <c r="J48" s="73" t="s">
        <v>105</v>
      </c>
      <c r="K48" s="73" t="s">
        <v>106</v>
      </c>
      <c r="L48" s="73" t="s">
        <v>6</v>
      </c>
      <c r="M48" s="73" t="s">
        <v>107</v>
      </c>
      <c r="N48" s="86"/>
      <c r="O48" s="86">
        <v>35</v>
      </c>
      <c r="P48" s="86">
        <v>35</v>
      </c>
      <c r="Q48" s="74">
        <v>1</v>
      </c>
      <c r="R48" s="72" t="s">
        <v>266</v>
      </c>
      <c r="S48" s="72"/>
      <c r="T48" s="72" t="s">
        <v>260</v>
      </c>
      <c r="U48" s="72" t="s">
        <v>260</v>
      </c>
    </row>
    <row r="49" spans="1:21" s="57" customFormat="1" x14ac:dyDescent="0.2">
      <c r="A49" s="79">
        <v>2017</v>
      </c>
      <c r="B49" s="61" t="s">
        <v>388</v>
      </c>
      <c r="C49" s="61">
        <v>20907</v>
      </c>
      <c r="D49" s="62">
        <v>34</v>
      </c>
      <c r="E49" s="89">
        <v>42970</v>
      </c>
      <c r="F49" s="61" t="s">
        <v>103</v>
      </c>
      <c r="G49" s="61" t="s">
        <v>259</v>
      </c>
      <c r="H49" s="61" t="s">
        <v>257</v>
      </c>
      <c r="I49" s="57" t="s">
        <v>259</v>
      </c>
      <c r="J49" s="61" t="s">
        <v>105</v>
      </c>
      <c r="K49" s="61" t="s">
        <v>106</v>
      </c>
      <c r="L49" s="61" t="s">
        <v>5</v>
      </c>
      <c r="M49" s="61" t="s">
        <v>107</v>
      </c>
      <c r="N49" s="79"/>
      <c r="O49" s="79">
        <v>20</v>
      </c>
      <c r="P49" s="79">
        <v>20</v>
      </c>
      <c r="Q49" s="63">
        <v>0</v>
      </c>
      <c r="R49" s="57" t="s">
        <v>108</v>
      </c>
      <c r="T49" s="57" t="s">
        <v>267</v>
      </c>
      <c r="U49" s="57" t="s">
        <v>267</v>
      </c>
    </row>
    <row r="50" spans="1:21" s="57" customFormat="1" x14ac:dyDescent="0.2">
      <c r="A50" s="86">
        <v>2017</v>
      </c>
      <c r="B50" s="73" t="s">
        <v>389</v>
      </c>
      <c r="C50" s="73">
        <v>20908</v>
      </c>
      <c r="D50" s="87">
        <v>34</v>
      </c>
      <c r="E50" s="75">
        <v>42970</v>
      </c>
      <c r="F50" s="73" t="s">
        <v>103</v>
      </c>
      <c r="G50" s="73" t="s">
        <v>259</v>
      </c>
      <c r="H50" s="73" t="s">
        <v>177</v>
      </c>
      <c r="I50" s="72" t="s">
        <v>259</v>
      </c>
      <c r="J50" s="73" t="s">
        <v>105</v>
      </c>
      <c r="K50" s="73" t="s">
        <v>106</v>
      </c>
      <c r="L50" s="73" t="s">
        <v>6</v>
      </c>
      <c r="M50" s="73" t="s">
        <v>107</v>
      </c>
      <c r="N50" s="86"/>
      <c r="O50" s="86">
        <v>35</v>
      </c>
      <c r="P50" s="86">
        <v>35</v>
      </c>
      <c r="Q50" s="74">
        <v>1</v>
      </c>
      <c r="R50" s="72" t="s">
        <v>266</v>
      </c>
      <c r="S50" s="72"/>
      <c r="T50" s="72" t="s">
        <v>260</v>
      </c>
      <c r="U50" s="72" t="s">
        <v>260</v>
      </c>
    </row>
    <row r="51" spans="1:21" s="57" customFormat="1" x14ac:dyDescent="0.2">
      <c r="A51" s="83">
        <v>2017</v>
      </c>
      <c r="B51" s="57" t="s">
        <v>390</v>
      </c>
      <c r="C51" s="61">
        <v>20909</v>
      </c>
      <c r="D51" s="63">
        <v>34</v>
      </c>
      <c r="E51" s="89">
        <v>42970</v>
      </c>
      <c r="F51" s="57" t="s">
        <v>103</v>
      </c>
      <c r="G51" s="61" t="s">
        <v>259</v>
      </c>
      <c r="H51" s="57" t="s">
        <v>177</v>
      </c>
      <c r="I51" s="57" t="s">
        <v>259</v>
      </c>
      <c r="J51" s="57" t="s">
        <v>105</v>
      </c>
      <c r="K51" s="57" t="s">
        <v>106</v>
      </c>
      <c r="L51" s="57" t="s">
        <v>5</v>
      </c>
      <c r="M51" s="57" t="s">
        <v>107</v>
      </c>
      <c r="N51" s="80"/>
      <c r="O51" s="80">
        <v>7</v>
      </c>
      <c r="P51" s="80">
        <v>7</v>
      </c>
      <c r="Q51" s="63">
        <v>0</v>
      </c>
      <c r="R51" s="57" t="s">
        <v>108</v>
      </c>
      <c r="T51" s="57" t="s">
        <v>267</v>
      </c>
      <c r="U51" s="57" t="s">
        <v>267</v>
      </c>
    </row>
    <row r="52" spans="1:21" s="57" customFormat="1" x14ac:dyDescent="0.2">
      <c r="A52" s="83">
        <v>2017</v>
      </c>
      <c r="B52" s="57" t="s">
        <v>391</v>
      </c>
      <c r="C52" s="61">
        <v>20910</v>
      </c>
      <c r="D52" s="63">
        <v>34</v>
      </c>
      <c r="E52" s="89">
        <v>42970</v>
      </c>
      <c r="F52" s="57" t="s">
        <v>103</v>
      </c>
      <c r="G52" s="61" t="s">
        <v>47</v>
      </c>
      <c r="H52" s="57" t="s">
        <v>132</v>
      </c>
      <c r="I52" s="57" t="s">
        <v>60</v>
      </c>
      <c r="J52" s="57" t="s">
        <v>105</v>
      </c>
      <c r="K52" s="57" t="s">
        <v>106</v>
      </c>
      <c r="L52" s="57" t="s">
        <v>6</v>
      </c>
      <c r="M52" s="57" t="s">
        <v>107</v>
      </c>
      <c r="N52" s="80"/>
      <c r="O52" s="80">
        <v>6</v>
      </c>
      <c r="P52" s="80">
        <v>6</v>
      </c>
      <c r="Q52" s="63">
        <v>0</v>
      </c>
      <c r="R52" s="57" t="s">
        <v>108</v>
      </c>
      <c r="T52" s="57" t="s">
        <v>240</v>
      </c>
      <c r="U52" s="57" t="s">
        <v>246</v>
      </c>
    </row>
    <row r="53" spans="1:21" s="57" customFormat="1" x14ac:dyDescent="0.2">
      <c r="A53" s="83">
        <v>2017</v>
      </c>
      <c r="B53" s="57" t="s">
        <v>392</v>
      </c>
      <c r="C53" s="61">
        <v>20911</v>
      </c>
      <c r="D53" s="63">
        <v>34</v>
      </c>
      <c r="E53" s="89">
        <v>42970</v>
      </c>
      <c r="F53" s="57" t="s">
        <v>103</v>
      </c>
      <c r="G53" s="61" t="s">
        <v>47</v>
      </c>
      <c r="H53" s="57" t="s">
        <v>132</v>
      </c>
      <c r="I53" s="57" t="s">
        <v>60</v>
      </c>
      <c r="J53" s="57" t="s">
        <v>105</v>
      </c>
      <c r="K53" s="57" t="s">
        <v>106</v>
      </c>
      <c r="L53" s="57" t="s">
        <v>5</v>
      </c>
      <c r="M53" s="57" t="s">
        <v>107</v>
      </c>
      <c r="N53" s="80"/>
      <c r="O53" s="80">
        <v>9</v>
      </c>
      <c r="P53" s="80">
        <v>9</v>
      </c>
      <c r="Q53" s="63">
        <v>0</v>
      </c>
      <c r="R53" s="57" t="s">
        <v>108</v>
      </c>
      <c r="T53" s="57" t="s">
        <v>241</v>
      </c>
      <c r="U53" s="57" t="s">
        <v>247</v>
      </c>
    </row>
    <row r="54" spans="1:21" s="57" customFormat="1" x14ac:dyDescent="0.2">
      <c r="A54" s="83">
        <v>2017</v>
      </c>
      <c r="B54" s="57" t="s">
        <v>393</v>
      </c>
      <c r="C54" s="61">
        <v>20912</v>
      </c>
      <c r="D54" s="63">
        <v>34</v>
      </c>
      <c r="E54" s="89">
        <v>42970</v>
      </c>
      <c r="F54" s="57" t="s">
        <v>103</v>
      </c>
      <c r="G54" s="61" t="s">
        <v>47</v>
      </c>
      <c r="H54" s="57" t="s">
        <v>122</v>
      </c>
      <c r="I54" s="61" t="s">
        <v>60</v>
      </c>
      <c r="J54" s="57" t="s">
        <v>105</v>
      </c>
      <c r="K54" s="57" t="s">
        <v>106</v>
      </c>
      <c r="L54" s="57" t="s">
        <v>6</v>
      </c>
      <c r="M54" s="57" t="s">
        <v>107</v>
      </c>
      <c r="N54" s="80"/>
      <c r="O54" s="80">
        <v>2</v>
      </c>
      <c r="P54" s="80">
        <v>2</v>
      </c>
      <c r="Q54" s="63">
        <v>0</v>
      </c>
      <c r="R54" s="57" t="s">
        <v>108</v>
      </c>
      <c r="T54" s="57" t="s">
        <v>240</v>
      </c>
      <c r="U54" s="57" t="s">
        <v>246</v>
      </c>
    </row>
    <row r="55" spans="1:21" s="57" customFormat="1" x14ac:dyDescent="0.2">
      <c r="A55" s="83">
        <v>2017</v>
      </c>
      <c r="B55" s="57" t="s">
        <v>394</v>
      </c>
      <c r="C55" s="61">
        <v>20913</v>
      </c>
      <c r="D55" s="63">
        <v>34</v>
      </c>
      <c r="E55" s="89">
        <v>42970</v>
      </c>
      <c r="F55" s="57" t="s">
        <v>103</v>
      </c>
      <c r="G55" s="61" t="s">
        <v>47</v>
      </c>
      <c r="H55" s="57" t="s">
        <v>131</v>
      </c>
      <c r="I55" s="61" t="s">
        <v>60</v>
      </c>
      <c r="J55" s="57" t="s">
        <v>105</v>
      </c>
      <c r="K55" s="57" t="s">
        <v>106</v>
      </c>
      <c r="L55" s="57" t="s">
        <v>6</v>
      </c>
      <c r="M55" s="57" t="s">
        <v>107</v>
      </c>
      <c r="N55" s="80"/>
      <c r="O55" s="80">
        <v>8</v>
      </c>
      <c r="P55" s="80">
        <v>8</v>
      </c>
      <c r="Q55" s="63">
        <v>0</v>
      </c>
      <c r="R55" s="57" t="s">
        <v>108</v>
      </c>
      <c r="T55" s="57" t="s">
        <v>240</v>
      </c>
      <c r="U55" s="57" t="s">
        <v>246</v>
      </c>
    </row>
    <row r="56" spans="1:21" s="57" customFormat="1" x14ac:dyDescent="0.2">
      <c r="A56" s="83">
        <v>2017</v>
      </c>
      <c r="B56" s="57" t="s">
        <v>395</v>
      </c>
      <c r="C56" s="61">
        <v>20914</v>
      </c>
      <c r="D56" s="63">
        <v>34</v>
      </c>
      <c r="E56" s="89">
        <v>42970</v>
      </c>
      <c r="F56" s="57" t="s">
        <v>103</v>
      </c>
      <c r="G56" s="61" t="s">
        <v>47</v>
      </c>
      <c r="H56" s="57" t="s">
        <v>124</v>
      </c>
      <c r="I56" s="61" t="s">
        <v>60</v>
      </c>
      <c r="J56" s="57" t="s">
        <v>105</v>
      </c>
      <c r="K56" s="57" t="s">
        <v>106</v>
      </c>
      <c r="L56" s="57" t="s">
        <v>6</v>
      </c>
      <c r="M56" s="57" t="s">
        <v>107</v>
      </c>
      <c r="N56" s="80"/>
      <c r="O56" s="80">
        <v>5</v>
      </c>
      <c r="P56" s="80">
        <v>5</v>
      </c>
      <c r="Q56" s="63">
        <v>0</v>
      </c>
      <c r="R56" s="57" t="s">
        <v>108</v>
      </c>
      <c r="T56" s="57" t="s">
        <v>240</v>
      </c>
      <c r="U56" s="57" t="s">
        <v>246</v>
      </c>
    </row>
    <row r="57" spans="1:21" s="57" customFormat="1" x14ac:dyDescent="0.2">
      <c r="A57" s="83">
        <v>2017</v>
      </c>
      <c r="B57" s="57" t="s">
        <v>396</v>
      </c>
      <c r="C57" s="61">
        <v>20915</v>
      </c>
      <c r="D57" s="63">
        <v>34</v>
      </c>
      <c r="E57" s="89">
        <v>42970</v>
      </c>
      <c r="F57" s="57" t="s">
        <v>103</v>
      </c>
      <c r="G57" s="61" t="s">
        <v>47</v>
      </c>
      <c r="H57" s="57" t="s">
        <v>130</v>
      </c>
      <c r="I57" s="61" t="s">
        <v>60</v>
      </c>
      <c r="J57" s="57" t="s">
        <v>105</v>
      </c>
      <c r="K57" s="57" t="s">
        <v>106</v>
      </c>
      <c r="L57" s="57" t="s">
        <v>6</v>
      </c>
      <c r="M57" s="57" t="s">
        <v>107</v>
      </c>
      <c r="N57" s="80"/>
      <c r="O57" s="80">
        <v>5</v>
      </c>
      <c r="P57" s="80">
        <v>5</v>
      </c>
      <c r="Q57" s="63">
        <v>0</v>
      </c>
      <c r="R57" s="57" t="s">
        <v>108</v>
      </c>
      <c r="T57" s="57" t="s">
        <v>240</v>
      </c>
      <c r="U57" s="57" t="s">
        <v>246</v>
      </c>
    </row>
    <row r="58" spans="1:21" s="57" customFormat="1" x14ac:dyDescent="0.2">
      <c r="A58" s="83">
        <v>2017</v>
      </c>
      <c r="B58" s="57" t="s">
        <v>397</v>
      </c>
      <c r="C58" s="61">
        <v>20916</v>
      </c>
      <c r="D58" s="63">
        <v>34</v>
      </c>
      <c r="E58" s="89">
        <v>42970</v>
      </c>
      <c r="F58" s="57" t="s">
        <v>103</v>
      </c>
      <c r="G58" s="61" t="s">
        <v>47</v>
      </c>
      <c r="H58" s="57" t="s">
        <v>125</v>
      </c>
      <c r="I58" s="61" t="s">
        <v>60</v>
      </c>
      <c r="J58" s="57" t="s">
        <v>105</v>
      </c>
      <c r="K58" s="57" t="s">
        <v>106</v>
      </c>
      <c r="L58" s="57" t="s">
        <v>6</v>
      </c>
      <c r="M58" s="57" t="s">
        <v>107</v>
      </c>
      <c r="N58" s="80"/>
      <c r="O58" s="80">
        <v>6</v>
      </c>
      <c r="P58" s="80">
        <v>6</v>
      </c>
      <c r="Q58" s="63">
        <v>0</v>
      </c>
      <c r="R58" s="57" t="s">
        <v>108</v>
      </c>
      <c r="T58" s="57" t="s">
        <v>240</v>
      </c>
      <c r="U58" s="57" t="s">
        <v>246</v>
      </c>
    </row>
    <row r="59" spans="1:21" s="57" customFormat="1" x14ac:dyDescent="0.2">
      <c r="A59" s="83">
        <v>2017</v>
      </c>
      <c r="B59" s="57" t="s">
        <v>398</v>
      </c>
      <c r="C59" s="61">
        <v>20917</v>
      </c>
      <c r="D59" s="63">
        <v>34</v>
      </c>
      <c r="E59" s="89">
        <v>42970</v>
      </c>
      <c r="F59" s="57" t="s">
        <v>103</v>
      </c>
      <c r="G59" s="61" t="s">
        <v>47</v>
      </c>
      <c r="H59" s="57" t="s">
        <v>125</v>
      </c>
      <c r="I59" s="61" t="s">
        <v>60</v>
      </c>
      <c r="J59" s="57" t="s">
        <v>105</v>
      </c>
      <c r="K59" s="57" t="s">
        <v>106</v>
      </c>
      <c r="L59" s="57" t="s">
        <v>5</v>
      </c>
      <c r="M59" s="57" t="s">
        <v>107</v>
      </c>
      <c r="N59" s="80"/>
      <c r="O59" s="80">
        <v>3</v>
      </c>
      <c r="P59" s="80">
        <v>3</v>
      </c>
      <c r="Q59" s="63">
        <v>0</v>
      </c>
      <c r="R59" s="57" t="s">
        <v>108</v>
      </c>
      <c r="T59" s="57" t="s">
        <v>241</v>
      </c>
      <c r="U59" s="57" t="s">
        <v>247</v>
      </c>
    </row>
    <row r="60" spans="1:21" s="57" customFormat="1" x14ac:dyDescent="0.2">
      <c r="A60" s="83">
        <v>2017</v>
      </c>
      <c r="B60" s="57" t="s">
        <v>399</v>
      </c>
      <c r="C60" s="61">
        <v>20918</v>
      </c>
      <c r="D60" s="63">
        <v>34</v>
      </c>
      <c r="E60" s="89">
        <v>42970</v>
      </c>
      <c r="F60" s="57" t="s">
        <v>103</v>
      </c>
      <c r="G60" s="61" t="s">
        <v>47</v>
      </c>
      <c r="H60" s="57" t="s">
        <v>128</v>
      </c>
      <c r="I60" s="61" t="s">
        <v>60</v>
      </c>
      <c r="J60" s="57" t="s">
        <v>105</v>
      </c>
      <c r="K60" s="57" t="s">
        <v>106</v>
      </c>
      <c r="L60" s="57" t="s">
        <v>6</v>
      </c>
      <c r="M60" s="57" t="s">
        <v>107</v>
      </c>
      <c r="N60" s="80"/>
      <c r="O60" s="80">
        <v>17</v>
      </c>
      <c r="P60" s="80">
        <v>17</v>
      </c>
      <c r="Q60" s="63">
        <v>0</v>
      </c>
      <c r="R60" s="57" t="s">
        <v>108</v>
      </c>
      <c r="T60" s="57" t="s">
        <v>240</v>
      </c>
      <c r="U60" s="57" t="s">
        <v>246</v>
      </c>
    </row>
    <row r="61" spans="1:21" s="57" customFormat="1" x14ac:dyDescent="0.2">
      <c r="A61" s="83">
        <v>2017</v>
      </c>
      <c r="B61" s="57" t="s">
        <v>400</v>
      </c>
      <c r="C61" s="61">
        <v>20919</v>
      </c>
      <c r="D61" s="63">
        <v>34</v>
      </c>
      <c r="E61" s="89">
        <v>42970</v>
      </c>
      <c r="F61" s="57" t="s">
        <v>103</v>
      </c>
      <c r="G61" s="61" t="s">
        <v>47</v>
      </c>
      <c r="H61" s="57" t="s">
        <v>128</v>
      </c>
      <c r="I61" s="61" t="s">
        <v>60</v>
      </c>
      <c r="J61" s="57" t="s">
        <v>105</v>
      </c>
      <c r="K61" s="57" t="s">
        <v>106</v>
      </c>
      <c r="L61" s="57" t="s">
        <v>5</v>
      </c>
      <c r="M61" s="57" t="s">
        <v>107</v>
      </c>
      <c r="N61" s="80"/>
      <c r="O61" s="80">
        <v>14</v>
      </c>
      <c r="P61" s="80">
        <v>14</v>
      </c>
      <c r="Q61" s="63">
        <v>0</v>
      </c>
      <c r="R61" s="57" t="s">
        <v>108</v>
      </c>
      <c r="T61" s="57" t="s">
        <v>241</v>
      </c>
      <c r="U61" s="57" t="s">
        <v>247</v>
      </c>
    </row>
    <row r="62" spans="1:21" s="57" customFormat="1" x14ac:dyDescent="0.2">
      <c r="A62" s="132">
        <v>2017</v>
      </c>
      <c r="B62" s="72" t="s">
        <v>401</v>
      </c>
      <c r="C62" s="73">
        <v>20920</v>
      </c>
      <c r="D62" s="74">
        <v>34</v>
      </c>
      <c r="E62" s="75">
        <v>42970</v>
      </c>
      <c r="F62" s="72" t="s">
        <v>103</v>
      </c>
      <c r="G62" s="73" t="s">
        <v>47</v>
      </c>
      <c r="H62" s="72" t="s">
        <v>127</v>
      </c>
      <c r="I62" s="73" t="s">
        <v>60</v>
      </c>
      <c r="J62" s="72" t="s">
        <v>105</v>
      </c>
      <c r="K62" s="72" t="s">
        <v>106</v>
      </c>
      <c r="L62" s="72" t="s">
        <v>6</v>
      </c>
      <c r="M62" s="72" t="s">
        <v>107</v>
      </c>
      <c r="N62" s="133"/>
      <c r="O62" s="133">
        <v>7</v>
      </c>
      <c r="P62" s="133">
        <v>7</v>
      </c>
      <c r="Q62" s="74">
        <v>1</v>
      </c>
      <c r="R62" s="72" t="s">
        <v>266</v>
      </c>
      <c r="S62" s="72"/>
      <c r="T62" s="72" t="s">
        <v>240</v>
      </c>
      <c r="U62" s="72" t="s">
        <v>246</v>
      </c>
    </row>
    <row r="63" spans="1:21" s="57" customFormat="1" x14ac:dyDescent="0.2">
      <c r="A63" s="83">
        <v>2017</v>
      </c>
      <c r="B63" s="57" t="s">
        <v>402</v>
      </c>
      <c r="C63" s="61">
        <v>20921</v>
      </c>
      <c r="D63" s="63">
        <v>34</v>
      </c>
      <c r="E63" s="89">
        <v>42970</v>
      </c>
      <c r="F63" s="57" t="s">
        <v>103</v>
      </c>
      <c r="G63" s="61" t="s">
        <v>47</v>
      </c>
      <c r="H63" s="57" t="s">
        <v>127</v>
      </c>
      <c r="I63" s="61" t="s">
        <v>60</v>
      </c>
      <c r="J63" s="57" t="s">
        <v>105</v>
      </c>
      <c r="K63" s="57" t="s">
        <v>106</v>
      </c>
      <c r="L63" s="57" t="s">
        <v>5</v>
      </c>
      <c r="M63" s="57" t="s">
        <v>107</v>
      </c>
      <c r="N63" s="80"/>
      <c r="O63" s="80">
        <v>3</v>
      </c>
      <c r="P63" s="80">
        <v>3</v>
      </c>
      <c r="Q63" s="63">
        <v>0</v>
      </c>
      <c r="R63" s="57" t="s">
        <v>108</v>
      </c>
      <c r="T63" s="57" t="s">
        <v>241</v>
      </c>
      <c r="U63" s="57" t="s">
        <v>247</v>
      </c>
    </row>
    <row r="64" spans="1:21" s="57" customFormat="1" x14ac:dyDescent="0.2">
      <c r="A64" s="83">
        <v>2017</v>
      </c>
      <c r="B64" s="57" t="s">
        <v>403</v>
      </c>
      <c r="C64" s="61">
        <v>20922</v>
      </c>
      <c r="D64" s="63">
        <v>34</v>
      </c>
      <c r="E64" s="89">
        <v>42970</v>
      </c>
      <c r="F64" s="57" t="s">
        <v>103</v>
      </c>
      <c r="G64" s="61" t="s">
        <v>47</v>
      </c>
      <c r="H64" s="57" t="s">
        <v>149</v>
      </c>
      <c r="I64" s="61" t="s">
        <v>61</v>
      </c>
      <c r="J64" s="57" t="s">
        <v>105</v>
      </c>
      <c r="K64" s="57" t="s">
        <v>106</v>
      </c>
      <c r="L64" s="57" t="s">
        <v>5</v>
      </c>
      <c r="M64" s="57" t="s">
        <v>107</v>
      </c>
      <c r="N64" s="80"/>
      <c r="O64" s="80">
        <v>4</v>
      </c>
      <c r="P64" s="80">
        <v>4</v>
      </c>
      <c r="Q64" s="63">
        <v>0</v>
      </c>
      <c r="R64" s="57" t="s">
        <v>108</v>
      </c>
      <c r="T64" s="57" t="s">
        <v>241</v>
      </c>
      <c r="U64" s="57" t="s">
        <v>245</v>
      </c>
    </row>
    <row r="65" spans="1:21" s="57" customFormat="1" x14ac:dyDescent="0.2">
      <c r="A65" s="83">
        <v>2017</v>
      </c>
      <c r="B65" s="57" t="s">
        <v>404</v>
      </c>
      <c r="C65" s="61">
        <v>20923</v>
      </c>
      <c r="D65" s="63">
        <v>34</v>
      </c>
      <c r="E65" s="89">
        <v>42970</v>
      </c>
      <c r="F65" s="57" t="s">
        <v>103</v>
      </c>
      <c r="G65" s="61" t="s">
        <v>47</v>
      </c>
      <c r="H65" s="57" t="s">
        <v>150</v>
      </c>
      <c r="I65" s="61" t="s">
        <v>61</v>
      </c>
      <c r="J65" s="57" t="s">
        <v>105</v>
      </c>
      <c r="K65" s="57" t="s">
        <v>106</v>
      </c>
      <c r="L65" s="57" t="s">
        <v>6</v>
      </c>
      <c r="M65" s="57" t="s">
        <v>107</v>
      </c>
      <c r="N65" s="80"/>
      <c r="O65" s="80">
        <v>3</v>
      </c>
      <c r="P65" s="80">
        <v>3</v>
      </c>
      <c r="Q65" s="63">
        <v>0</v>
      </c>
      <c r="R65" s="57" t="s">
        <v>108</v>
      </c>
      <c r="T65" s="57" t="s">
        <v>240</v>
      </c>
      <c r="U65" s="57" t="s">
        <v>244</v>
      </c>
    </row>
    <row r="66" spans="1:21" s="57" customFormat="1" x14ac:dyDescent="0.2">
      <c r="A66" s="83">
        <v>2017</v>
      </c>
      <c r="B66" s="57" t="s">
        <v>405</v>
      </c>
      <c r="C66" s="61">
        <v>20924</v>
      </c>
      <c r="D66" s="63">
        <v>34</v>
      </c>
      <c r="E66" s="89">
        <v>42970</v>
      </c>
      <c r="F66" s="57" t="s">
        <v>103</v>
      </c>
      <c r="G66" s="61" t="s">
        <v>47</v>
      </c>
      <c r="H66" s="57" t="s">
        <v>141</v>
      </c>
      <c r="I66" s="61" t="s">
        <v>61</v>
      </c>
      <c r="J66" s="57" t="s">
        <v>105</v>
      </c>
      <c r="K66" s="57" t="s">
        <v>106</v>
      </c>
      <c r="L66" s="57" t="s">
        <v>6</v>
      </c>
      <c r="M66" s="57" t="s">
        <v>107</v>
      </c>
      <c r="N66" s="80"/>
      <c r="O66" s="80">
        <v>2</v>
      </c>
      <c r="P66" s="80">
        <v>2</v>
      </c>
      <c r="Q66" s="63">
        <v>0</v>
      </c>
      <c r="R66" s="57" t="s">
        <v>108</v>
      </c>
      <c r="T66" s="57" t="s">
        <v>240</v>
      </c>
      <c r="U66" s="57" t="s">
        <v>244</v>
      </c>
    </row>
    <row r="67" spans="1:21" s="57" customFormat="1" x14ac:dyDescent="0.2">
      <c r="A67" s="83">
        <v>2017</v>
      </c>
      <c r="B67" s="57" t="s">
        <v>406</v>
      </c>
      <c r="C67" s="61">
        <v>20925</v>
      </c>
      <c r="D67" s="63">
        <v>34</v>
      </c>
      <c r="E67" s="89">
        <v>42970</v>
      </c>
      <c r="F67" s="57" t="s">
        <v>103</v>
      </c>
      <c r="G67" s="61" t="s">
        <v>47</v>
      </c>
      <c r="H67" s="57" t="s">
        <v>148</v>
      </c>
      <c r="I67" s="61" t="s">
        <v>58</v>
      </c>
      <c r="J67" s="57" t="s">
        <v>105</v>
      </c>
      <c r="K67" s="57" t="s">
        <v>106</v>
      </c>
      <c r="L67" s="57" t="s">
        <v>6</v>
      </c>
      <c r="M67" s="57" t="s">
        <v>107</v>
      </c>
      <c r="N67" s="80"/>
      <c r="O67" s="80">
        <v>6</v>
      </c>
      <c r="P67" s="80">
        <v>6</v>
      </c>
      <c r="Q67" s="63">
        <v>0</v>
      </c>
      <c r="R67" s="57" t="s">
        <v>108</v>
      </c>
      <c r="T67" s="57" t="s">
        <v>240</v>
      </c>
      <c r="U67" s="57" t="s">
        <v>249</v>
      </c>
    </row>
    <row r="68" spans="1:21" s="57" customFormat="1" x14ac:dyDescent="0.2">
      <c r="A68" s="83">
        <v>2017</v>
      </c>
      <c r="B68" s="57" t="s">
        <v>407</v>
      </c>
      <c r="C68" s="61">
        <v>20926</v>
      </c>
      <c r="D68" s="63">
        <v>34</v>
      </c>
      <c r="E68" s="89">
        <v>42970</v>
      </c>
      <c r="F68" s="57" t="s">
        <v>103</v>
      </c>
      <c r="G68" s="61" t="s">
        <v>47</v>
      </c>
      <c r="H68" s="57" t="s">
        <v>148</v>
      </c>
      <c r="I68" s="61" t="s">
        <v>58</v>
      </c>
      <c r="J68" s="57" t="s">
        <v>105</v>
      </c>
      <c r="K68" s="57" t="s">
        <v>106</v>
      </c>
      <c r="L68" s="57" t="s">
        <v>5</v>
      </c>
      <c r="M68" s="57" t="s">
        <v>107</v>
      </c>
      <c r="N68" s="80"/>
      <c r="O68" s="80">
        <v>3</v>
      </c>
      <c r="P68" s="80">
        <v>3</v>
      </c>
      <c r="Q68" s="63">
        <v>0</v>
      </c>
      <c r="R68" s="57" t="s">
        <v>108</v>
      </c>
      <c r="T68" s="57" t="s">
        <v>241</v>
      </c>
      <c r="U68" s="57" t="s">
        <v>248</v>
      </c>
    </row>
    <row r="69" spans="1:21" s="57" customFormat="1" x14ac:dyDescent="0.2">
      <c r="A69" s="83">
        <v>2017</v>
      </c>
      <c r="B69" s="57" t="s">
        <v>408</v>
      </c>
      <c r="C69" s="61">
        <v>20927</v>
      </c>
      <c r="D69" s="63">
        <v>34</v>
      </c>
      <c r="E69" s="89">
        <v>42970</v>
      </c>
      <c r="F69" s="57" t="s">
        <v>103</v>
      </c>
      <c r="G69" s="61" t="s">
        <v>47</v>
      </c>
      <c r="H69" s="57" t="s">
        <v>153</v>
      </c>
      <c r="I69" s="61" t="s">
        <v>59</v>
      </c>
      <c r="J69" s="57" t="s">
        <v>105</v>
      </c>
      <c r="K69" s="57" t="s">
        <v>106</v>
      </c>
      <c r="L69" s="57" t="s">
        <v>6</v>
      </c>
      <c r="M69" s="57" t="s">
        <v>107</v>
      </c>
      <c r="N69" s="80"/>
      <c r="O69" s="80">
        <v>25</v>
      </c>
      <c r="P69" s="80">
        <v>25</v>
      </c>
      <c r="Q69" s="63">
        <v>0</v>
      </c>
      <c r="R69" s="57" t="s">
        <v>108</v>
      </c>
      <c r="T69" s="57" t="s">
        <v>240</v>
      </c>
      <c r="U69" s="57" t="s">
        <v>251</v>
      </c>
    </row>
    <row r="70" spans="1:21" s="57" customFormat="1" x14ac:dyDescent="0.2">
      <c r="A70" s="83">
        <v>2017</v>
      </c>
      <c r="B70" s="57" t="s">
        <v>409</v>
      </c>
      <c r="C70" s="61">
        <v>20928</v>
      </c>
      <c r="D70" s="63">
        <v>34</v>
      </c>
      <c r="E70" s="89">
        <v>42970</v>
      </c>
      <c r="F70" s="57" t="s">
        <v>103</v>
      </c>
      <c r="G70" s="61" t="s">
        <v>47</v>
      </c>
      <c r="H70" s="57" t="s">
        <v>153</v>
      </c>
      <c r="I70" s="61" t="s">
        <v>59</v>
      </c>
      <c r="J70" s="57" t="s">
        <v>105</v>
      </c>
      <c r="K70" s="57" t="s">
        <v>106</v>
      </c>
      <c r="L70" s="57" t="s">
        <v>5</v>
      </c>
      <c r="M70" s="57" t="s">
        <v>107</v>
      </c>
      <c r="N70" s="80"/>
      <c r="O70" s="80">
        <v>30</v>
      </c>
      <c r="P70" s="80">
        <v>30</v>
      </c>
      <c r="Q70" s="63">
        <v>0</v>
      </c>
      <c r="R70" s="57" t="s">
        <v>108</v>
      </c>
      <c r="T70" s="57" t="s">
        <v>241</v>
      </c>
      <c r="U70" s="57" t="s">
        <v>250</v>
      </c>
    </row>
    <row r="71" spans="1:21" s="57" customFormat="1" x14ac:dyDescent="0.2">
      <c r="A71" s="80">
        <v>2017</v>
      </c>
      <c r="B71" s="57" t="s">
        <v>410</v>
      </c>
      <c r="C71" s="61">
        <v>20929</v>
      </c>
      <c r="D71" s="63">
        <v>34</v>
      </c>
      <c r="E71" s="89">
        <v>42970</v>
      </c>
      <c r="F71" s="57" t="s">
        <v>103</v>
      </c>
      <c r="G71" s="57" t="s">
        <v>47</v>
      </c>
      <c r="H71" s="57" t="s">
        <v>261</v>
      </c>
      <c r="I71" s="61" t="s">
        <v>58</v>
      </c>
      <c r="J71" s="57" t="s">
        <v>112</v>
      </c>
      <c r="K71" s="57" t="s">
        <v>106</v>
      </c>
      <c r="L71" s="57" t="s">
        <v>5</v>
      </c>
      <c r="M71" s="57" t="s">
        <v>107</v>
      </c>
      <c r="N71" s="80">
        <v>17</v>
      </c>
      <c r="O71" s="80"/>
      <c r="P71" s="80">
        <v>17</v>
      </c>
      <c r="Q71" s="63">
        <v>0</v>
      </c>
      <c r="R71" s="57" t="s">
        <v>108</v>
      </c>
      <c r="T71" s="57" t="s">
        <v>241</v>
      </c>
      <c r="U71" s="57" t="s">
        <v>248</v>
      </c>
    </row>
    <row r="72" spans="1:21" s="57" customFormat="1" x14ac:dyDescent="0.2">
      <c r="A72" s="80">
        <v>2017</v>
      </c>
      <c r="B72" s="57" t="s">
        <v>411</v>
      </c>
      <c r="C72" s="61">
        <v>20930</v>
      </c>
      <c r="D72" s="63">
        <v>34</v>
      </c>
      <c r="E72" s="89">
        <v>42970</v>
      </c>
      <c r="F72" s="57" t="s">
        <v>103</v>
      </c>
      <c r="G72" s="57" t="s">
        <v>47</v>
      </c>
      <c r="H72" s="57" t="s">
        <v>140</v>
      </c>
      <c r="I72" s="61" t="s">
        <v>58</v>
      </c>
      <c r="J72" s="57" t="s">
        <v>105</v>
      </c>
      <c r="K72" s="57" t="s">
        <v>106</v>
      </c>
      <c r="L72" s="57" t="s">
        <v>6</v>
      </c>
      <c r="M72" s="57" t="s">
        <v>107</v>
      </c>
      <c r="N72" s="80"/>
      <c r="O72" s="80">
        <v>7</v>
      </c>
      <c r="P72" s="80">
        <v>7</v>
      </c>
      <c r="Q72" s="63">
        <v>0</v>
      </c>
      <c r="R72" s="57" t="s">
        <v>108</v>
      </c>
      <c r="T72" s="57" t="s">
        <v>240</v>
      </c>
      <c r="U72" s="57" t="s">
        <v>249</v>
      </c>
    </row>
    <row r="73" spans="1:21" s="57" customFormat="1" x14ac:dyDescent="0.2">
      <c r="A73" s="80">
        <v>2017</v>
      </c>
      <c r="B73" s="57" t="s">
        <v>412</v>
      </c>
      <c r="C73" s="61">
        <v>20931</v>
      </c>
      <c r="D73" s="63">
        <v>34</v>
      </c>
      <c r="E73" s="89">
        <v>42970</v>
      </c>
      <c r="F73" s="57" t="s">
        <v>103</v>
      </c>
      <c r="G73" s="57" t="s">
        <v>47</v>
      </c>
      <c r="H73" s="57" t="s">
        <v>147</v>
      </c>
      <c r="I73" s="61" t="s">
        <v>58</v>
      </c>
      <c r="J73" s="57" t="s">
        <v>105</v>
      </c>
      <c r="K73" s="57" t="s">
        <v>106</v>
      </c>
      <c r="L73" s="57" t="s">
        <v>6</v>
      </c>
      <c r="M73" s="57" t="s">
        <v>107</v>
      </c>
      <c r="N73" s="80"/>
      <c r="O73" s="80">
        <v>1</v>
      </c>
      <c r="P73" s="80">
        <v>1</v>
      </c>
      <c r="Q73" s="63">
        <v>0</v>
      </c>
      <c r="R73" s="57" t="s">
        <v>108</v>
      </c>
      <c r="T73" s="57" t="s">
        <v>240</v>
      </c>
      <c r="U73" s="57" t="s">
        <v>249</v>
      </c>
    </row>
    <row r="74" spans="1:21" s="57" customFormat="1" x14ac:dyDescent="0.2">
      <c r="A74" s="80">
        <v>2017</v>
      </c>
      <c r="B74" s="57" t="s">
        <v>413</v>
      </c>
      <c r="C74" s="61">
        <v>20932</v>
      </c>
      <c r="D74" s="63">
        <v>34</v>
      </c>
      <c r="E74" s="89">
        <v>42970</v>
      </c>
      <c r="F74" s="57" t="s">
        <v>103</v>
      </c>
      <c r="G74" s="57" t="s">
        <v>47</v>
      </c>
      <c r="H74" s="57" t="s">
        <v>147</v>
      </c>
      <c r="I74" s="61" t="s">
        <v>58</v>
      </c>
      <c r="J74" s="57" t="s">
        <v>105</v>
      </c>
      <c r="K74" s="57" t="s">
        <v>106</v>
      </c>
      <c r="L74" s="57" t="s">
        <v>5</v>
      </c>
      <c r="M74" s="57" t="s">
        <v>107</v>
      </c>
      <c r="N74" s="80"/>
      <c r="O74" s="80">
        <v>2</v>
      </c>
      <c r="P74" s="80">
        <v>2</v>
      </c>
      <c r="Q74" s="63">
        <v>0</v>
      </c>
      <c r="R74" s="57" t="s">
        <v>108</v>
      </c>
      <c r="T74" s="57" t="s">
        <v>241</v>
      </c>
      <c r="U74" s="57" t="s">
        <v>248</v>
      </c>
    </row>
    <row r="75" spans="1:21" s="57" customFormat="1" x14ac:dyDescent="0.2">
      <c r="A75" s="80">
        <v>2017</v>
      </c>
      <c r="B75" s="57" t="s">
        <v>414</v>
      </c>
      <c r="C75" s="61">
        <v>20933</v>
      </c>
      <c r="D75" s="63">
        <v>34</v>
      </c>
      <c r="E75" s="89">
        <v>42970</v>
      </c>
      <c r="F75" s="57" t="s">
        <v>103</v>
      </c>
      <c r="G75" s="57" t="s">
        <v>47</v>
      </c>
      <c r="H75" s="57" t="s">
        <v>143</v>
      </c>
      <c r="I75" s="61" t="s">
        <v>58</v>
      </c>
      <c r="J75" s="57" t="s">
        <v>105</v>
      </c>
      <c r="K75" s="57" t="s">
        <v>106</v>
      </c>
      <c r="L75" s="57" t="s">
        <v>6</v>
      </c>
      <c r="M75" s="57" t="s">
        <v>107</v>
      </c>
      <c r="N75" s="80"/>
      <c r="O75" s="80">
        <v>5</v>
      </c>
      <c r="P75" s="80">
        <v>5</v>
      </c>
      <c r="Q75" s="63">
        <v>0</v>
      </c>
      <c r="R75" s="57" t="s">
        <v>108</v>
      </c>
      <c r="T75" s="57" t="s">
        <v>240</v>
      </c>
      <c r="U75" s="57" t="s">
        <v>249</v>
      </c>
    </row>
    <row r="76" spans="1:21" s="57" customFormat="1" x14ac:dyDescent="0.2">
      <c r="A76" s="80">
        <v>2017</v>
      </c>
      <c r="B76" s="57" t="s">
        <v>415</v>
      </c>
      <c r="C76" s="61">
        <v>20934</v>
      </c>
      <c r="D76" s="63">
        <v>34</v>
      </c>
      <c r="E76" s="89">
        <v>42970</v>
      </c>
      <c r="F76" s="57" t="s">
        <v>103</v>
      </c>
      <c r="G76" s="57" t="s">
        <v>47</v>
      </c>
      <c r="H76" s="57" t="s">
        <v>416</v>
      </c>
      <c r="I76" s="61" t="s">
        <v>58</v>
      </c>
      <c r="J76" s="57" t="s">
        <v>112</v>
      </c>
      <c r="K76" s="57" t="s">
        <v>106</v>
      </c>
      <c r="L76" s="57" t="s">
        <v>5</v>
      </c>
      <c r="M76" s="57" t="s">
        <v>107</v>
      </c>
      <c r="N76" s="80">
        <v>12</v>
      </c>
      <c r="O76" s="80"/>
      <c r="P76" s="80">
        <v>12</v>
      </c>
      <c r="Q76" s="63">
        <v>0</v>
      </c>
      <c r="R76" s="57" t="s">
        <v>108</v>
      </c>
      <c r="T76" s="57" t="s">
        <v>241</v>
      </c>
      <c r="U76" s="57" t="s">
        <v>248</v>
      </c>
    </row>
    <row r="77" spans="1:21" s="57" customFormat="1" x14ac:dyDescent="0.2">
      <c r="A77" s="80">
        <v>2017</v>
      </c>
      <c r="B77" s="57" t="s">
        <v>417</v>
      </c>
      <c r="C77" s="61">
        <v>20935</v>
      </c>
      <c r="D77" s="63">
        <v>34</v>
      </c>
      <c r="E77" s="89">
        <v>42970</v>
      </c>
      <c r="F77" s="57" t="s">
        <v>103</v>
      </c>
      <c r="G77" s="57" t="s">
        <v>47</v>
      </c>
      <c r="H77" s="57" t="s">
        <v>144</v>
      </c>
      <c r="I77" s="61" t="s">
        <v>58</v>
      </c>
      <c r="J77" s="57" t="s">
        <v>105</v>
      </c>
      <c r="K77" s="57" t="s">
        <v>106</v>
      </c>
      <c r="L77" s="57" t="s">
        <v>6</v>
      </c>
      <c r="M77" s="57" t="s">
        <v>107</v>
      </c>
      <c r="N77" s="80"/>
      <c r="O77" s="80">
        <v>19</v>
      </c>
      <c r="P77" s="80">
        <v>19</v>
      </c>
      <c r="Q77" s="63">
        <v>0</v>
      </c>
      <c r="R77" s="57" t="s">
        <v>108</v>
      </c>
      <c r="T77" s="57" t="s">
        <v>240</v>
      </c>
      <c r="U77" s="57" t="s">
        <v>249</v>
      </c>
    </row>
    <row r="78" spans="1:21" s="57" customFormat="1" x14ac:dyDescent="0.2">
      <c r="A78" s="80">
        <v>2017</v>
      </c>
      <c r="B78" s="57" t="s">
        <v>418</v>
      </c>
      <c r="C78" s="61">
        <v>20936</v>
      </c>
      <c r="D78" s="63">
        <v>34</v>
      </c>
      <c r="E78" s="89">
        <v>42970</v>
      </c>
      <c r="F78" s="57" t="s">
        <v>103</v>
      </c>
      <c r="G78" s="57" t="s">
        <v>47</v>
      </c>
      <c r="H78" s="57" t="s">
        <v>144</v>
      </c>
      <c r="I78" s="61" t="s">
        <v>58</v>
      </c>
      <c r="J78" s="57" t="s">
        <v>105</v>
      </c>
      <c r="K78" s="57" t="s">
        <v>106</v>
      </c>
      <c r="L78" s="57" t="s">
        <v>5</v>
      </c>
      <c r="M78" s="57" t="s">
        <v>107</v>
      </c>
      <c r="N78" s="80"/>
      <c r="O78" s="80">
        <v>8</v>
      </c>
      <c r="P78" s="80">
        <v>8</v>
      </c>
      <c r="Q78" s="63">
        <v>0</v>
      </c>
      <c r="R78" s="57" t="s">
        <v>108</v>
      </c>
      <c r="T78" s="57" t="s">
        <v>241</v>
      </c>
      <c r="U78" s="57" t="s">
        <v>248</v>
      </c>
    </row>
    <row r="79" spans="1:21" s="57" customFormat="1" x14ac:dyDescent="0.2">
      <c r="A79" s="80">
        <v>2017</v>
      </c>
      <c r="B79" s="57" t="s">
        <v>419</v>
      </c>
      <c r="C79" s="61">
        <v>20937</v>
      </c>
      <c r="D79" s="63">
        <v>34</v>
      </c>
      <c r="E79" s="89">
        <v>42970</v>
      </c>
      <c r="F79" s="57" t="s">
        <v>103</v>
      </c>
      <c r="G79" s="57" t="s">
        <v>47</v>
      </c>
      <c r="H79" s="57" t="s">
        <v>146</v>
      </c>
      <c r="I79" s="61" t="s">
        <v>58</v>
      </c>
      <c r="J79" s="57" t="s">
        <v>105</v>
      </c>
      <c r="K79" s="57" t="s">
        <v>106</v>
      </c>
      <c r="L79" s="57" t="s">
        <v>6</v>
      </c>
      <c r="M79" s="57" t="s">
        <v>107</v>
      </c>
      <c r="N79" s="80"/>
      <c r="O79" s="80">
        <v>1</v>
      </c>
      <c r="P79" s="80">
        <v>1</v>
      </c>
      <c r="Q79" s="63">
        <v>0</v>
      </c>
      <c r="R79" s="57" t="s">
        <v>108</v>
      </c>
      <c r="T79" s="57" t="s">
        <v>240</v>
      </c>
      <c r="U79" s="57" t="s">
        <v>249</v>
      </c>
    </row>
    <row r="80" spans="1:21" s="57" customFormat="1" x14ac:dyDescent="0.2">
      <c r="A80" s="80">
        <v>2017</v>
      </c>
      <c r="B80" s="57" t="s">
        <v>420</v>
      </c>
      <c r="C80" s="61">
        <v>20938</v>
      </c>
      <c r="D80" s="63">
        <v>34</v>
      </c>
      <c r="E80" s="89">
        <v>42970</v>
      </c>
      <c r="F80" s="57" t="s">
        <v>103</v>
      </c>
      <c r="G80" s="57" t="s">
        <v>47</v>
      </c>
      <c r="H80" s="57" t="s">
        <v>146</v>
      </c>
      <c r="I80" s="61" t="s">
        <v>58</v>
      </c>
      <c r="J80" s="57" t="s">
        <v>105</v>
      </c>
      <c r="K80" s="57" t="s">
        <v>106</v>
      </c>
      <c r="L80" s="57" t="s">
        <v>5</v>
      </c>
      <c r="M80" s="57" t="s">
        <v>107</v>
      </c>
      <c r="N80" s="80"/>
      <c r="O80" s="80">
        <v>50</v>
      </c>
      <c r="P80" s="80">
        <v>50</v>
      </c>
      <c r="Q80" s="63">
        <v>0</v>
      </c>
      <c r="R80" s="57" t="s">
        <v>108</v>
      </c>
      <c r="T80" s="57" t="s">
        <v>241</v>
      </c>
      <c r="U80" s="57" t="s">
        <v>248</v>
      </c>
    </row>
    <row r="81" spans="1:21" s="57" customFormat="1" x14ac:dyDescent="0.2">
      <c r="A81" s="80">
        <v>2017</v>
      </c>
      <c r="B81" s="57" t="s">
        <v>421</v>
      </c>
      <c r="C81" s="61">
        <v>20939</v>
      </c>
      <c r="D81" s="63">
        <v>34</v>
      </c>
      <c r="E81" s="89">
        <v>42970</v>
      </c>
      <c r="F81" s="57" t="s">
        <v>103</v>
      </c>
      <c r="G81" s="57" t="s">
        <v>47</v>
      </c>
      <c r="H81" s="57" t="s">
        <v>145</v>
      </c>
      <c r="I81" s="61" t="s">
        <v>58</v>
      </c>
      <c r="J81" s="57" t="s">
        <v>105</v>
      </c>
      <c r="K81" s="57" t="s">
        <v>106</v>
      </c>
      <c r="L81" s="57" t="s">
        <v>6</v>
      </c>
      <c r="M81" s="57" t="s">
        <v>107</v>
      </c>
      <c r="N81" s="80"/>
      <c r="O81" s="80">
        <v>6</v>
      </c>
      <c r="P81" s="80">
        <v>6</v>
      </c>
      <c r="Q81" s="63">
        <v>0</v>
      </c>
      <c r="R81" s="57" t="s">
        <v>108</v>
      </c>
      <c r="T81" s="57" t="s">
        <v>240</v>
      </c>
      <c r="U81" s="57" t="s">
        <v>249</v>
      </c>
    </row>
    <row r="82" spans="1:21" s="57" customFormat="1" x14ac:dyDescent="0.2">
      <c r="A82" s="80">
        <v>2017</v>
      </c>
      <c r="B82" s="57" t="s">
        <v>422</v>
      </c>
      <c r="C82" s="61">
        <v>20940</v>
      </c>
      <c r="D82" s="63">
        <v>34</v>
      </c>
      <c r="E82" s="89">
        <v>42971</v>
      </c>
      <c r="F82" s="57" t="s">
        <v>103</v>
      </c>
      <c r="G82" s="57" t="s">
        <v>47</v>
      </c>
      <c r="H82" s="57" t="s">
        <v>118</v>
      </c>
      <c r="I82" s="61" t="s">
        <v>60</v>
      </c>
      <c r="J82" s="57" t="s">
        <v>105</v>
      </c>
      <c r="K82" s="57" t="s">
        <v>106</v>
      </c>
      <c r="L82" s="57" t="s">
        <v>6</v>
      </c>
      <c r="M82" s="57" t="s">
        <v>107</v>
      </c>
      <c r="N82" s="80"/>
      <c r="O82" s="80">
        <v>10</v>
      </c>
      <c r="P82" s="80">
        <v>10</v>
      </c>
      <c r="Q82" s="63">
        <v>0</v>
      </c>
      <c r="R82" s="57" t="s">
        <v>108</v>
      </c>
      <c r="T82" s="57" t="s">
        <v>240</v>
      </c>
      <c r="U82" s="57" t="s">
        <v>246</v>
      </c>
    </row>
    <row r="83" spans="1:21" s="57" customFormat="1" x14ac:dyDescent="0.2">
      <c r="A83" s="80">
        <v>2017</v>
      </c>
      <c r="B83" s="57" t="s">
        <v>423</v>
      </c>
      <c r="C83" s="61">
        <v>20941</v>
      </c>
      <c r="D83" s="63">
        <v>34</v>
      </c>
      <c r="E83" s="89">
        <v>42971</v>
      </c>
      <c r="F83" s="57" t="s">
        <v>103</v>
      </c>
      <c r="G83" s="57" t="s">
        <v>47</v>
      </c>
      <c r="H83" s="57" t="s">
        <v>115</v>
      </c>
      <c r="I83" s="61" t="s">
        <v>60</v>
      </c>
      <c r="J83" s="57" t="s">
        <v>105</v>
      </c>
      <c r="K83" s="57" t="s">
        <v>106</v>
      </c>
      <c r="L83" s="57" t="s">
        <v>6</v>
      </c>
      <c r="M83" s="57" t="s">
        <v>107</v>
      </c>
      <c r="N83" s="80"/>
      <c r="O83" s="80">
        <v>15</v>
      </c>
      <c r="P83" s="80">
        <v>15</v>
      </c>
      <c r="Q83" s="63">
        <v>0</v>
      </c>
      <c r="R83" s="57" t="s">
        <v>108</v>
      </c>
      <c r="T83" s="57" t="s">
        <v>240</v>
      </c>
      <c r="U83" s="57" t="s">
        <v>246</v>
      </c>
    </row>
    <row r="84" spans="1:21" s="57" customFormat="1" x14ac:dyDescent="0.2">
      <c r="A84" s="80">
        <v>2017</v>
      </c>
      <c r="B84" s="57" t="s">
        <v>424</v>
      </c>
      <c r="C84" s="61">
        <v>20942</v>
      </c>
      <c r="D84" s="63">
        <v>34</v>
      </c>
      <c r="E84" s="89">
        <v>42971</v>
      </c>
      <c r="F84" s="57" t="s">
        <v>103</v>
      </c>
      <c r="G84" s="57" t="s">
        <v>47</v>
      </c>
      <c r="H84" s="57" t="s">
        <v>115</v>
      </c>
      <c r="I84" s="61" t="s">
        <v>60</v>
      </c>
      <c r="J84" s="57" t="s">
        <v>105</v>
      </c>
      <c r="K84" s="57" t="s">
        <v>106</v>
      </c>
      <c r="L84" s="57" t="s">
        <v>5</v>
      </c>
      <c r="M84" s="57" t="s">
        <v>107</v>
      </c>
      <c r="N84" s="80"/>
      <c r="O84" s="80">
        <v>3</v>
      </c>
      <c r="P84" s="80">
        <v>3</v>
      </c>
      <c r="Q84" s="63">
        <v>0</v>
      </c>
      <c r="R84" s="57" t="s">
        <v>108</v>
      </c>
      <c r="T84" s="57" t="s">
        <v>241</v>
      </c>
      <c r="U84" s="57" t="s">
        <v>247</v>
      </c>
    </row>
    <row r="85" spans="1:21" s="57" customFormat="1" x14ac:dyDescent="0.2">
      <c r="A85" s="80">
        <v>2017</v>
      </c>
      <c r="B85" s="57" t="s">
        <v>425</v>
      </c>
      <c r="C85" s="61">
        <v>20943</v>
      </c>
      <c r="D85" s="63">
        <v>34</v>
      </c>
      <c r="E85" s="89">
        <v>42971</v>
      </c>
      <c r="F85" s="57" t="s">
        <v>103</v>
      </c>
      <c r="G85" s="57" t="s">
        <v>47</v>
      </c>
      <c r="H85" s="57" t="s">
        <v>114</v>
      </c>
      <c r="I85" s="61" t="s">
        <v>61</v>
      </c>
      <c r="J85" s="57" t="s">
        <v>105</v>
      </c>
      <c r="K85" s="57" t="s">
        <v>106</v>
      </c>
      <c r="L85" s="57" t="s">
        <v>6</v>
      </c>
      <c r="M85" s="57" t="s">
        <v>107</v>
      </c>
      <c r="N85" s="80"/>
      <c r="O85" s="80">
        <v>2</v>
      </c>
      <c r="P85" s="80">
        <v>2</v>
      </c>
      <c r="Q85" s="63">
        <v>0</v>
      </c>
      <c r="R85" s="57" t="s">
        <v>108</v>
      </c>
      <c r="T85" s="57" t="s">
        <v>240</v>
      </c>
      <c r="U85" s="57" t="s">
        <v>244</v>
      </c>
    </row>
    <row r="86" spans="1:21" s="57" customFormat="1" x14ac:dyDescent="0.2">
      <c r="A86" s="80">
        <v>2017</v>
      </c>
      <c r="B86" s="57" t="s">
        <v>426</v>
      </c>
      <c r="C86" s="61">
        <v>20944</v>
      </c>
      <c r="D86" s="63">
        <v>34</v>
      </c>
      <c r="E86" s="89">
        <v>42971</v>
      </c>
      <c r="F86" s="57" t="s">
        <v>103</v>
      </c>
      <c r="G86" s="57" t="s">
        <v>47</v>
      </c>
      <c r="H86" s="57" t="s">
        <v>117</v>
      </c>
      <c r="I86" s="61" t="s">
        <v>60</v>
      </c>
      <c r="J86" s="57" t="s">
        <v>112</v>
      </c>
      <c r="K86" s="57" t="s">
        <v>106</v>
      </c>
      <c r="L86" s="57" t="s">
        <v>5</v>
      </c>
      <c r="M86" s="57" t="s">
        <v>107</v>
      </c>
      <c r="N86" s="80">
        <v>21</v>
      </c>
      <c r="O86" s="80"/>
      <c r="P86" s="80">
        <v>21</v>
      </c>
      <c r="Q86" s="63">
        <v>0</v>
      </c>
      <c r="R86" s="57" t="s">
        <v>108</v>
      </c>
      <c r="T86" s="57" t="s">
        <v>241</v>
      </c>
      <c r="U86" s="57" t="s">
        <v>247</v>
      </c>
    </row>
    <row r="87" spans="1:21" s="57" customFormat="1" x14ac:dyDescent="0.2">
      <c r="A87" s="80">
        <v>2017</v>
      </c>
      <c r="B87" s="57" t="s">
        <v>427</v>
      </c>
      <c r="C87" s="61">
        <v>20945</v>
      </c>
      <c r="D87" s="63">
        <v>34</v>
      </c>
      <c r="E87" s="89">
        <v>42971</v>
      </c>
      <c r="F87" s="57" t="s">
        <v>103</v>
      </c>
      <c r="G87" s="57" t="s">
        <v>47</v>
      </c>
      <c r="H87" s="57" t="s">
        <v>113</v>
      </c>
      <c r="I87" s="61" t="s">
        <v>61</v>
      </c>
      <c r="J87" s="57" t="s">
        <v>105</v>
      </c>
      <c r="K87" s="57" t="s">
        <v>106</v>
      </c>
      <c r="L87" s="57" t="s">
        <v>6</v>
      </c>
      <c r="M87" s="57" t="s">
        <v>107</v>
      </c>
      <c r="N87" s="80"/>
      <c r="O87" s="80">
        <v>4</v>
      </c>
      <c r="P87" s="80">
        <v>4</v>
      </c>
      <c r="Q87" s="63">
        <v>0</v>
      </c>
      <c r="R87" s="57" t="s">
        <v>108</v>
      </c>
      <c r="T87" s="57" t="s">
        <v>240</v>
      </c>
      <c r="U87" s="57" t="s">
        <v>244</v>
      </c>
    </row>
    <row r="88" spans="1:21" s="57" customFormat="1" x14ac:dyDescent="0.2">
      <c r="A88" s="80">
        <v>2017</v>
      </c>
      <c r="B88" s="57" t="s">
        <v>428</v>
      </c>
      <c r="C88" s="61">
        <v>20946</v>
      </c>
      <c r="D88" s="63">
        <v>34</v>
      </c>
      <c r="E88" s="89">
        <v>42971</v>
      </c>
      <c r="F88" s="57" t="s">
        <v>103</v>
      </c>
      <c r="G88" s="57" t="s">
        <v>47</v>
      </c>
      <c r="H88" s="57" t="s">
        <v>111</v>
      </c>
      <c r="I88" s="61" t="s">
        <v>61</v>
      </c>
      <c r="J88" s="57" t="s">
        <v>105</v>
      </c>
      <c r="K88" s="57" t="s">
        <v>106</v>
      </c>
      <c r="L88" s="57" t="s">
        <v>6</v>
      </c>
      <c r="M88" s="57" t="s">
        <v>107</v>
      </c>
      <c r="N88" s="80"/>
      <c r="O88" s="80">
        <v>4</v>
      </c>
      <c r="P88" s="80">
        <v>4</v>
      </c>
      <c r="Q88" s="63">
        <v>0</v>
      </c>
      <c r="R88" s="57" t="s">
        <v>108</v>
      </c>
      <c r="T88" s="57" t="s">
        <v>240</v>
      </c>
      <c r="U88" s="57" t="s">
        <v>244</v>
      </c>
    </row>
    <row r="89" spans="1:21" s="57" customFormat="1" x14ac:dyDescent="0.2">
      <c r="A89" s="80">
        <v>2017</v>
      </c>
      <c r="B89" s="57" t="s">
        <v>429</v>
      </c>
      <c r="C89" s="61">
        <v>20947</v>
      </c>
      <c r="D89" s="63">
        <v>34</v>
      </c>
      <c r="E89" s="89">
        <v>42971</v>
      </c>
      <c r="F89" s="57" t="s">
        <v>103</v>
      </c>
      <c r="G89" s="57" t="s">
        <v>47</v>
      </c>
      <c r="H89" s="57" t="s">
        <v>109</v>
      </c>
      <c r="I89" s="61" t="s">
        <v>61</v>
      </c>
      <c r="J89" s="57" t="s">
        <v>105</v>
      </c>
      <c r="K89" s="57" t="s">
        <v>106</v>
      </c>
      <c r="L89" s="57" t="s">
        <v>6</v>
      </c>
      <c r="M89" s="57" t="s">
        <v>107</v>
      </c>
      <c r="N89" s="80"/>
      <c r="O89" s="80">
        <v>5</v>
      </c>
      <c r="P89" s="80">
        <v>5</v>
      </c>
      <c r="Q89" s="63">
        <v>0</v>
      </c>
      <c r="R89" s="57" t="s">
        <v>108</v>
      </c>
      <c r="T89" s="57" t="s">
        <v>240</v>
      </c>
      <c r="U89" s="57" t="s">
        <v>244</v>
      </c>
    </row>
    <row r="90" spans="1:21" s="57" customFormat="1" x14ac:dyDescent="0.2">
      <c r="A90" s="80">
        <v>2017</v>
      </c>
      <c r="B90" s="57" t="s">
        <v>430</v>
      </c>
      <c r="C90" s="61">
        <v>20948</v>
      </c>
      <c r="D90" s="63">
        <v>34</v>
      </c>
      <c r="E90" s="89">
        <v>42971</v>
      </c>
      <c r="F90" s="57" t="s">
        <v>103</v>
      </c>
      <c r="G90" s="57" t="s">
        <v>47</v>
      </c>
      <c r="H90" s="57" t="s">
        <v>262</v>
      </c>
      <c r="I90" s="61" t="s">
        <v>61</v>
      </c>
      <c r="J90" s="57" t="s">
        <v>112</v>
      </c>
      <c r="K90" s="57" t="s">
        <v>106</v>
      </c>
      <c r="L90" s="57" t="s">
        <v>5</v>
      </c>
      <c r="M90" s="57" t="s">
        <v>107</v>
      </c>
      <c r="N90" s="80">
        <v>16</v>
      </c>
      <c r="O90" s="80"/>
      <c r="P90" s="80">
        <v>16</v>
      </c>
      <c r="Q90" s="63">
        <v>0</v>
      </c>
      <c r="R90" s="57" t="s">
        <v>108</v>
      </c>
      <c r="T90" s="57" t="s">
        <v>241</v>
      </c>
      <c r="U90" s="57" t="s">
        <v>245</v>
      </c>
    </row>
    <row r="91" spans="1:21" s="57" customFormat="1" x14ac:dyDescent="0.2">
      <c r="A91" s="80">
        <v>2017</v>
      </c>
      <c r="B91" s="57" t="s">
        <v>431</v>
      </c>
      <c r="C91" s="61">
        <v>20949</v>
      </c>
      <c r="D91" s="63">
        <v>34</v>
      </c>
      <c r="E91" s="89">
        <v>42971</v>
      </c>
      <c r="F91" s="57" t="s">
        <v>103</v>
      </c>
      <c r="G91" s="57" t="s">
        <v>47</v>
      </c>
      <c r="H91" s="57" t="s">
        <v>110</v>
      </c>
      <c r="I91" s="61" t="s">
        <v>61</v>
      </c>
      <c r="J91" s="57" t="s">
        <v>105</v>
      </c>
      <c r="K91" s="57" t="s">
        <v>106</v>
      </c>
      <c r="L91" s="57" t="s">
        <v>6</v>
      </c>
      <c r="M91" s="57" t="s">
        <v>107</v>
      </c>
      <c r="N91" s="80"/>
      <c r="O91" s="80">
        <v>27</v>
      </c>
      <c r="P91" s="80">
        <v>27</v>
      </c>
      <c r="Q91" s="63">
        <v>0</v>
      </c>
      <c r="R91" s="57" t="s">
        <v>108</v>
      </c>
      <c r="T91" s="57" t="s">
        <v>240</v>
      </c>
      <c r="U91" s="57" t="s">
        <v>244</v>
      </c>
    </row>
    <row r="92" spans="1:21" s="57" customFormat="1" x14ac:dyDescent="0.2">
      <c r="A92" s="80">
        <v>2017</v>
      </c>
      <c r="B92" s="57" t="s">
        <v>432</v>
      </c>
      <c r="C92" s="61">
        <v>20950</v>
      </c>
      <c r="D92" s="63">
        <v>34</v>
      </c>
      <c r="E92" s="89">
        <v>42971</v>
      </c>
      <c r="F92" s="57" t="s">
        <v>103</v>
      </c>
      <c r="G92" s="57" t="s">
        <v>47</v>
      </c>
      <c r="H92" s="57" t="s">
        <v>104</v>
      </c>
      <c r="I92" s="61" t="s">
        <v>61</v>
      </c>
      <c r="J92" s="57" t="s">
        <v>105</v>
      </c>
      <c r="K92" s="57" t="s">
        <v>106</v>
      </c>
      <c r="L92" s="57" t="s">
        <v>6</v>
      </c>
      <c r="M92" s="57" t="s">
        <v>107</v>
      </c>
      <c r="N92" s="80"/>
      <c r="O92" s="80">
        <v>8</v>
      </c>
      <c r="P92" s="80">
        <v>8</v>
      </c>
      <c r="Q92" s="63">
        <v>0</v>
      </c>
      <c r="R92" s="57" t="s">
        <v>108</v>
      </c>
      <c r="T92" s="57" t="s">
        <v>240</v>
      </c>
      <c r="U92" s="57" t="s">
        <v>244</v>
      </c>
    </row>
    <row r="93" spans="1:21" s="57" customFormat="1" x14ac:dyDescent="0.2">
      <c r="A93" s="80">
        <v>2017</v>
      </c>
      <c r="B93" s="57" t="s">
        <v>433</v>
      </c>
      <c r="C93" s="61">
        <v>20951</v>
      </c>
      <c r="D93" s="63">
        <v>34</v>
      </c>
      <c r="E93" s="89">
        <v>42971</v>
      </c>
      <c r="F93" s="57" t="s">
        <v>103</v>
      </c>
      <c r="G93" s="57" t="s">
        <v>47</v>
      </c>
      <c r="H93" s="57" t="s">
        <v>104</v>
      </c>
      <c r="I93" s="61" t="s">
        <v>61</v>
      </c>
      <c r="J93" s="57" t="s">
        <v>105</v>
      </c>
      <c r="K93" s="57" t="s">
        <v>106</v>
      </c>
      <c r="L93" s="57" t="s">
        <v>5</v>
      </c>
      <c r="M93" s="57" t="s">
        <v>107</v>
      </c>
      <c r="N93" s="80"/>
      <c r="O93" s="80">
        <v>3</v>
      </c>
      <c r="P93" s="80">
        <v>3</v>
      </c>
      <c r="Q93" s="63">
        <v>0</v>
      </c>
      <c r="R93" s="57" t="s">
        <v>108</v>
      </c>
      <c r="T93" s="57" t="s">
        <v>241</v>
      </c>
      <c r="U93" s="57" t="s">
        <v>245</v>
      </c>
    </row>
    <row r="94" spans="1:21" s="57" customFormat="1" x14ac:dyDescent="0.2">
      <c r="A94" s="80"/>
      <c r="C94" s="61"/>
      <c r="D94" s="63"/>
      <c r="E94" s="89"/>
      <c r="I94" s="61"/>
      <c r="N94" s="80"/>
      <c r="O94" s="80"/>
      <c r="P94" s="80"/>
      <c r="Q94" s="63"/>
    </row>
    <row r="95" spans="1:21" s="57" customFormat="1" x14ac:dyDescent="0.2">
      <c r="A95" s="80"/>
      <c r="C95" s="61"/>
      <c r="D95" s="63"/>
      <c r="E95" s="89"/>
      <c r="I95" s="61"/>
      <c r="N95" s="80"/>
      <c r="O95" s="80"/>
      <c r="P95" s="80"/>
      <c r="Q95" s="63"/>
    </row>
    <row r="96" spans="1:21" s="57" customFormat="1" x14ac:dyDescent="0.2">
      <c r="A96" s="80"/>
      <c r="C96" s="61"/>
      <c r="D96" s="63"/>
      <c r="E96" s="89"/>
      <c r="I96" s="61"/>
      <c r="N96" s="80"/>
      <c r="O96" s="80"/>
      <c r="P96" s="80"/>
      <c r="Q96" s="63"/>
    </row>
    <row r="97" spans="1:17" s="57" customFormat="1" x14ac:dyDescent="0.2">
      <c r="A97" s="80"/>
      <c r="C97" s="61"/>
      <c r="D97" s="63"/>
      <c r="E97" s="89"/>
      <c r="I97" s="61"/>
      <c r="N97" s="80"/>
      <c r="O97" s="80"/>
      <c r="P97" s="80"/>
      <c r="Q97" s="63"/>
    </row>
    <row r="98" spans="1:17" s="57" customFormat="1" x14ac:dyDescent="0.2">
      <c r="A98" s="80"/>
      <c r="C98" s="61"/>
      <c r="D98" s="63"/>
      <c r="E98" s="89"/>
      <c r="I98" s="61"/>
      <c r="N98" s="80"/>
      <c r="O98" s="80"/>
      <c r="P98" s="80"/>
      <c r="Q98" s="63"/>
    </row>
    <row r="99" spans="1:17" s="57" customFormat="1" x14ac:dyDescent="0.2">
      <c r="A99" s="80"/>
      <c r="C99" s="61"/>
      <c r="D99" s="63"/>
      <c r="E99" s="89"/>
      <c r="I99" s="61"/>
      <c r="N99" s="80"/>
      <c r="O99" s="80"/>
      <c r="P99" s="80"/>
      <c r="Q99" s="63"/>
    </row>
    <row r="100" spans="1:17" s="57" customFormat="1" x14ac:dyDescent="0.2">
      <c r="A100" s="80"/>
      <c r="C100" s="61"/>
      <c r="D100" s="63"/>
      <c r="E100" s="89"/>
      <c r="I100" s="61"/>
      <c r="N100" s="80"/>
      <c r="O100" s="80"/>
      <c r="P100" s="80"/>
      <c r="Q100" s="63"/>
    </row>
    <row r="101" spans="1:17" s="57" customFormat="1" x14ac:dyDescent="0.2">
      <c r="A101" s="80"/>
      <c r="C101" s="61"/>
      <c r="D101" s="63"/>
      <c r="E101" s="89"/>
      <c r="I101" s="61"/>
      <c r="N101" s="80"/>
      <c r="O101" s="80"/>
      <c r="P101" s="80"/>
      <c r="Q101" s="63"/>
    </row>
    <row r="102" spans="1:17" s="57" customFormat="1" x14ac:dyDescent="0.2">
      <c r="A102" s="80"/>
      <c r="C102" s="61"/>
      <c r="D102" s="63"/>
      <c r="E102" s="89"/>
      <c r="I102" s="61"/>
      <c r="N102" s="80"/>
      <c r="O102" s="80"/>
      <c r="P102" s="80"/>
      <c r="Q102" s="63"/>
    </row>
    <row r="103" spans="1:17" s="57" customFormat="1" x14ac:dyDescent="0.2">
      <c r="A103" s="80"/>
      <c r="C103" s="61"/>
      <c r="D103" s="63"/>
      <c r="E103" s="89"/>
      <c r="I103" s="61"/>
      <c r="N103" s="80"/>
      <c r="O103" s="80"/>
      <c r="P103" s="80"/>
      <c r="Q103" s="63"/>
    </row>
    <row r="104" spans="1:17" s="57" customFormat="1" x14ac:dyDescent="0.2">
      <c r="A104" s="80"/>
      <c r="C104" s="61"/>
      <c r="D104" s="63"/>
      <c r="E104" s="89"/>
      <c r="I104" s="61"/>
      <c r="N104" s="80"/>
      <c r="O104" s="80"/>
      <c r="P104" s="80"/>
      <c r="Q104" s="63"/>
    </row>
    <row r="105" spans="1:17" s="57" customFormat="1" x14ac:dyDescent="0.2">
      <c r="A105" s="80"/>
      <c r="C105" s="61"/>
      <c r="D105" s="63"/>
      <c r="E105" s="89"/>
      <c r="I105" s="61"/>
      <c r="N105" s="80"/>
      <c r="O105" s="80"/>
      <c r="P105" s="80"/>
      <c r="Q105" s="63"/>
    </row>
    <row r="106" spans="1:17" s="57" customFormat="1" x14ac:dyDescent="0.2">
      <c r="A106" s="80"/>
      <c r="C106" s="61"/>
      <c r="D106" s="63"/>
      <c r="E106" s="89"/>
      <c r="I106" s="61"/>
      <c r="N106" s="80"/>
      <c r="O106" s="80"/>
      <c r="P106" s="80"/>
      <c r="Q106" s="63"/>
    </row>
    <row r="107" spans="1:17" s="57" customFormat="1" x14ac:dyDescent="0.2">
      <c r="A107" s="80"/>
      <c r="C107" s="61"/>
      <c r="D107" s="63"/>
      <c r="E107" s="89"/>
      <c r="I107" s="61"/>
      <c r="N107" s="80"/>
      <c r="O107" s="80"/>
      <c r="P107" s="80"/>
      <c r="Q107" s="63"/>
    </row>
    <row r="108" spans="1:17" s="57" customFormat="1" x14ac:dyDescent="0.2">
      <c r="A108" s="80"/>
      <c r="C108" s="61"/>
      <c r="D108" s="63"/>
      <c r="E108" s="89"/>
      <c r="I108" s="61"/>
      <c r="N108" s="80"/>
      <c r="O108" s="80"/>
      <c r="P108" s="80"/>
      <c r="Q108" s="63"/>
    </row>
    <row r="109" spans="1:17" s="57" customFormat="1" x14ac:dyDescent="0.2">
      <c r="A109" s="80"/>
      <c r="C109" s="61"/>
      <c r="D109" s="63"/>
      <c r="E109" s="89"/>
      <c r="I109" s="61"/>
      <c r="N109" s="80"/>
      <c r="O109" s="80"/>
      <c r="P109" s="80"/>
      <c r="Q109" s="63"/>
    </row>
    <row r="110" spans="1:17" s="57" customFormat="1" x14ac:dyDescent="0.2">
      <c r="A110" s="80"/>
      <c r="C110" s="61"/>
      <c r="D110" s="63"/>
      <c r="E110" s="89"/>
      <c r="I110" s="61"/>
      <c r="N110" s="80"/>
      <c r="O110" s="80"/>
      <c r="P110" s="80"/>
      <c r="Q110" s="63"/>
    </row>
    <row r="111" spans="1:17" s="57" customFormat="1" x14ac:dyDescent="0.2">
      <c r="A111" s="80"/>
      <c r="C111" s="61"/>
      <c r="D111" s="63"/>
      <c r="E111" s="89"/>
      <c r="N111" s="80"/>
      <c r="O111" s="80"/>
      <c r="P111" s="80"/>
      <c r="Q111" s="63"/>
    </row>
    <row r="112" spans="1:17" s="57" customFormat="1" x14ac:dyDescent="0.2">
      <c r="A112" s="80"/>
      <c r="C112" s="61"/>
      <c r="D112" s="63"/>
      <c r="E112" s="89"/>
      <c r="N112" s="80"/>
      <c r="O112" s="80"/>
      <c r="P112" s="80"/>
      <c r="Q112" s="63"/>
    </row>
    <row r="113" spans="1:17" s="57" customFormat="1" x14ac:dyDescent="0.2">
      <c r="A113" s="80"/>
      <c r="C113" s="61"/>
      <c r="D113" s="63"/>
      <c r="E113" s="89"/>
      <c r="N113" s="80"/>
      <c r="O113" s="80"/>
      <c r="P113" s="80"/>
      <c r="Q113" s="63"/>
    </row>
    <row r="114" spans="1:17" s="57" customFormat="1" x14ac:dyDescent="0.2">
      <c r="A114" s="80"/>
      <c r="C114" s="61"/>
      <c r="D114" s="63"/>
      <c r="E114" s="89"/>
      <c r="N114" s="80"/>
      <c r="O114" s="80"/>
      <c r="P114" s="80"/>
      <c r="Q114" s="63"/>
    </row>
    <row r="115" spans="1:17" s="57" customFormat="1" x14ac:dyDescent="0.2">
      <c r="A115" s="80"/>
      <c r="C115" s="61"/>
      <c r="D115" s="63"/>
      <c r="E115" s="89"/>
      <c r="N115" s="80"/>
      <c r="O115" s="80"/>
      <c r="P115" s="80"/>
      <c r="Q115" s="63"/>
    </row>
    <row r="116" spans="1:17" s="57" customFormat="1" x14ac:dyDescent="0.2">
      <c r="A116" s="80"/>
      <c r="C116" s="61"/>
      <c r="D116" s="63"/>
      <c r="E116" s="89"/>
      <c r="I116" s="61"/>
      <c r="N116" s="80"/>
      <c r="O116" s="80"/>
      <c r="P116" s="80"/>
      <c r="Q116" s="63"/>
    </row>
    <row r="117" spans="1:17" s="57" customFormat="1" x14ac:dyDescent="0.2">
      <c r="A117" s="80"/>
      <c r="C117" s="61"/>
      <c r="D117" s="63"/>
      <c r="E117" s="89"/>
      <c r="I117" s="61"/>
      <c r="N117" s="80"/>
      <c r="O117" s="80"/>
      <c r="P117" s="80"/>
      <c r="Q117" s="63"/>
    </row>
    <row r="118" spans="1:17" s="57" customFormat="1" x14ac:dyDescent="0.2">
      <c r="A118" s="80"/>
      <c r="C118" s="61"/>
      <c r="D118" s="63"/>
      <c r="E118" s="89"/>
      <c r="I118" s="61"/>
      <c r="N118" s="80"/>
      <c r="O118" s="80"/>
      <c r="P118" s="80"/>
      <c r="Q118" s="63"/>
    </row>
    <row r="119" spans="1:17" s="57" customFormat="1" x14ac:dyDescent="0.2">
      <c r="A119" s="80"/>
      <c r="C119" s="61"/>
      <c r="D119" s="63"/>
      <c r="E119" s="89"/>
      <c r="I119" s="61"/>
      <c r="N119" s="80"/>
      <c r="O119" s="80"/>
      <c r="P119" s="80"/>
      <c r="Q119" s="63"/>
    </row>
    <row r="120" spans="1:17" s="57" customFormat="1" x14ac:dyDescent="0.2">
      <c r="A120" s="80"/>
      <c r="C120" s="61"/>
      <c r="D120" s="63"/>
      <c r="E120" s="89"/>
      <c r="I120" s="61"/>
      <c r="N120" s="80"/>
      <c r="O120" s="80"/>
      <c r="P120" s="80"/>
      <c r="Q120" s="63"/>
    </row>
    <row r="121" spans="1:17" s="57" customFormat="1" x14ac:dyDescent="0.2">
      <c r="A121" s="80"/>
      <c r="C121" s="61"/>
      <c r="D121" s="63"/>
      <c r="E121" s="89"/>
      <c r="I121" s="61"/>
      <c r="N121" s="80"/>
      <c r="O121" s="80"/>
      <c r="P121" s="80"/>
      <c r="Q121" s="63"/>
    </row>
    <row r="122" spans="1:17" s="57" customFormat="1" x14ac:dyDescent="0.2">
      <c r="A122" s="80"/>
      <c r="C122" s="61"/>
      <c r="D122" s="63"/>
      <c r="E122" s="89"/>
      <c r="I122" s="61"/>
      <c r="N122" s="80"/>
      <c r="O122" s="80"/>
      <c r="P122" s="80"/>
      <c r="Q122" s="63"/>
    </row>
    <row r="123" spans="1:17" s="57" customFormat="1" x14ac:dyDescent="0.2">
      <c r="A123" s="80"/>
      <c r="C123" s="61"/>
      <c r="D123" s="63"/>
      <c r="E123" s="89"/>
      <c r="I123" s="61"/>
      <c r="N123" s="80"/>
      <c r="O123" s="80"/>
      <c r="P123" s="80"/>
      <c r="Q123" s="63"/>
    </row>
    <row r="124" spans="1:17" s="57" customFormat="1" x14ac:dyDescent="0.2">
      <c r="A124" s="80"/>
      <c r="C124" s="61"/>
      <c r="D124" s="63"/>
      <c r="E124" s="89"/>
      <c r="N124" s="80"/>
      <c r="O124" s="80"/>
      <c r="P124" s="80"/>
      <c r="Q124" s="63"/>
    </row>
    <row r="125" spans="1:17" s="57" customFormat="1" x14ac:dyDescent="0.2">
      <c r="A125" s="80"/>
      <c r="C125" s="61"/>
      <c r="D125" s="63"/>
      <c r="E125" s="89"/>
      <c r="N125" s="80"/>
      <c r="O125" s="80"/>
      <c r="P125" s="80"/>
      <c r="Q125" s="63"/>
    </row>
    <row r="126" spans="1:17" s="57" customFormat="1" x14ac:dyDescent="0.2">
      <c r="A126" s="80"/>
      <c r="C126" s="61"/>
      <c r="D126" s="63"/>
      <c r="E126" s="89"/>
      <c r="N126" s="80"/>
      <c r="O126" s="80"/>
      <c r="P126" s="80"/>
      <c r="Q126" s="63"/>
    </row>
    <row r="127" spans="1:17" s="57" customFormat="1" x14ac:dyDescent="0.2">
      <c r="A127" s="80"/>
      <c r="C127" s="61"/>
      <c r="D127" s="63"/>
      <c r="E127" s="89"/>
      <c r="N127" s="80"/>
      <c r="O127" s="80"/>
      <c r="P127" s="80"/>
      <c r="Q127" s="63"/>
    </row>
    <row r="128" spans="1:17" s="57" customFormat="1" x14ac:dyDescent="0.2">
      <c r="A128" s="80"/>
      <c r="C128" s="61"/>
      <c r="D128" s="63"/>
      <c r="E128" s="89"/>
      <c r="N128" s="80"/>
      <c r="O128" s="80"/>
      <c r="P128" s="80"/>
      <c r="Q128" s="63"/>
    </row>
    <row r="129" spans="1:17" s="57" customFormat="1" x14ac:dyDescent="0.2">
      <c r="A129" s="80"/>
      <c r="C129" s="61"/>
      <c r="D129" s="63"/>
      <c r="E129" s="89"/>
      <c r="N129" s="80"/>
      <c r="O129" s="80"/>
      <c r="P129" s="80"/>
      <c r="Q129" s="63"/>
    </row>
    <row r="130" spans="1:17" s="57" customFormat="1" x14ac:dyDescent="0.2">
      <c r="A130" s="80"/>
      <c r="C130" s="61"/>
      <c r="D130" s="63"/>
      <c r="E130" s="89"/>
      <c r="N130" s="80"/>
      <c r="O130" s="80"/>
      <c r="P130" s="80"/>
      <c r="Q130" s="63"/>
    </row>
    <row r="131" spans="1:17" s="57" customFormat="1" x14ac:dyDescent="0.2">
      <c r="A131" s="80"/>
      <c r="C131" s="61"/>
      <c r="D131" s="63"/>
      <c r="E131" s="68"/>
      <c r="N131" s="80"/>
      <c r="O131" s="80"/>
      <c r="P131" s="80"/>
      <c r="Q131" s="63"/>
    </row>
    <row r="132" spans="1:17" s="57" customFormat="1" x14ac:dyDescent="0.2">
      <c r="A132" s="80"/>
      <c r="C132" s="61"/>
      <c r="D132" s="63"/>
      <c r="E132" s="68"/>
      <c r="N132" s="80"/>
      <c r="O132" s="80"/>
      <c r="P132" s="80"/>
      <c r="Q132" s="63"/>
    </row>
    <row r="133" spans="1:17" s="57" customFormat="1" x14ac:dyDescent="0.2">
      <c r="A133" s="80"/>
      <c r="C133" s="61"/>
      <c r="D133" s="63"/>
      <c r="E133" s="68"/>
      <c r="N133" s="80"/>
      <c r="O133" s="80"/>
      <c r="P133" s="80"/>
      <c r="Q133" s="63"/>
    </row>
    <row r="134" spans="1:17" s="57" customFormat="1" x14ac:dyDescent="0.2">
      <c r="A134" s="80"/>
      <c r="C134" s="61"/>
      <c r="D134" s="63"/>
      <c r="E134" s="68"/>
      <c r="N134" s="80"/>
      <c r="O134" s="80"/>
      <c r="P134" s="80"/>
      <c r="Q134" s="63"/>
    </row>
    <row r="135" spans="1:17" s="57" customFormat="1" x14ac:dyDescent="0.2">
      <c r="A135" s="80"/>
      <c r="C135" s="61"/>
      <c r="D135" s="63"/>
      <c r="E135" s="68"/>
      <c r="N135" s="80"/>
      <c r="O135" s="80"/>
      <c r="P135" s="80"/>
      <c r="Q135" s="63"/>
    </row>
    <row r="136" spans="1:17" s="57" customFormat="1" x14ac:dyDescent="0.2">
      <c r="A136" s="80"/>
      <c r="C136" s="61"/>
      <c r="D136" s="63"/>
      <c r="E136" s="68"/>
      <c r="N136" s="80"/>
      <c r="O136" s="80"/>
      <c r="P136" s="80"/>
      <c r="Q136" s="63"/>
    </row>
    <row r="137" spans="1:17" s="57" customFormat="1" x14ac:dyDescent="0.2">
      <c r="A137" s="80"/>
      <c r="C137" s="61"/>
      <c r="D137" s="63"/>
      <c r="E137" s="68"/>
      <c r="N137" s="80"/>
      <c r="O137" s="80"/>
      <c r="P137" s="80"/>
      <c r="Q137" s="63"/>
    </row>
    <row r="138" spans="1:17" s="57" customFormat="1" x14ac:dyDescent="0.2">
      <c r="A138" s="80"/>
      <c r="C138" s="61"/>
      <c r="D138" s="63"/>
      <c r="E138" s="68"/>
      <c r="N138" s="80"/>
      <c r="O138" s="80"/>
      <c r="P138" s="80"/>
      <c r="Q138" s="63"/>
    </row>
    <row r="139" spans="1:17" s="57" customFormat="1" x14ac:dyDescent="0.2">
      <c r="A139" s="80"/>
      <c r="C139" s="61"/>
      <c r="D139" s="63"/>
      <c r="E139" s="68"/>
      <c r="N139" s="80"/>
      <c r="O139" s="80"/>
      <c r="P139" s="80"/>
      <c r="Q139" s="63"/>
    </row>
    <row r="140" spans="1:17" s="57" customFormat="1" x14ac:dyDescent="0.2">
      <c r="A140" s="80"/>
      <c r="C140" s="61"/>
      <c r="D140" s="63"/>
      <c r="E140" s="68"/>
      <c r="N140" s="80"/>
      <c r="O140" s="80"/>
      <c r="P140" s="80"/>
      <c r="Q140" s="63"/>
    </row>
    <row r="141" spans="1:17" s="57" customFormat="1" x14ac:dyDescent="0.2">
      <c r="A141" s="80"/>
      <c r="C141" s="61"/>
      <c r="D141" s="63"/>
      <c r="E141" s="68"/>
      <c r="N141" s="80"/>
      <c r="O141" s="80"/>
      <c r="P141" s="80"/>
      <c r="Q141" s="63"/>
    </row>
    <row r="142" spans="1:17" s="57" customFormat="1" x14ac:dyDescent="0.2">
      <c r="A142" s="80"/>
      <c r="C142" s="61"/>
      <c r="D142" s="63"/>
      <c r="E142" s="68"/>
      <c r="N142" s="80"/>
      <c r="O142" s="80"/>
      <c r="P142" s="80"/>
      <c r="Q142" s="63"/>
    </row>
    <row r="143" spans="1:17" s="57" customFormat="1" x14ac:dyDescent="0.2">
      <c r="A143" s="80"/>
      <c r="C143" s="61"/>
      <c r="D143" s="63"/>
      <c r="E143" s="68"/>
      <c r="N143" s="80"/>
      <c r="O143" s="80"/>
      <c r="P143" s="80"/>
      <c r="Q143" s="63"/>
    </row>
    <row r="144" spans="1:17" s="57" customFormat="1" x14ac:dyDescent="0.2">
      <c r="A144" s="80"/>
      <c r="C144" s="61"/>
      <c r="D144" s="63"/>
      <c r="E144" s="68"/>
      <c r="N144" s="80"/>
      <c r="O144" s="80"/>
      <c r="P144" s="80"/>
      <c r="Q144" s="63"/>
    </row>
    <row r="145" spans="1:17" s="57" customFormat="1" x14ac:dyDescent="0.2">
      <c r="A145" s="80"/>
      <c r="C145" s="61"/>
      <c r="D145" s="63"/>
      <c r="E145" s="68"/>
      <c r="N145" s="80"/>
      <c r="O145" s="80"/>
      <c r="P145" s="80"/>
      <c r="Q145" s="63"/>
    </row>
    <row r="146" spans="1:17" s="57" customFormat="1" x14ac:dyDescent="0.2">
      <c r="A146" s="80"/>
      <c r="C146" s="61"/>
      <c r="D146" s="63"/>
      <c r="E146" s="68"/>
      <c r="N146" s="80"/>
      <c r="O146" s="80"/>
      <c r="P146" s="80"/>
      <c r="Q146" s="63"/>
    </row>
    <row r="147" spans="1:17" s="57" customFormat="1" x14ac:dyDescent="0.2">
      <c r="A147" s="80"/>
      <c r="C147" s="61"/>
      <c r="D147" s="63"/>
      <c r="E147" s="68"/>
      <c r="N147" s="80"/>
      <c r="O147" s="80"/>
      <c r="P147" s="80"/>
      <c r="Q147" s="63"/>
    </row>
    <row r="148" spans="1:17" s="57" customFormat="1" x14ac:dyDescent="0.2">
      <c r="A148" s="80"/>
      <c r="C148" s="61"/>
      <c r="D148" s="63"/>
      <c r="E148" s="68"/>
      <c r="N148" s="80"/>
      <c r="O148" s="80"/>
      <c r="P148" s="80"/>
      <c r="Q148" s="63"/>
    </row>
    <row r="149" spans="1:17" s="57" customFormat="1" x14ac:dyDescent="0.2">
      <c r="A149" s="80"/>
      <c r="C149" s="61"/>
      <c r="D149" s="63"/>
      <c r="E149" s="68"/>
      <c r="N149" s="80"/>
      <c r="O149" s="80"/>
      <c r="P149" s="80"/>
      <c r="Q149" s="63"/>
    </row>
    <row r="150" spans="1:17" s="57" customFormat="1" x14ac:dyDescent="0.2">
      <c r="A150" s="80"/>
      <c r="C150" s="61"/>
      <c r="D150" s="63"/>
      <c r="E150" s="68"/>
      <c r="N150" s="80"/>
      <c r="O150" s="80"/>
      <c r="P150" s="80"/>
      <c r="Q150" s="63"/>
    </row>
    <row r="151" spans="1:17" s="57" customFormat="1" x14ac:dyDescent="0.2">
      <c r="A151" s="80"/>
      <c r="C151" s="61"/>
      <c r="D151" s="63"/>
      <c r="E151" s="68"/>
      <c r="N151" s="80"/>
      <c r="O151" s="80"/>
      <c r="P151" s="80"/>
      <c r="Q151" s="63"/>
    </row>
    <row r="152" spans="1:17" s="57" customFormat="1" x14ac:dyDescent="0.2">
      <c r="A152" s="80"/>
      <c r="C152" s="61"/>
      <c r="D152" s="63"/>
      <c r="E152" s="68"/>
      <c r="N152" s="80"/>
      <c r="O152" s="80"/>
      <c r="P152" s="80"/>
      <c r="Q152" s="63"/>
    </row>
    <row r="153" spans="1:17" s="57" customFormat="1" x14ac:dyDescent="0.2">
      <c r="A153" s="80"/>
      <c r="C153" s="61"/>
      <c r="D153" s="63"/>
      <c r="E153" s="68"/>
      <c r="N153" s="80"/>
      <c r="O153" s="80"/>
      <c r="P153" s="80"/>
      <c r="Q153" s="63"/>
    </row>
    <row r="154" spans="1:17" s="57" customFormat="1" x14ac:dyDescent="0.2">
      <c r="A154" s="80"/>
      <c r="C154" s="61"/>
      <c r="D154" s="63"/>
      <c r="E154" s="68"/>
      <c r="N154" s="80"/>
      <c r="O154" s="80"/>
      <c r="P154" s="80"/>
      <c r="Q154" s="63"/>
    </row>
    <row r="155" spans="1:17" s="57" customFormat="1" x14ac:dyDescent="0.2">
      <c r="A155" s="80"/>
      <c r="C155" s="61"/>
      <c r="D155" s="63"/>
      <c r="E155" s="68"/>
      <c r="N155" s="80"/>
      <c r="O155" s="80"/>
      <c r="P155" s="80"/>
      <c r="Q155" s="63"/>
    </row>
    <row r="156" spans="1:17" s="57" customFormat="1" x14ac:dyDescent="0.2">
      <c r="A156" s="80"/>
      <c r="C156" s="61"/>
      <c r="D156" s="63"/>
      <c r="E156" s="68"/>
      <c r="N156" s="80"/>
      <c r="O156" s="80"/>
      <c r="P156" s="80"/>
      <c r="Q156" s="63"/>
    </row>
    <row r="157" spans="1:17" s="57" customFormat="1" x14ac:dyDescent="0.2">
      <c r="A157" s="80"/>
      <c r="C157" s="61"/>
      <c r="D157" s="63"/>
      <c r="E157" s="68"/>
      <c r="I157" s="61"/>
      <c r="N157" s="80"/>
      <c r="O157" s="80"/>
      <c r="P157" s="80"/>
      <c r="Q157" s="63"/>
    </row>
    <row r="158" spans="1:17" s="57" customFormat="1" x14ac:dyDescent="0.2">
      <c r="A158" s="80"/>
      <c r="C158" s="61"/>
      <c r="D158" s="63"/>
      <c r="E158" s="68"/>
      <c r="I158" s="61"/>
      <c r="N158" s="80"/>
      <c r="O158" s="80"/>
      <c r="P158" s="80"/>
      <c r="Q158" s="63"/>
    </row>
    <row r="159" spans="1:17" s="57" customFormat="1" x14ac:dyDescent="0.2">
      <c r="A159" s="80"/>
      <c r="C159" s="61"/>
      <c r="D159" s="63"/>
      <c r="E159" s="68"/>
      <c r="I159" s="61"/>
      <c r="N159" s="80"/>
      <c r="O159" s="80"/>
      <c r="P159" s="80"/>
      <c r="Q159" s="63"/>
    </row>
    <row r="160" spans="1:17"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26" sqref="E26"/>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268</v>
      </c>
      <c r="C1" s="66" t="s">
        <v>269</v>
      </c>
      <c r="D1" s="66" t="s">
        <v>270</v>
      </c>
      <c r="E1" s="56" t="s">
        <v>271</v>
      </c>
      <c r="F1" s="56" t="s">
        <v>272</v>
      </c>
      <c r="G1" s="56" t="s">
        <v>273</v>
      </c>
      <c r="H1" s="56" t="s">
        <v>274</v>
      </c>
      <c r="I1" s="56" t="s">
        <v>275</v>
      </c>
      <c r="J1" s="56" t="s">
        <v>276</v>
      </c>
    </row>
    <row r="2" spans="1:10" x14ac:dyDescent="0.25">
      <c r="A2" t="s">
        <v>259</v>
      </c>
      <c r="B2" s="31">
        <v>33.836826022989449</v>
      </c>
      <c r="C2" s="31">
        <v>9.1124073523769376</v>
      </c>
      <c r="D2" s="31">
        <v>110.05449865051345</v>
      </c>
      <c r="E2" s="76">
        <v>1000</v>
      </c>
      <c r="F2" s="77" t="s">
        <v>278</v>
      </c>
      <c r="G2" s="77" t="s">
        <v>279</v>
      </c>
      <c r="H2">
        <v>7</v>
      </c>
      <c r="I2">
        <v>3</v>
      </c>
      <c r="J2">
        <v>123</v>
      </c>
    </row>
    <row r="3" spans="1:10" x14ac:dyDescent="0.25">
      <c r="A3" t="s">
        <v>47</v>
      </c>
      <c r="B3" s="31">
        <v>3.2512931082380199</v>
      </c>
      <c r="C3" s="31">
        <v>0.86596807675827581</v>
      </c>
      <c r="D3" s="31">
        <v>8.7540451158330441</v>
      </c>
      <c r="E3" s="76">
        <v>1000</v>
      </c>
      <c r="F3" s="77" t="s">
        <v>278</v>
      </c>
      <c r="G3" s="77" t="s">
        <v>279</v>
      </c>
      <c r="H3">
        <v>75</v>
      </c>
      <c r="I3">
        <v>3</v>
      </c>
      <c r="J3">
        <v>934</v>
      </c>
    </row>
    <row r="4" spans="1:10" x14ac:dyDescent="0.25">
      <c r="A4" t="s">
        <v>9</v>
      </c>
      <c r="B4" s="31">
        <v>0</v>
      </c>
      <c r="C4" s="31">
        <v>0</v>
      </c>
      <c r="D4" s="31">
        <v>15.133867307588364</v>
      </c>
      <c r="E4" s="76">
        <v>1000</v>
      </c>
      <c r="F4" s="77" t="s">
        <v>62</v>
      </c>
      <c r="G4" s="77" t="s">
        <v>277</v>
      </c>
      <c r="H4">
        <v>10</v>
      </c>
      <c r="I4">
        <v>0</v>
      </c>
      <c r="J4">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30" sqref="F30"/>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268</v>
      </c>
      <c r="C1" s="66" t="s">
        <v>269</v>
      </c>
      <c r="D1" s="66" t="s">
        <v>270</v>
      </c>
      <c r="E1" s="56" t="s">
        <v>271</v>
      </c>
      <c r="F1" s="56" t="s">
        <v>272</v>
      </c>
      <c r="G1" s="56" t="s">
        <v>273</v>
      </c>
      <c r="H1" s="56" t="s">
        <v>274</v>
      </c>
      <c r="I1" s="56" t="s">
        <v>275</v>
      </c>
      <c r="J1" s="56" t="s">
        <v>276</v>
      </c>
    </row>
    <row r="2" spans="1:10" x14ac:dyDescent="0.25">
      <c r="A2" t="s">
        <v>259</v>
      </c>
      <c r="B2" s="31">
        <v>33.836826022989449</v>
      </c>
      <c r="C2" s="31">
        <v>9.1124073523769376</v>
      </c>
      <c r="D2" s="31">
        <v>110.05449865051345</v>
      </c>
      <c r="E2" s="76">
        <v>1000</v>
      </c>
      <c r="F2" s="77" t="s">
        <v>278</v>
      </c>
      <c r="G2" s="77" t="s">
        <v>279</v>
      </c>
      <c r="H2">
        <v>7</v>
      </c>
      <c r="I2">
        <v>3</v>
      </c>
      <c r="J2">
        <v>123</v>
      </c>
    </row>
    <row r="3" spans="1:10" x14ac:dyDescent="0.25">
      <c r="A3" t="s">
        <v>9</v>
      </c>
      <c r="B3" s="31">
        <v>0</v>
      </c>
      <c r="C3" s="31">
        <v>0</v>
      </c>
      <c r="D3" s="31">
        <v>15.133867307588364</v>
      </c>
      <c r="E3" s="76">
        <v>1000</v>
      </c>
      <c r="F3" s="77" t="s">
        <v>62</v>
      </c>
      <c r="G3" s="77" t="s">
        <v>277</v>
      </c>
      <c r="H3">
        <v>10</v>
      </c>
      <c r="I3">
        <v>0</v>
      </c>
      <c r="J3">
        <v>199</v>
      </c>
    </row>
    <row r="4" spans="1:10" x14ac:dyDescent="0.25">
      <c r="A4" t="s">
        <v>59</v>
      </c>
      <c r="B4" s="31">
        <v>0</v>
      </c>
      <c r="C4" s="31">
        <v>0</v>
      </c>
      <c r="D4" s="31">
        <v>15.947236241015531</v>
      </c>
      <c r="E4" s="76">
        <v>1000</v>
      </c>
      <c r="F4" s="77" t="s">
        <v>62</v>
      </c>
      <c r="G4" s="77" t="s">
        <v>277</v>
      </c>
      <c r="H4">
        <v>19</v>
      </c>
      <c r="I4">
        <v>0</v>
      </c>
      <c r="J4">
        <v>202</v>
      </c>
    </row>
    <row r="5" spans="1:10" x14ac:dyDescent="0.25">
      <c r="A5" t="s">
        <v>58</v>
      </c>
      <c r="B5" s="31">
        <v>6.0919505842727268</v>
      </c>
      <c r="C5" s="31">
        <v>0.36567752249251106</v>
      </c>
      <c r="D5" s="31">
        <v>29.910694611697295</v>
      </c>
      <c r="E5" s="76">
        <v>1000</v>
      </c>
      <c r="F5" s="77" t="s">
        <v>278</v>
      </c>
      <c r="G5" s="77" t="s">
        <v>279</v>
      </c>
      <c r="H5">
        <v>15</v>
      </c>
      <c r="I5">
        <v>1</v>
      </c>
      <c r="J5">
        <v>163</v>
      </c>
    </row>
    <row r="6" spans="1:10" x14ac:dyDescent="0.25">
      <c r="A6" t="s">
        <v>60</v>
      </c>
      <c r="B6" s="31">
        <v>4.0582809763664462</v>
      </c>
      <c r="C6" s="31">
        <v>0.74930246471684947</v>
      </c>
      <c r="D6" s="31">
        <v>13.147325629470107</v>
      </c>
      <c r="E6" s="76">
        <v>1000</v>
      </c>
      <c r="F6" s="77" t="s">
        <v>278</v>
      </c>
      <c r="G6" s="77" t="s">
        <v>279</v>
      </c>
      <c r="H6">
        <v>30</v>
      </c>
      <c r="I6">
        <v>2</v>
      </c>
      <c r="J6">
        <v>491</v>
      </c>
    </row>
    <row r="7" spans="1:10" x14ac:dyDescent="0.25">
      <c r="A7" t="s">
        <v>61</v>
      </c>
      <c r="B7" s="31">
        <v>0</v>
      </c>
      <c r="C7" s="31">
        <v>0</v>
      </c>
      <c r="D7" s="31">
        <v>36.773930686810978</v>
      </c>
      <c r="E7" s="76">
        <v>1000</v>
      </c>
      <c r="F7" s="77" t="s">
        <v>62</v>
      </c>
      <c r="G7" s="77" t="s">
        <v>277</v>
      </c>
      <c r="H7">
        <v>11</v>
      </c>
      <c r="I7">
        <v>0</v>
      </c>
      <c r="J7">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268</v>
      </c>
      <c r="C1" s="66" t="s">
        <v>269</v>
      </c>
      <c r="D1" s="66" t="s">
        <v>270</v>
      </c>
      <c r="E1" s="56" t="s">
        <v>271</v>
      </c>
      <c r="F1" s="56" t="s">
        <v>272</v>
      </c>
      <c r="G1" s="56" t="s">
        <v>273</v>
      </c>
      <c r="H1" s="56" t="s">
        <v>274</v>
      </c>
      <c r="I1" s="56" t="s">
        <v>275</v>
      </c>
      <c r="J1" s="56" t="s">
        <v>276</v>
      </c>
    </row>
    <row r="2" spans="1:10" x14ac:dyDescent="0.25">
      <c r="A2" t="s">
        <v>267</v>
      </c>
      <c r="B2" s="31">
        <v>0</v>
      </c>
      <c r="C2" s="31">
        <v>0</v>
      </c>
      <c r="D2" s="31">
        <v>71.126581986003146</v>
      </c>
      <c r="E2" s="76">
        <v>1000</v>
      </c>
      <c r="F2" s="77" t="s">
        <v>62</v>
      </c>
      <c r="G2" s="77" t="s">
        <v>277</v>
      </c>
      <c r="H2">
        <v>3</v>
      </c>
      <c r="I2">
        <v>0</v>
      </c>
      <c r="J2">
        <v>28</v>
      </c>
    </row>
    <row r="3" spans="1:10" x14ac:dyDescent="0.25">
      <c r="A3" t="s">
        <v>260</v>
      </c>
      <c r="B3" s="31">
        <v>46.236699868963576</v>
      </c>
      <c r="C3" s="31">
        <v>14.488858599035337</v>
      </c>
      <c r="D3" s="31">
        <v>235.94609010293638</v>
      </c>
      <c r="E3" s="76">
        <v>1000</v>
      </c>
      <c r="F3" s="77" t="s">
        <v>278</v>
      </c>
      <c r="G3" s="77" t="s">
        <v>279</v>
      </c>
      <c r="H3">
        <v>4</v>
      </c>
      <c r="I3">
        <v>3</v>
      </c>
      <c r="J3">
        <v>95</v>
      </c>
    </row>
    <row r="4" spans="1:10" x14ac:dyDescent="0.25">
      <c r="A4" t="s">
        <v>243</v>
      </c>
      <c r="B4" s="31">
        <v>0</v>
      </c>
      <c r="C4" s="31">
        <v>0</v>
      </c>
      <c r="D4" s="31">
        <v>138.84361887226211</v>
      </c>
      <c r="E4" s="76">
        <v>1000</v>
      </c>
      <c r="F4" s="77" t="s">
        <v>62</v>
      </c>
      <c r="G4" s="77" t="s">
        <v>277</v>
      </c>
      <c r="H4">
        <v>3</v>
      </c>
      <c r="I4">
        <v>0</v>
      </c>
      <c r="J4">
        <v>14</v>
      </c>
    </row>
    <row r="5" spans="1:10" x14ac:dyDescent="0.25">
      <c r="A5" t="s">
        <v>242</v>
      </c>
      <c r="B5" s="31">
        <v>0</v>
      </c>
      <c r="C5" s="31">
        <v>0</v>
      </c>
      <c r="D5" s="31">
        <v>15.844366511857027</v>
      </c>
      <c r="E5" s="76">
        <v>1000</v>
      </c>
      <c r="F5" s="77" t="s">
        <v>62</v>
      </c>
      <c r="G5" s="77" t="s">
        <v>277</v>
      </c>
      <c r="H5">
        <v>7</v>
      </c>
      <c r="I5">
        <v>0</v>
      </c>
      <c r="J5">
        <v>185</v>
      </c>
    </row>
    <row r="6" spans="1:10" x14ac:dyDescent="0.25">
      <c r="A6" t="s">
        <v>250</v>
      </c>
      <c r="B6" s="31">
        <v>0</v>
      </c>
      <c r="C6" s="31">
        <v>0</v>
      </c>
      <c r="D6" s="31">
        <v>22.698096764674514</v>
      </c>
      <c r="E6" s="76">
        <v>1000</v>
      </c>
      <c r="F6" s="77" t="s">
        <v>62</v>
      </c>
      <c r="G6" s="77" t="s">
        <v>277</v>
      </c>
      <c r="H6">
        <v>9</v>
      </c>
      <c r="I6">
        <v>0</v>
      </c>
      <c r="J6">
        <v>125</v>
      </c>
    </row>
    <row r="7" spans="1:10" x14ac:dyDescent="0.25">
      <c r="A7" t="s">
        <v>251</v>
      </c>
      <c r="B7" s="31">
        <v>0</v>
      </c>
      <c r="C7" s="31">
        <v>0</v>
      </c>
      <c r="D7" s="31">
        <v>37.471817771329718</v>
      </c>
      <c r="E7" s="76">
        <v>1000</v>
      </c>
      <c r="F7" s="77" t="s">
        <v>62</v>
      </c>
      <c r="G7" s="77" t="s">
        <v>277</v>
      </c>
      <c r="H7">
        <v>10</v>
      </c>
      <c r="I7">
        <v>0</v>
      </c>
      <c r="J7">
        <v>77</v>
      </c>
    </row>
    <row r="8" spans="1:10" x14ac:dyDescent="0.25">
      <c r="A8" t="s">
        <v>248</v>
      </c>
      <c r="B8" s="31">
        <v>0</v>
      </c>
      <c r="C8" s="31">
        <v>0</v>
      </c>
      <c r="D8" s="31">
        <v>26.231723884511929</v>
      </c>
      <c r="E8" s="76">
        <v>1000</v>
      </c>
      <c r="F8" s="77" t="s">
        <v>62</v>
      </c>
      <c r="G8" s="77" t="s">
        <v>277</v>
      </c>
      <c r="H8">
        <v>7</v>
      </c>
      <c r="I8">
        <v>0</v>
      </c>
      <c r="J8">
        <v>95</v>
      </c>
    </row>
    <row r="9" spans="1:10" x14ac:dyDescent="0.25">
      <c r="A9" t="s">
        <v>249</v>
      </c>
      <c r="B9" s="31">
        <v>15.750804816531163</v>
      </c>
      <c r="C9" s="31">
        <v>0.90644371223665987</v>
      </c>
      <c r="D9" s="31">
        <v>83.787173916636377</v>
      </c>
      <c r="E9" s="76">
        <v>1000</v>
      </c>
      <c r="F9" s="77" t="s">
        <v>278</v>
      </c>
      <c r="G9" s="77" t="s">
        <v>279</v>
      </c>
      <c r="H9">
        <v>8</v>
      </c>
      <c r="I9">
        <v>1</v>
      </c>
      <c r="J9">
        <v>68</v>
      </c>
    </row>
    <row r="10" spans="1:10" x14ac:dyDescent="0.25">
      <c r="A10" t="s">
        <v>247</v>
      </c>
      <c r="B10" s="31">
        <v>3.5591329222230685</v>
      </c>
      <c r="C10" s="31">
        <v>0.21555081195397546</v>
      </c>
      <c r="D10" s="31">
        <v>17.2745326797532</v>
      </c>
      <c r="E10" s="76">
        <v>1000</v>
      </c>
      <c r="F10" s="77" t="s">
        <v>278</v>
      </c>
      <c r="G10" s="77" t="s">
        <v>279</v>
      </c>
      <c r="H10">
        <v>15</v>
      </c>
      <c r="I10">
        <v>1</v>
      </c>
      <c r="J10">
        <v>273</v>
      </c>
    </row>
    <row r="11" spans="1:10" x14ac:dyDescent="0.25">
      <c r="A11" t="s">
        <v>246</v>
      </c>
      <c r="B11" s="31">
        <v>4.424295386174073</v>
      </c>
      <c r="C11" s="31">
        <v>0.26793487866037485</v>
      </c>
      <c r="D11" s="31">
        <v>21.204950919738028</v>
      </c>
      <c r="E11" s="76">
        <v>1000</v>
      </c>
      <c r="F11" s="77" t="s">
        <v>278</v>
      </c>
      <c r="G11" s="77" t="s">
        <v>279</v>
      </c>
      <c r="H11">
        <v>15</v>
      </c>
      <c r="I11">
        <v>1</v>
      </c>
      <c r="J11">
        <v>218</v>
      </c>
    </row>
    <row r="12" spans="1:10" x14ac:dyDescent="0.25">
      <c r="A12" t="s">
        <v>245</v>
      </c>
      <c r="B12" s="31">
        <v>0</v>
      </c>
      <c r="C12" s="31">
        <v>0</v>
      </c>
      <c r="D12" s="31">
        <v>88.977308407096146</v>
      </c>
      <c r="E12" s="76">
        <v>1000</v>
      </c>
      <c r="F12" s="77" t="s">
        <v>62</v>
      </c>
      <c r="G12" s="77" t="s">
        <v>277</v>
      </c>
      <c r="H12">
        <v>3</v>
      </c>
      <c r="I12">
        <v>0</v>
      </c>
      <c r="J12">
        <v>23</v>
      </c>
    </row>
    <row r="13" spans="1:10" x14ac:dyDescent="0.25">
      <c r="A13" t="s">
        <v>244</v>
      </c>
      <c r="B13" s="31">
        <v>0</v>
      </c>
      <c r="C13" s="31">
        <v>0</v>
      </c>
      <c r="D13" s="31">
        <v>47.06854737708592</v>
      </c>
      <c r="E13" s="76">
        <v>1000</v>
      </c>
      <c r="F13" s="77" t="s">
        <v>62</v>
      </c>
      <c r="G13" s="77" t="s">
        <v>277</v>
      </c>
      <c r="H13">
        <v>8</v>
      </c>
      <c r="I13">
        <v>0</v>
      </c>
      <c r="J13">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268</v>
      </c>
      <c r="C1" s="66" t="s">
        <v>269</v>
      </c>
      <c r="D1" s="66" t="s">
        <v>270</v>
      </c>
      <c r="E1" s="56" t="s">
        <v>271</v>
      </c>
      <c r="F1" s="56" t="s">
        <v>272</v>
      </c>
      <c r="G1" s="56" t="s">
        <v>273</v>
      </c>
      <c r="H1" s="56" t="s">
        <v>274</v>
      </c>
      <c r="I1" s="56" t="s">
        <v>275</v>
      </c>
      <c r="J1" s="56" t="s">
        <v>276</v>
      </c>
    </row>
    <row r="2" spans="1:10" x14ac:dyDescent="0.25">
      <c r="A2" t="s">
        <v>267</v>
      </c>
      <c r="B2" s="31">
        <v>0</v>
      </c>
      <c r="C2" s="31">
        <v>0</v>
      </c>
      <c r="D2" s="31">
        <v>71.126581986003146</v>
      </c>
      <c r="E2" s="76">
        <v>1000</v>
      </c>
      <c r="F2" s="77" t="s">
        <v>62</v>
      </c>
      <c r="G2" s="77" t="s">
        <v>277</v>
      </c>
      <c r="H2">
        <v>3</v>
      </c>
      <c r="I2">
        <v>0</v>
      </c>
      <c r="J2">
        <v>28</v>
      </c>
    </row>
    <row r="3" spans="1:10" x14ac:dyDescent="0.25">
      <c r="A3" t="s">
        <v>260</v>
      </c>
      <c r="B3" s="31">
        <v>46.236699868963576</v>
      </c>
      <c r="C3" s="31">
        <v>14.488858599035337</v>
      </c>
      <c r="D3" s="31">
        <v>235.94609010293638</v>
      </c>
      <c r="E3" s="76">
        <v>1000</v>
      </c>
      <c r="F3" s="77" t="s">
        <v>278</v>
      </c>
      <c r="G3" s="77" t="s">
        <v>279</v>
      </c>
      <c r="H3">
        <v>4</v>
      </c>
      <c r="I3">
        <v>3</v>
      </c>
      <c r="J3">
        <v>95</v>
      </c>
    </row>
    <row r="4" spans="1:10" x14ac:dyDescent="0.25">
      <c r="A4" t="s">
        <v>241</v>
      </c>
      <c r="B4" s="31">
        <v>1.9164749191369794</v>
      </c>
      <c r="C4" s="31">
        <v>0.11249218494787287</v>
      </c>
      <c r="D4" s="31">
        <v>9.278892642418592</v>
      </c>
      <c r="E4" s="76">
        <v>1000</v>
      </c>
      <c r="F4" s="77" t="s">
        <v>278</v>
      </c>
      <c r="G4" s="77" t="s">
        <v>279</v>
      </c>
      <c r="H4">
        <v>34</v>
      </c>
      <c r="I4">
        <v>1</v>
      </c>
      <c r="J4">
        <v>516</v>
      </c>
    </row>
    <row r="5" spans="1:10" x14ac:dyDescent="0.25">
      <c r="A5" t="s">
        <v>240</v>
      </c>
      <c r="B5" s="31">
        <v>4.8476311189057553</v>
      </c>
      <c r="C5" s="31">
        <v>0.87897082570588458</v>
      </c>
      <c r="D5" s="31">
        <v>15.847443011391039</v>
      </c>
      <c r="E5" s="76">
        <v>1000</v>
      </c>
      <c r="F5" s="77" t="s">
        <v>278</v>
      </c>
      <c r="G5" s="77" t="s">
        <v>279</v>
      </c>
      <c r="H5">
        <v>41</v>
      </c>
      <c r="I5">
        <v>2</v>
      </c>
      <c r="J5">
        <v>418</v>
      </c>
    </row>
    <row r="6" spans="1:10" x14ac:dyDescent="0.25">
      <c r="A6" t="s">
        <v>243</v>
      </c>
      <c r="B6" s="31">
        <v>0</v>
      </c>
      <c r="C6" s="31">
        <v>0</v>
      </c>
      <c r="D6" s="31">
        <v>138.84361887226211</v>
      </c>
      <c r="E6" s="76">
        <v>1000</v>
      </c>
      <c r="F6" s="77" t="s">
        <v>62</v>
      </c>
      <c r="G6" s="77" t="s">
        <v>277</v>
      </c>
      <c r="H6">
        <v>3</v>
      </c>
      <c r="I6">
        <v>0</v>
      </c>
      <c r="J6">
        <v>14</v>
      </c>
    </row>
    <row r="7" spans="1:10" x14ac:dyDescent="0.25">
      <c r="A7" t="s">
        <v>242</v>
      </c>
      <c r="B7" s="31">
        <v>0</v>
      </c>
      <c r="C7" s="31">
        <v>0</v>
      </c>
      <c r="D7" s="31">
        <v>15.844366511857027</v>
      </c>
      <c r="E7" s="76">
        <v>1000</v>
      </c>
      <c r="F7" s="77" t="s">
        <v>62</v>
      </c>
      <c r="G7" s="77" t="s">
        <v>277</v>
      </c>
      <c r="H7">
        <v>7</v>
      </c>
      <c r="I7">
        <v>0</v>
      </c>
      <c r="J7">
        <v>185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sqref="A1:XFD1048576"/>
    </sheetView>
  </sheetViews>
  <sheetFormatPr defaultRowHeight="15" x14ac:dyDescent="0.25"/>
  <cols>
    <col min="2" max="2" width="12.5703125"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40" t="s">
        <v>0</v>
      </c>
      <c r="C1" s="40" t="s">
        <v>66</v>
      </c>
      <c r="D1" s="40" t="s">
        <v>46</v>
      </c>
      <c r="E1" s="40" t="s">
        <v>67</v>
      </c>
      <c r="F1" s="40" t="s">
        <v>68</v>
      </c>
      <c r="G1" s="40" t="s">
        <v>69</v>
      </c>
      <c r="H1" s="40" t="s">
        <v>70</v>
      </c>
      <c r="I1" s="40" t="s">
        <v>71</v>
      </c>
      <c r="J1" s="40" t="s">
        <v>72</v>
      </c>
      <c r="K1" s="40" t="s">
        <v>73</v>
      </c>
      <c r="L1" s="40" t="s">
        <v>45</v>
      </c>
    </row>
    <row r="2" spans="1:23" s="64" customFormat="1" x14ac:dyDescent="0.25">
      <c r="A2">
        <v>34</v>
      </c>
      <c r="B2" s="91">
        <v>42971</v>
      </c>
      <c r="C2" t="s">
        <v>116</v>
      </c>
      <c r="D2" s="41" t="s">
        <v>61</v>
      </c>
      <c r="E2" t="s">
        <v>234</v>
      </c>
      <c r="F2" t="s">
        <v>163</v>
      </c>
      <c r="G2" t="s">
        <v>164</v>
      </c>
      <c r="H2">
        <v>0</v>
      </c>
      <c r="I2">
        <v>0</v>
      </c>
      <c r="J2">
        <v>0</v>
      </c>
      <c r="K2">
        <v>4</v>
      </c>
      <c r="L2"/>
      <c r="M2"/>
      <c r="N2"/>
      <c r="O2"/>
      <c r="P2"/>
      <c r="Q2"/>
      <c r="R2"/>
      <c r="S2"/>
      <c r="T2"/>
      <c r="U2"/>
      <c r="V2"/>
      <c r="W2"/>
    </row>
    <row r="3" spans="1:23" x14ac:dyDescent="0.25">
      <c r="A3">
        <v>34</v>
      </c>
      <c r="B3" s="91">
        <v>42970</v>
      </c>
      <c r="C3" t="s">
        <v>132</v>
      </c>
      <c r="D3" s="41" t="s">
        <v>60</v>
      </c>
      <c r="E3" t="s">
        <v>225</v>
      </c>
      <c r="F3" t="s">
        <v>163</v>
      </c>
      <c r="G3" t="s">
        <v>164</v>
      </c>
      <c r="H3">
        <v>6</v>
      </c>
      <c r="I3">
        <v>9</v>
      </c>
      <c r="J3">
        <v>15</v>
      </c>
      <c r="K3">
        <v>167</v>
      </c>
    </row>
    <row r="4" spans="1:23" x14ac:dyDescent="0.25">
      <c r="A4" s="41">
        <v>34</v>
      </c>
      <c r="B4" s="91">
        <v>42968</v>
      </c>
      <c r="C4" s="41" t="s">
        <v>157</v>
      </c>
      <c r="D4" s="41" t="s">
        <v>59</v>
      </c>
      <c r="E4" s="41" t="s">
        <v>210</v>
      </c>
      <c r="F4" s="41" t="s">
        <v>163</v>
      </c>
      <c r="G4" s="41" t="s">
        <v>164</v>
      </c>
      <c r="H4" s="41">
        <v>12</v>
      </c>
      <c r="I4" s="41">
        <v>7</v>
      </c>
      <c r="J4" s="41">
        <v>19</v>
      </c>
      <c r="K4" s="41">
        <v>1487</v>
      </c>
    </row>
    <row r="5" spans="1:23" x14ac:dyDescent="0.25">
      <c r="A5" s="41">
        <v>34</v>
      </c>
      <c r="B5" s="92">
        <v>42970</v>
      </c>
      <c r="C5" s="41" t="s">
        <v>146</v>
      </c>
      <c r="D5" s="41" t="s">
        <v>58</v>
      </c>
      <c r="E5" s="41" t="s">
        <v>324</v>
      </c>
      <c r="F5" s="41" t="s">
        <v>163</v>
      </c>
      <c r="G5" s="41" t="s">
        <v>164</v>
      </c>
      <c r="H5" s="41">
        <v>1</v>
      </c>
      <c r="I5" s="41">
        <v>50</v>
      </c>
      <c r="J5" s="41">
        <v>51</v>
      </c>
      <c r="K5" s="41">
        <v>228</v>
      </c>
    </row>
    <row r="6" spans="1:23" x14ac:dyDescent="0.25">
      <c r="A6" s="41">
        <v>34</v>
      </c>
      <c r="B6" s="91">
        <v>42968</v>
      </c>
      <c r="C6" s="41" t="s">
        <v>160</v>
      </c>
      <c r="D6" s="41" t="s">
        <v>59</v>
      </c>
      <c r="E6" s="41" t="s">
        <v>300</v>
      </c>
      <c r="F6" s="41" t="s">
        <v>163</v>
      </c>
      <c r="G6" s="41" t="s">
        <v>164</v>
      </c>
      <c r="H6" s="41">
        <v>1</v>
      </c>
      <c r="I6" s="41">
        <v>0</v>
      </c>
      <c r="J6" s="41">
        <v>1</v>
      </c>
      <c r="K6" s="41">
        <v>32</v>
      </c>
    </row>
    <row r="7" spans="1:23" x14ac:dyDescent="0.25">
      <c r="A7" s="41">
        <v>34</v>
      </c>
      <c r="B7" s="91">
        <v>42970</v>
      </c>
      <c r="C7" s="41" t="s">
        <v>148</v>
      </c>
      <c r="D7" s="41" t="s">
        <v>58</v>
      </c>
      <c r="E7" s="41" t="s">
        <v>219</v>
      </c>
      <c r="F7" s="41" t="s">
        <v>163</v>
      </c>
      <c r="G7" s="41" t="s">
        <v>164</v>
      </c>
      <c r="H7" s="41">
        <v>6</v>
      </c>
      <c r="I7" s="41">
        <v>3</v>
      </c>
      <c r="J7" s="41">
        <v>9</v>
      </c>
      <c r="K7" s="41">
        <v>110</v>
      </c>
    </row>
    <row r="8" spans="1:23" x14ac:dyDescent="0.25">
      <c r="A8" s="41">
        <v>34</v>
      </c>
      <c r="B8" s="91">
        <v>42968</v>
      </c>
      <c r="C8" s="41" t="s">
        <v>152</v>
      </c>
      <c r="D8" s="41" t="s">
        <v>59</v>
      </c>
      <c r="E8" s="41" t="s">
        <v>211</v>
      </c>
      <c r="F8" s="41" t="s">
        <v>163</v>
      </c>
      <c r="G8" s="41" t="s">
        <v>164</v>
      </c>
      <c r="H8" s="41">
        <v>3</v>
      </c>
      <c r="I8" s="41">
        <v>0</v>
      </c>
      <c r="J8" s="41">
        <v>3</v>
      </c>
      <c r="K8" s="41">
        <v>50</v>
      </c>
    </row>
    <row r="9" spans="1:23" x14ac:dyDescent="0.25">
      <c r="A9" s="41">
        <v>34</v>
      </c>
      <c r="B9" s="91">
        <v>42970</v>
      </c>
      <c r="C9" s="41" t="s">
        <v>128</v>
      </c>
      <c r="D9" s="41" t="s">
        <v>60</v>
      </c>
      <c r="E9" s="41" t="s">
        <v>226</v>
      </c>
      <c r="F9" s="41" t="s">
        <v>163</v>
      </c>
      <c r="G9" s="41" t="s">
        <v>164</v>
      </c>
      <c r="H9" s="41">
        <v>17</v>
      </c>
      <c r="I9" s="41">
        <v>14</v>
      </c>
      <c r="J9" s="41">
        <v>31</v>
      </c>
      <c r="K9">
        <v>224</v>
      </c>
    </row>
    <row r="10" spans="1:23" s="64" customFormat="1" x14ac:dyDescent="0.25">
      <c r="A10" s="41">
        <v>34</v>
      </c>
      <c r="B10" s="93">
        <v>42970</v>
      </c>
      <c r="C10" s="41" t="s">
        <v>131</v>
      </c>
      <c r="D10" s="41" t="s">
        <v>60</v>
      </c>
      <c r="E10" s="41" t="s">
        <v>316</v>
      </c>
      <c r="F10" s="41" t="s">
        <v>163</v>
      </c>
      <c r="G10" s="41" t="s">
        <v>164</v>
      </c>
      <c r="H10" s="41">
        <v>8</v>
      </c>
      <c r="I10" s="41">
        <v>0</v>
      </c>
      <c r="J10" s="41">
        <v>8</v>
      </c>
      <c r="K10">
        <v>39</v>
      </c>
      <c r="L10"/>
      <c r="M10"/>
      <c r="N10"/>
      <c r="O10"/>
      <c r="P10"/>
      <c r="Q10"/>
      <c r="R10"/>
      <c r="S10"/>
      <c r="T10"/>
      <c r="U10"/>
      <c r="V10"/>
      <c r="W10"/>
    </row>
    <row r="11" spans="1:23" x14ac:dyDescent="0.25">
      <c r="A11">
        <v>34</v>
      </c>
      <c r="B11" s="92">
        <v>42971</v>
      </c>
      <c r="C11" t="s">
        <v>115</v>
      </c>
      <c r="D11" s="41" t="s">
        <v>60</v>
      </c>
      <c r="E11" t="s">
        <v>332</v>
      </c>
      <c r="F11" t="s">
        <v>163</v>
      </c>
      <c r="G11" t="s">
        <v>164</v>
      </c>
      <c r="H11">
        <v>15</v>
      </c>
      <c r="I11">
        <v>3</v>
      </c>
      <c r="J11">
        <v>18</v>
      </c>
      <c r="K11">
        <v>82</v>
      </c>
    </row>
    <row r="12" spans="1:23" x14ac:dyDescent="0.25">
      <c r="A12" s="41">
        <v>34</v>
      </c>
      <c r="B12" s="91">
        <v>42970</v>
      </c>
      <c r="C12" s="41" t="s">
        <v>122</v>
      </c>
      <c r="D12" s="41" t="s">
        <v>60</v>
      </c>
      <c r="E12" s="41" t="s">
        <v>227</v>
      </c>
      <c r="F12" s="41" t="s">
        <v>163</v>
      </c>
      <c r="G12" s="41" t="s">
        <v>164</v>
      </c>
      <c r="H12" s="41">
        <v>2</v>
      </c>
      <c r="I12" s="41">
        <v>0</v>
      </c>
      <c r="J12" s="41">
        <v>2</v>
      </c>
      <c r="K12" s="41">
        <v>42</v>
      </c>
    </row>
    <row r="13" spans="1:23" x14ac:dyDescent="0.25">
      <c r="A13">
        <v>34</v>
      </c>
      <c r="B13" s="92">
        <v>42968</v>
      </c>
      <c r="C13" t="s">
        <v>212</v>
      </c>
      <c r="D13" s="41" t="s">
        <v>59</v>
      </c>
      <c r="E13" t="s">
        <v>213</v>
      </c>
      <c r="F13" t="s">
        <v>163</v>
      </c>
      <c r="G13" t="s">
        <v>164</v>
      </c>
      <c r="H13">
        <v>9</v>
      </c>
      <c r="I13">
        <v>0</v>
      </c>
      <c r="J13">
        <v>9</v>
      </c>
      <c r="K13">
        <v>99</v>
      </c>
    </row>
    <row r="14" spans="1:23" s="64" customFormat="1" x14ac:dyDescent="0.25">
      <c r="A14">
        <v>34</v>
      </c>
      <c r="B14" s="93">
        <v>42968</v>
      </c>
      <c r="C14" t="s">
        <v>155</v>
      </c>
      <c r="D14" s="41" t="s">
        <v>58</v>
      </c>
      <c r="E14" t="s">
        <v>220</v>
      </c>
      <c r="F14" t="s">
        <v>163</v>
      </c>
      <c r="G14" t="s">
        <v>164</v>
      </c>
      <c r="H14">
        <v>23</v>
      </c>
      <c r="I14">
        <v>3</v>
      </c>
      <c r="J14">
        <v>26</v>
      </c>
      <c r="K14" s="41">
        <v>271</v>
      </c>
      <c r="L14"/>
      <c r="M14"/>
      <c r="N14"/>
      <c r="O14"/>
      <c r="P14"/>
      <c r="Q14"/>
      <c r="R14"/>
      <c r="S14"/>
      <c r="T14"/>
      <c r="U14"/>
      <c r="V14"/>
      <c r="W14"/>
    </row>
    <row r="15" spans="1:23" s="64" customFormat="1" x14ac:dyDescent="0.25">
      <c r="A15" s="41">
        <v>34</v>
      </c>
      <c r="B15" s="91">
        <v>42971</v>
      </c>
      <c r="C15" s="41" t="s">
        <v>110</v>
      </c>
      <c r="D15" s="41" t="s">
        <v>61</v>
      </c>
      <c r="E15" s="41" t="s">
        <v>235</v>
      </c>
      <c r="F15" s="41" t="s">
        <v>163</v>
      </c>
      <c r="G15" s="41" t="s">
        <v>164</v>
      </c>
      <c r="H15" s="41">
        <v>27</v>
      </c>
      <c r="I15" s="41">
        <v>0</v>
      </c>
      <c r="J15" s="41">
        <v>27</v>
      </c>
      <c r="K15" s="41">
        <v>80</v>
      </c>
      <c r="L15"/>
      <c r="M15"/>
      <c r="N15"/>
      <c r="O15"/>
      <c r="P15"/>
      <c r="Q15"/>
      <c r="R15"/>
      <c r="S15"/>
      <c r="T15"/>
      <c r="U15"/>
      <c r="V15"/>
      <c r="W15"/>
    </row>
    <row r="16" spans="1:23" x14ac:dyDescent="0.25">
      <c r="A16">
        <v>34</v>
      </c>
      <c r="B16" s="93">
        <v>42968</v>
      </c>
      <c r="C16" t="s">
        <v>161</v>
      </c>
      <c r="D16" s="41" t="s">
        <v>59</v>
      </c>
      <c r="E16" t="s">
        <v>214</v>
      </c>
      <c r="F16" t="s">
        <v>163</v>
      </c>
      <c r="G16" t="s">
        <v>164</v>
      </c>
      <c r="H16">
        <v>1</v>
      </c>
      <c r="I16">
        <v>0</v>
      </c>
      <c r="J16">
        <v>1</v>
      </c>
      <c r="K16">
        <v>23</v>
      </c>
    </row>
    <row r="17" spans="1:11" x14ac:dyDescent="0.25">
      <c r="A17" s="41">
        <v>34</v>
      </c>
      <c r="B17" s="93">
        <v>42969</v>
      </c>
      <c r="C17" s="41" t="s">
        <v>137</v>
      </c>
      <c r="D17" s="41" t="s">
        <v>60</v>
      </c>
      <c r="E17" s="41" t="s">
        <v>313</v>
      </c>
      <c r="F17" s="41" t="s">
        <v>163</v>
      </c>
      <c r="G17" s="41" t="s">
        <v>164</v>
      </c>
      <c r="H17" s="41">
        <v>32</v>
      </c>
      <c r="I17" s="41">
        <v>4</v>
      </c>
      <c r="J17" s="41">
        <v>36</v>
      </c>
      <c r="K17">
        <v>284</v>
      </c>
    </row>
    <row r="18" spans="1:11" x14ac:dyDescent="0.25">
      <c r="A18">
        <v>34</v>
      </c>
      <c r="B18" s="91">
        <v>42968</v>
      </c>
      <c r="C18" t="s">
        <v>156</v>
      </c>
      <c r="D18" s="41" t="s">
        <v>59</v>
      </c>
      <c r="E18" t="s">
        <v>215</v>
      </c>
      <c r="F18" t="s">
        <v>163</v>
      </c>
      <c r="G18" t="s">
        <v>164</v>
      </c>
      <c r="H18">
        <v>2</v>
      </c>
      <c r="I18">
        <v>4</v>
      </c>
      <c r="J18">
        <v>6</v>
      </c>
      <c r="K18">
        <v>7</v>
      </c>
    </row>
    <row r="19" spans="1:11" x14ac:dyDescent="0.25">
      <c r="A19" s="41">
        <v>34</v>
      </c>
      <c r="B19" s="93">
        <v>42970</v>
      </c>
      <c r="C19" s="41" t="s">
        <v>144</v>
      </c>
      <c r="D19" s="41" t="s">
        <v>58</v>
      </c>
      <c r="E19" s="41" t="s">
        <v>221</v>
      </c>
      <c r="F19" s="41" t="s">
        <v>163</v>
      </c>
      <c r="G19" s="41" t="s">
        <v>164</v>
      </c>
      <c r="H19" s="41">
        <v>19</v>
      </c>
      <c r="I19" s="41">
        <v>8</v>
      </c>
      <c r="J19" s="41">
        <v>27</v>
      </c>
      <c r="K19" s="41">
        <v>185</v>
      </c>
    </row>
    <row r="20" spans="1:11" x14ac:dyDescent="0.25">
      <c r="A20" s="41">
        <v>34</v>
      </c>
      <c r="B20" s="91">
        <v>42970</v>
      </c>
      <c r="C20" s="41" t="s">
        <v>125</v>
      </c>
      <c r="D20" s="41" t="s">
        <v>60</v>
      </c>
      <c r="E20" s="41" t="s">
        <v>228</v>
      </c>
      <c r="F20" s="41" t="s">
        <v>163</v>
      </c>
      <c r="G20" s="41" t="s">
        <v>164</v>
      </c>
      <c r="H20" s="41">
        <v>6</v>
      </c>
      <c r="I20" s="41">
        <v>3</v>
      </c>
      <c r="J20" s="41">
        <v>9</v>
      </c>
      <c r="K20" s="41">
        <v>36</v>
      </c>
    </row>
    <row r="21" spans="1:11" x14ac:dyDescent="0.25">
      <c r="A21">
        <v>34</v>
      </c>
      <c r="B21" s="91">
        <v>42970</v>
      </c>
      <c r="C21" t="s">
        <v>124</v>
      </c>
      <c r="D21" s="41" t="s">
        <v>60</v>
      </c>
      <c r="E21" t="s">
        <v>229</v>
      </c>
      <c r="F21" t="s">
        <v>163</v>
      </c>
      <c r="G21" t="s">
        <v>164</v>
      </c>
      <c r="H21">
        <v>5</v>
      </c>
      <c r="I21">
        <v>0</v>
      </c>
      <c r="J21">
        <v>5</v>
      </c>
      <c r="K21">
        <v>25</v>
      </c>
    </row>
    <row r="22" spans="1:11" x14ac:dyDescent="0.25">
      <c r="A22">
        <v>34</v>
      </c>
      <c r="B22" s="92">
        <v>42970</v>
      </c>
      <c r="C22" t="s">
        <v>150</v>
      </c>
      <c r="D22" s="41" t="s">
        <v>61</v>
      </c>
      <c r="E22" t="s">
        <v>236</v>
      </c>
      <c r="F22" t="s">
        <v>163</v>
      </c>
      <c r="G22" t="s">
        <v>164</v>
      </c>
      <c r="H22">
        <v>3</v>
      </c>
      <c r="I22">
        <v>0</v>
      </c>
      <c r="J22">
        <v>3</v>
      </c>
      <c r="K22">
        <v>12</v>
      </c>
    </row>
    <row r="23" spans="1:11" x14ac:dyDescent="0.25">
      <c r="A23">
        <v>34</v>
      </c>
      <c r="B23" s="93">
        <v>42970</v>
      </c>
      <c r="C23" t="s">
        <v>127</v>
      </c>
      <c r="D23" s="41" t="s">
        <v>60</v>
      </c>
      <c r="E23" t="s">
        <v>230</v>
      </c>
      <c r="F23" t="s">
        <v>163</v>
      </c>
      <c r="G23" t="s">
        <v>164</v>
      </c>
      <c r="H23">
        <v>7</v>
      </c>
      <c r="I23">
        <v>3</v>
      </c>
      <c r="J23">
        <v>10</v>
      </c>
      <c r="K23">
        <v>85</v>
      </c>
    </row>
    <row r="24" spans="1:11" x14ac:dyDescent="0.25">
      <c r="A24" s="41">
        <v>34</v>
      </c>
      <c r="B24" s="93">
        <v>42970</v>
      </c>
      <c r="C24" s="41" t="s">
        <v>141</v>
      </c>
      <c r="D24" s="41" t="s">
        <v>58</v>
      </c>
      <c r="E24" s="41" t="s">
        <v>222</v>
      </c>
      <c r="F24" s="41" t="s">
        <v>163</v>
      </c>
      <c r="G24" s="41" t="s">
        <v>164</v>
      </c>
      <c r="H24" s="41">
        <v>2</v>
      </c>
      <c r="I24" s="41">
        <v>0</v>
      </c>
      <c r="J24" s="41">
        <v>2</v>
      </c>
      <c r="K24" s="41">
        <v>638</v>
      </c>
    </row>
    <row r="25" spans="1:11" x14ac:dyDescent="0.25">
      <c r="A25">
        <v>34</v>
      </c>
      <c r="B25" s="93">
        <v>42969</v>
      </c>
      <c r="C25" t="s">
        <v>136</v>
      </c>
      <c r="D25" s="41" t="s">
        <v>60</v>
      </c>
      <c r="E25" t="s">
        <v>231</v>
      </c>
      <c r="F25" t="s">
        <v>163</v>
      </c>
      <c r="G25" t="s">
        <v>164</v>
      </c>
      <c r="H25">
        <v>20</v>
      </c>
      <c r="I25">
        <v>4</v>
      </c>
      <c r="J25">
        <v>24</v>
      </c>
      <c r="K25">
        <v>119</v>
      </c>
    </row>
    <row r="26" spans="1:11" x14ac:dyDescent="0.25">
      <c r="A26" s="41">
        <v>34</v>
      </c>
      <c r="B26" s="91">
        <v>42971</v>
      </c>
      <c r="C26" s="41" t="s">
        <v>118</v>
      </c>
      <c r="D26" s="41" t="s">
        <v>60</v>
      </c>
      <c r="E26" s="41" t="s">
        <v>331</v>
      </c>
      <c r="F26" s="41" t="s">
        <v>163</v>
      </c>
      <c r="G26" s="41" t="s">
        <v>164</v>
      </c>
      <c r="H26" s="41">
        <v>10</v>
      </c>
      <c r="I26" s="41">
        <v>0</v>
      </c>
      <c r="J26" s="41">
        <v>10</v>
      </c>
      <c r="K26" s="41">
        <v>81</v>
      </c>
    </row>
    <row r="27" spans="1:11" x14ac:dyDescent="0.25">
      <c r="A27">
        <v>34</v>
      </c>
      <c r="B27" s="91">
        <v>42971</v>
      </c>
      <c r="C27" t="s">
        <v>104</v>
      </c>
      <c r="D27" s="41" t="s">
        <v>61</v>
      </c>
      <c r="E27" t="s">
        <v>335</v>
      </c>
      <c r="F27" t="s">
        <v>163</v>
      </c>
      <c r="G27" t="s">
        <v>164</v>
      </c>
      <c r="H27">
        <v>8</v>
      </c>
      <c r="I27">
        <v>3</v>
      </c>
      <c r="J27">
        <v>11</v>
      </c>
      <c r="K27" s="41">
        <v>35</v>
      </c>
    </row>
    <row r="28" spans="1:11" x14ac:dyDescent="0.25">
      <c r="A28">
        <v>34</v>
      </c>
      <c r="B28" s="91">
        <v>42970</v>
      </c>
      <c r="C28" t="s">
        <v>149</v>
      </c>
      <c r="D28" s="41" t="s">
        <v>61</v>
      </c>
      <c r="E28" t="s">
        <v>237</v>
      </c>
      <c r="F28" t="s">
        <v>163</v>
      </c>
      <c r="G28" t="s">
        <v>164</v>
      </c>
      <c r="H28">
        <v>0</v>
      </c>
      <c r="I28">
        <v>4</v>
      </c>
      <c r="J28">
        <v>4</v>
      </c>
      <c r="K28">
        <v>12</v>
      </c>
    </row>
    <row r="29" spans="1:11" x14ac:dyDescent="0.25">
      <c r="A29">
        <v>34</v>
      </c>
      <c r="B29" s="91">
        <v>42970</v>
      </c>
      <c r="C29" t="s">
        <v>130</v>
      </c>
      <c r="D29" s="41" t="s">
        <v>60</v>
      </c>
      <c r="E29" t="s">
        <v>232</v>
      </c>
      <c r="F29" t="s">
        <v>163</v>
      </c>
      <c r="G29" t="s">
        <v>164</v>
      </c>
      <c r="H29">
        <v>5</v>
      </c>
      <c r="I29">
        <v>0</v>
      </c>
      <c r="J29">
        <v>5</v>
      </c>
      <c r="K29">
        <v>64</v>
      </c>
    </row>
    <row r="30" spans="1:11" x14ac:dyDescent="0.25">
      <c r="A30">
        <v>34</v>
      </c>
      <c r="B30" s="92">
        <v>42970</v>
      </c>
      <c r="C30" t="s">
        <v>145</v>
      </c>
      <c r="D30" s="41" t="s">
        <v>58</v>
      </c>
      <c r="E30" t="s">
        <v>223</v>
      </c>
      <c r="F30" t="s">
        <v>163</v>
      </c>
      <c r="G30" t="s">
        <v>164</v>
      </c>
      <c r="H30">
        <v>6</v>
      </c>
      <c r="I30">
        <v>0</v>
      </c>
      <c r="J30">
        <v>6</v>
      </c>
      <c r="K30" s="41">
        <v>48</v>
      </c>
    </row>
    <row r="31" spans="1:11" x14ac:dyDescent="0.25">
      <c r="A31">
        <v>34</v>
      </c>
      <c r="B31" s="91">
        <v>42970</v>
      </c>
      <c r="C31" t="s">
        <v>140</v>
      </c>
      <c r="D31" s="41" t="s">
        <v>58</v>
      </c>
      <c r="E31" t="s">
        <v>322</v>
      </c>
      <c r="F31" t="s">
        <v>163</v>
      </c>
      <c r="G31" t="s">
        <v>164</v>
      </c>
      <c r="H31">
        <v>7</v>
      </c>
      <c r="I31">
        <v>0</v>
      </c>
      <c r="J31">
        <v>7</v>
      </c>
      <c r="K31">
        <v>711</v>
      </c>
    </row>
    <row r="32" spans="1:11" x14ac:dyDescent="0.25">
      <c r="A32">
        <v>34</v>
      </c>
      <c r="B32" s="92">
        <v>42971</v>
      </c>
      <c r="C32" t="s">
        <v>111</v>
      </c>
      <c r="D32" s="41" t="s">
        <v>61</v>
      </c>
      <c r="E32" t="s">
        <v>238</v>
      </c>
      <c r="F32" t="s">
        <v>163</v>
      </c>
      <c r="G32" t="s">
        <v>164</v>
      </c>
      <c r="H32">
        <v>4</v>
      </c>
      <c r="I32">
        <v>0</v>
      </c>
      <c r="J32">
        <v>4</v>
      </c>
      <c r="K32" s="41">
        <v>28</v>
      </c>
    </row>
    <row r="33" spans="1:23" x14ac:dyDescent="0.25">
      <c r="A33" s="41">
        <v>34</v>
      </c>
      <c r="B33" s="91">
        <v>42970</v>
      </c>
      <c r="C33" s="41" t="s">
        <v>147</v>
      </c>
      <c r="D33" s="41" t="s">
        <v>58</v>
      </c>
      <c r="E33" s="41" t="s">
        <v>224</v>
      </c>
      <c r="F33" s="41" t="s">
        <v>163</v>
      </c>
      <c r="G33" s="41" t="s">
        <v>164</v>
      </c>
      <c r="H33" s="41">
        <v>1</v>
      </c>
      <c r="I33" s="41">
        <v>2</v>
      </c>
      <c r="J33" s="41">
        <v>3</v>
      </c>
      <c r="K33" s="41">
        <v>76</v>
      </c>
      <c r="W33" s="64"/>
    </row>
    <row r="34" spans="1:23" x14ac:dyDescent="0.25">
      <c r="A34">
        <v>34</v>
      </c>
      <c r="B34" s="91">
        <v>42969</v>
      </c>
      <c r="C34" t="s">
        <v>138</v>
      </c>
      <c r="D34" s="41" t="s">
        <v>60</v>
      </c>
      <c r="E34" t="s">
        <v>314</v>
      </c>
      <c r="F34" t="s">
        <v>163</v>
      </c>
      <c r="G34" t="s">
        <v>164</v>
      </c>
      <c r="H34">
        <v>28</v>
      </c>
      <c r="I34">
        <v>12</v>
      </c>
      <c r="J34">
        <v>40</v>
      </c>
      <c r="K34">
        <v>145</v>
      </c>
    </row>
    <row r="35" spans="1:23" x14ac:dyDescent="0.25">
      <c r="A35">
        <v>34</v>
      </c>
      <c r="B35" s="91">
        <v>42968</v>
      </c>
      <c r="C35" t="s">
        <v>151</v>
      </c>
      <c r="D35" s="41" t="s">
        <v>59</v>
      </c>
      <c r="E35" t="s">
        <v>216</v>
      </c>
      <c r="F35" t="s">
        <v>163</v>
      </c>
      <c r="G35" t="s">
        <v>164</v>
      </c>
      <c r="H35">
        <v>5</v>
      </c>
      <c r="I35">
        <v>18</v>
      </c>
      <c r="J35">
        <v>23</v>
      </c>
      <c r="K35">
        <v>840</v>
      </c>
    </row>
    <row r="36" spans="1:23" x14ac:dyDescent="0.25">
      <c r="A36" s="41">
        <v>34</v>
      </c>
      <c r="B36" s="91">
        <v>42970</v>
      </c>
      <c r="C36" s="41" t="s">
        <v>153</v>
      </c>
      <c r="D36" s="41" t="s">
        <v>59</v>
      </c>
      <c r="E36" s="41" t="s">
        <v>217</v>
      </c>
      <c r="F36" s="41" t="s">
        <v>163</v>
      </c>
      <c r="G36" s="41" t="s">
        <v>164</v>
      </c>
      <c r="H36" s="41">
        <v>25</v>
      </c>
      <c r="I36" s="41">
        <v>30</v>
      </c>
      <c r="J36" s="41">
        <v>55</v>
      </c>
      <c r="K36" s="41">
        <v>2048</v>
      </c>
      <c r="M36" t="s">
        <v>434</v>
      </c>
    </row>
    <row r="37" spans="1:23" x14ac:dyDescent="0.25">
      <c r="A37" s="41">
        <v>34</v>
      </c>
      <c r="B37" s="93">
        <v>42971</v>
      </c>
      <c r="C37" s="41" t="s">
        <v>114</v>
      </c>
      <c r="D37" s="41" t="s">
        <v>61</v>
      </c>
      <c r="E37" s="41" t="s">
        <v>333</v>
      </c>
      <c r="F37" s="41" t="s">
        <v>163</v>
      </c>
      <c r="G37" s="41" t="s">
        <v>164</v>
      </c>
      <c r="H37" s="41">
        <v>2</v>
      </c>
      <c r="I37" s="41">
        <v>0</v>
      </c>
      <c r="J37" s="41">
        <v>2</v>
      </c>
      <c r="K37" s="41">
        <v>23</v>
      </c>
    </row>
    <row r="38" spans="1:23" x14ac:dyDescent="0.25">
      <c r="A38" s="41">
        <v>34</v>
      </c>
      <c r="B38" s="91">
        <v>42968</v>
      </c>
      <c r="C38" s="41" t="s">
        <v>159</v>
      </c>
      <c r="D38" s="41" t="s">
        <v>59</v>
      </c>
      <c r="E38" s="41" t="s">
        <v>218</v>
      </c>
      <c r="F38" s="41" t="s">
        <v>163</v>
      </c>
      <c r="G38" s="41" t="s">
        <v>164</v>
      </c>
      <c r="H38" s="41">
        <v>9</v>
      </c>
      <c r="I38" s="41">
        <v>7</v>
      </c>
      <c r="J38" s="41">
        <v>16</v>
      </c>
      <c r="K38" s="41">
        <v>64</v>
      </c>
    </row>
    <row r="39" spans="1:23" x14ac:dyDescent="0.25">
      <c r="A39" s="41">
        <v>34</v>
      </c>
      <c r="B39" s="91">
        <v>42971</v>
      </c>
      <c r="C39" s="41" t="s">
        <v>109</v>
      </c>
      <c r="D39" s="41" t="s">
        <v>61</v>
      </c>
      <c r="E39" s="41" t="s">
        <v>239</v>
      </c>
      <c r="F39" s="41" t="s">
        <v>163</v>
      </c>
      <c r="G39" s="41" t="s">
        <v>164</v>
      </c>
      <c r="H39" s="41">
        <v>5</v>
      </c>
      <c r="I39" s="41">
        <v>0</v>
      </c>
      <c r="J39" s="41">
        <v>5</v>
      </c>
      <c r="K39" s="41">
        <v>12</v>
      </c>
    </row>
    <row r="40" spans="1:23" x14ac:dyDescent="0.25">
      <c r="A40">
        <v>34</v>
      </c>
      <c r="B40" s="92">
        <v>42968</v>
      </c>
      <c r="C40" t="s">
        <v>256</v>
      </c>
      <c r="D40" s="41" t="s">
        <v>59</v>
      </c>
      <c r="E40" t="s">
        <v>258</v>
      </c>
      <c r="F40" t="s">
        <v>163</v>
      </c>
      <c r="G40" t="s">
        <v>164</v>
      </c>
      <c r="H40">
        <v>10</v>
      </c>
      <c r="I40">
        <v>0</v>
      </c>
      <c r="J40">
        <v>10</v>
      </c>
      <c r="K40">
        <v>295</v>
      </c>
    </row>
    <row r="41" spans="1:23" x14ac:dyDescent="0.25">
      <c r="A41">
        <v>34</v>
      </c>
      <c r="B41" s="91">
        <v>42970</v>
      </c>
      <c r="C41" t="s">
        <v>143</v>
      </c>
      <c r="D41" s="41" t="s">
        <v>58</v>
      </c>
      <c r="E41" t="s">
        <v>323</v>
      </c>
      <c r="F41" t="s">
        <v>163</v>
      </c>
      <c r="G41" t="s">
        <v>164</v>
      </c>
      <c r="H41">
        <v>5</v>
      </c>
      <c r="I41">
        <v>0</v>
      </c>
      <c r="J41">
        <v>5</v>
      </c>
      <c r="K41">
        <v>102</v>
      </c>
    </row>
    <row r="42" spans="1:23" x14ac:dyDescent="0.25">
      <c r="A42">
        <v>34</v>
      </c>
      <c r="B42" s="92">
        <v>42969</v>
      </c>
      <c r="C42" t="s">
        <v>134</v>
      </c>
      <c r="D42" s="41" t="s">
        <v>60</v>
      </c>
      <c r="E42" t="s">
        <v>233</v>
      </c>
      <c r="F42" t="s">
        <v>163</v>
      </c>
      <c r="G42" t="s">
        <v>164</v>
      </c>
      <c r="H42">
        <v>27</v>
      </c>
      <c r="I42">
        <v>12</v>
      </c>
      <c r="J42">
        <v>39</v>
      </c>
      <c r="K42" s="41">
        <v>695</v>
      </c>
    </row>
    <row r="43" spans="1:23" x14ac:dyDescent="0.25">
      <c r="A43" s="41">
        <v>34</v>
      </c>
      <c r="B43" s="91">
        <v>42969</v>
      </c>
      <c r="C43" s="41" t="s">
        <v>142</v>
      </c>
      <c r="D43" s="41" t="s">
        <v>60</v>
      </c>
      <c r="E43" s="41" t="s">
        <v>315</v>
      </c>
      <c r="F43" s="41" t="s">
        <v>163</v>
      </c>
      <c r="G43" s="41" t="s">
        <v>164</v>
      </c>
      <c r="H43" s="41">
        <v>30</v>
      </c>
      <c r="I43" s="41">
        <v>26</v>
      </c>
      <c r="J43" s="41">
        <v>56</v>
      </c>
      <c r="K43" s="41">
        <v>114</v>
      </c>
    </row>
    <row r="44" spans="1:23" x14ac:dyDescent="0.25">
      <c r="A44">
        <v>34</v>
      </c>
      <c r="B44" s="92">
        <v>42968</v>
      </c>
      <c r="C44" t="s">
        <v>264</v>
      </c>
      <c r="D44" s="41" t="s">
        <v>59</v>
      </c>
      <c r="E44" t="s">
        <v>299</v>
      </c>
      <c r="F44" t="s">
        <v>163</v>
      </c>
      <c r="G44" t="s">
        <v>164</v>
      </c>
      <c r="H44">
        <v>0</v>
      </c>
      <c r="I44">
        <v>9</v>
      </c>
      <c r="J44">
        <v>9</v>
      </c>
      <c r="K44" s="41">
        <v>9</v>
      </c>
    </row>
    <row r="45" spans="1:23" x14ac:dyDescent="0.25">
      <c r="A45">
        <v>34</v>
      </c>
      <c r="B45" s="93">
        <v>42971</v>
      </c>
      <c r="C45" t="s">
        <v>113</v>
      </c>
      <c r="D45" s="41" t="s">
        <v>61</v>
      </c>
      <c r="E45" t="s">
        <v>334</v>
      </c>
      <c r="F45" t="s">
        <v>163</v>
      </c>
      <c r="G45" t="s">
        <v>164</v>
      </c>
      <c r="H45">
        <v>4</v>
      </c>
      <c r="I45">
        <v>0</v>
      </c>
      <c r="J45">
        <v>4</v>
      </c>
      <c r="K45">
        <v>52</v>
      </c>
    </row>
    <row r="46" spans="1:23" x14ac:dyDescent="0.25">
      <c r="A46" s="41">
        <v>34</v>
      </c>
      <c r="B46" s="92">
        <v>42970</v>
      </c>
      <c r="C46" s="41" t="s">
        <v>162</v>
      </c>
      <c r="D46" s="41" t="s">
        <v>259</v>
      </c>
      <c r="E46" s="41" t="s">
        <v>329</v>
      </c>
      <c r="F46" s="41" t="s">
        <v>163</v>
      </c>
      <c r="G46" s="41" t="s">
        <v>164</v>
      </c>
      <c r="H46" s="41">
        <v>13</v>
      </c>
      <c r="I46" s="41">
        <v>1</v>
      </c>
      <c r="J46" s="41">
        <v>14</v>
      </c>
      <c r="K46" s="41">
        <v>67</v>
      </c>
    </row>
    <row r="47" spans="1:23" x14ac:dyDescent="0.25">
      <c r="A47">
        <v>34</v>
      </c>
      <c r="B47" s="93">
        <v>42968</v>
      </c>
      <c r="C47" t="s">
        <v>165</v>
      </c>
      <c r="D47" s="41" t="s">
        <v>103</v>
      </c>
      <c r="E47" t="s">
        <v>307</v>
      </c>
      <c r="F47" t="s">
        <v>163</v>
      </c>
      <c r="G47" t="s">
        <v>164</v>
      </c>
      <c r="H47">
        <v>0</v>
      </c>
      <c r="I47">
        <v>0</v>
      </c>
      <c r="J47">
        <v>0</v>
      </c>
      <c r="K47">
        <v>39</v>
      </c>
    </row>
    <row r="48" spans="1:23" x14ac:dyDescent="0.25">
      <c r="A48" s="41">
        <v>34</v>
      </c>
      <c r="B48" s="92">
        <v>42970</v>
      </c>
      <c r="C48" s="41" t="s">
        <v>166</v>
      </c>
      <c r="D48" s="41" t="s">
        <v>103</v>
      </c>
      <c r="E48" s="41" t="s">
        <v>327</v>
      </c>
      <c r="F48" s="41" t="s">
        <v>163</v>
      </c>
      <c r="G48" s="41" t="s">
        <v>164</v>
      </c>
      <c r="H48" s="41">
        <v>7</v>
      </c>
      <c r="I48" s="41">
        <v>0</v>
      </c>
      <c r="J48" s="41">
        <v>7</v>
      </c>
      <c r="K48">
        <v>76</v>
      </c>
    </row>
    <row r="49" spans="1:12" x14ac:dyDescent="0.25">
      <c r="A49" s="41">
        <v>34</v>
      </c>
      <c r="B49" s="93">
        <v>42968</v>
      </c>
      <c r="C49" s="41" t="s">
        <v>167</v>
      </c>
      <c r="D49" s="41" t="s">
        <v>103</v>
      </c>
      <c r="E49" s="41" t="s">
        <v>308</v>
      </c>
      <c r="F49" s="41" t="s">
        <v>163</v>
      </c>
      <c r="G49" s="41" t="s">
        <v>164</v>
      </c>
      <c r="H49" s="41">
        <v>8</v>
      </c>
      <c r="I49" s="41">
        <v>0</v>
      </c>
      <c r="J49" s="41">
        <v>8</v>
      </c>
      <c r="K49" s="41">
        <v>39</v>
      </c>
    </row>
    <row r="50" spans="1:12" x14ac:dyDescent="0.25">
      <c r="A50">
        <v>34</v>
      </c>
      <c r="B50" s="91">
        <v>42968</v>
      </c>
      <c r="C50" t="s">
        <v>168</v>
      </c>
      <c r="D50" s="41" t="s">
        <v>103</v>
      </c>
      <c r="E50" t="s">
        <v>305</v>
      </c>
      <c r="F50" t="s">
        <v>163</v>
      </c>
      <c r="G50" t="s">
        <v>164</v>
      </c>
      <c r="H50">
        <v>19</v>
      </c>
      <c r="I50">
        <v>8</v>
      </c>
      <c r="J50">
        <v>27</v>
      </c>
      <c r="K50" s="41">
        <v>213</v>
      </c>
    </row>
    <row r="51" spans="1:12" x14ac:dyDescent="0.25">
      <c r="A51">
        <v>34</v>
      </c>
      <c r="B51" s="92">
        <v>42968</v>
      </c>
      <c r="C51" t="s">
        <v>169</v>
      </c>
      <c r="D51" s="41" t="s">
        <v>103</v>
      </c>
      <c r="E51" t="s">
        <v>170</v>
      </c>
      <c r="F51" t="s">
        <v>163</v>
      </c>
      <c r="G51" t="s">
        <v>164</v>
      </c>
      <c r="H51">
        <v>58</v>
      </c>
      <c r="I51">
        <v>5</v>
      </c>
      <c r="J51">
        <v>63</v>
      </c>
      <c r="K51">
        <v>90</v>
      </c>
    </row>
    <row r="52" spans="1:12" x14ac:dyDescent="0.25">
      <c r="A52">
        <v>34</v>
      </c>
      <c r="B52" s="93">
        <v>42968</v>
      </c>
      <c r="C52" t="s">
        <v>171</v>
      </c>
      <c r="D52" s="41" t="s">
        <v>103</v>
      </c>
      <c r="E52" t="s">
        <v>306</v>
      </c>
      <c r="F52" t="s">
        <v>163</v>
      </c>
      <c r="G52" t="s">
        <v>164</v>
      </c>
      <c r="H52">
        <v>19</v>
      </c>
      <c r="I52">
        <v>0</v>
      </c>
      <c r="J52">
        <v>19</v>
      </c>
      <c r="K52" s="41">
        <v>43</v>
      </c>
    </row>
    <row r="53" spans="1:12" x14ac:dyDescent="0.25">
      <c r="A53" s="41">
        <v>34</v>
      </c>
      <c r="B53" s="93">
        <v>42968</v>
      </c>
      <c r="C53" s="41" t="s">
        <v>172</v>
      </c>
      <c r="D53" s="41" t="s">
        <v>103</v>
      </c>
      <c r="E53" s="41" t="s">
        <v>309</v>
      </c>
      <c r="F53" s="41" t="s">
        <v>163</v>
      </c>
      <c r="G53" s="41" t="s">
        <v>164</v>
      </c>
      <c r="H53" s="41">
        <v>14</v>
      </c>
      <c r="I53" s="41">
        <v>0</v>
      </c>
      <c r="J53" s="41">
        <v>14</v>
      </c>
      <c r="K53" s="41">
        <v>82</v>
      </c>
    </row>
    <row r="54" spans="1:12" x14ac:dyDescent="0.25">
      <c r="A54" s="41">
        <v>34</v>
      </c>
      <c r="B54" s="92">
        <v>42970</v>
      </c>
      <c r="C54" s="41" t="s">
        <v>173</v>
      </c>
      <c r="D54" s="41" t="s">
        <v>259</v>
      </c>
      <c r="E54" s="41" t="s">
        <v>330</v>
      </c>
      <c r="F54" s="41" t="s">
        <v>163</v>
      </c>
      <c r="G54" s="41" t="s">
        <v>164</v>
      </c>
      <c r="H54" s="41">
        <v>12</v>
      </c>
      <c r="I54" s="41">
        <v>0</v>
      </c>
      <c r="J54" s="41">
        <v>12</v>
      </c>
      <c r="K54">
        <v>130</v>
      </c>
    </row>
    <row r="55" spans="1:12" x14ac:dyDescent="0.25">
      <c r="A55" s="64">
        <v>34</v>
      </c>
      <c r="B55" s="92">
        <v>42968</v>
      </c>
      <c r="C55" s="64" t="s">
        <v>174</v>
      </c>
      <c r="D55" s="41" t="s">
        <v>103</v>
      </c>
      <c r="E55" s="64" t="s">
        <v>310</v>
      </c>
      <c r="F55" s="64" t="s">
        <v>163</v>
      </c>
      <c r="G55" s="64" t="s">
        <v>164</v>
      </c>
      <c r="H55" s="64">
        <v>35</v>
      </c>
      <c r="I55" s="64">
        <v>16</v>
      </c>
      <c r="J55" s="64">
        <v>51</v>
      </c>
      <c r="K55" s="65">
        <v>699</v>
      </c>
      <c r="L55" s="64"/>
    </row>
    <row r="56" spans="1:12" x14ac:dyDescent="0.25">
      <c r="A56">
        <v>34</v>
      </c>
      <c r="B56" s="91">
        <v>42968</v>
      </c>
      <c r="C56" t="s">
        <v>175</v>
      </c>
      <c r="D56" s="41" t="s">
        <v>103</v>
      </c>
      <c r="E56" t="s">
        <v>311</v>
      </c>
      <c r="F56" t="s">
        <v>163</v>
      </c>
      <c r="G56" t="s">
        <v>164</v>
      </c>
      <c r="H56">
        <v>30</v>
      </c>
      <c r="I56">
        <v>1</v>
      </c>
      <c r="J56">
        <v>31</v>
      </c>
      <c r="K56">
        <v>247</v>
      </c>
    </row>
    <row r="57" spans="1:12" x14ac:dyDescent="0.25">
      <c r="A57">
        <v>34</v>
      </c>
      <c r="B57" s="91">
        <v>42968</v>
      </c>
      <c r="C57" t="s">
        <v>176</v>
      </c>
      <c r="D57" s="41" t="s">
        <v>103</v>
      </c>
      <c r="E57" t="s">
        <v>312</v>
      </c>
      <c r="F57" t="s">
        <v>163</v>
      </c>
      <c r="G57" t="s">
        <v>164</v>
      </c>
      <c r="H57">
        <v>10</v>
      </c>
      <c r="I57">
        <v>6</v>
      </c>
      <c r="J57">
        <v>16</v>
      </c>
      <c r="K57">
        <v>250</v>
      </c>
    </row>
    <row r="58" spans="1:12" x14ac:dyDescent="0.25">
      <c r="A58">
        <v>34</v>
      </c>
      <c r="B58" s="92">
        <v>42970</v>
      </c>
      <c r="C58" t="s">
        <v>177</v>
      </c>
      <c r="D58" s="41" t="s">
        <v>259</v>
      </c>
      <c r="E58" t="s">
        <v>178</v>
      </c>
      <c r="F58" t="s">
        <v>163</v>
      </c>
      <c r="G58" t="s">
        <v>164</v>
      </c>
      <c r="H58">
        <v>35</v>
      </c>
      <c r="I58">
        <v>7</v>
      </c>
      <c r="J58">
        <v>42</v>
      </c>
      <c r="K58" s="41">
        <v>340</v>
      </c>
    </row>
    <row r="59" spans="1:12" x14ac:dyDescent="0.25">
      <c r="A59">
        <v>34</v>
      </c>
      <c r="B59" s="93">
        <v>42970</v>
      </c>
      <c r="C59" t="s">
        <v>257</v>
      </c>
      <c r="D59" s="41" t="s">
        <v>259</v>
      </c>
      <c r="E59" t="s">
        <v>328</v>
      </c>
      <c r="F59" t="s">
        <v>163</v>
      </c>
      <c r="G59" t="s">
        <v>164</v>
      </c>
      <c r="H59">
        <v>35</v>
      </c>
      <c r="I59">
        <v>20</v>
      </c>
      <c r="J59">
        <v>55</v>
      </c>
      <c r="K59">
        <v>287</v>
      </c>
    </row>
    <row r="60" spans="1:12" x14ac:dyDescent="0.25">
      <c r="A60">
        <v>34</v>
      </c>
      <c r="B60" s="92">
        <v>42968</v>
      </c>
      <c r="C60" t="s">
        <v>289</v>
      </c>
      <c r="D60" s="41" t="s">
        <v>9</v>
      </c>
      <c r="E60" t="s">
        <v>290</v>
      </c>
      <c r="F60" t="s">
        <v>163</v>
      </c>
      <c r="G60" t="s">
        <v>164</v>
      </c>
      <c r="H60">
        <v>5</v>
      </c>
      <c r="I60">
        <v>0</v>
      </c>
      <c r="J60">
        <v>5</v>
      </c>
      <c r="K60">
        <v>15</v>
      </c>
    </row>
    <row r="61" spans="1:12" x14ac:dyDescent="0.25">
      <c r="A61" s="41">
        <v>34</v>
      </c>
      <c r="B61" s="93">
        <v>42971</v>
      </c>
      <c r="C61" s="41" t="s">
        <v>179</v>
      </c>
      <c r="D61" s="41" t="s">
        <v>9</v>
      </c>
      <c r="E61" s="41" t="s">
        <v>180</v>
      </c>
      <c r="F61" s="41" t="s">
        <v>163</v>
      </c>
      <c r="G61" s="41" t="s">
        <v>164</v>
      </c>
      <c r="H61" s="41">
        <v>4</v>
      </c>
      <c r="I61" s="41">
        <v>0</v>
      </c>
      <c r="J61" s="41">
        <v>4</v>
      </c>
      <c r="K61" s="41">
        <v>54</v>
      </c>
    </row>
    <row r="62" spans="1:12" x14ac:dyDescent="0.25">
      <c r="A62">
        <v>34</v>
      </c>
      <c r="B62" s="91">
        <v>42970</v>
      </c>
      <c r="C62" t="s">
        <v>181</v>
      </c>
      <c r="D62" s="41" t="s">
        <v>9</v>
      </c>
      <c r="E62" t="s">
        <v>182</v>
      </c>
      <c r="F62" t="s">
        <v>163</v>
      </c>
      <c r="G62" t="s">
        <v>164</v>
      </c>
      <c r="H62">
        <v>3</v>
      </c>
      <c r="I62">
        <v>5</v>
      </c>
      <c r="J62">
        <v>8</v>
      </c>
      <c r="K62">
        <v>92</v>
      </c>
    </row>
    <row r="63" spans="1:12" x14ac:dyDescent="0.25">
      <c r="A63" s="41">
        <v>34</v>
      </c>
      <c r="B63" s="93">
        <v>42970</v>
      </c>
      <c r="C63" s="41" t="s">
        <v>139</v>
      </c>
      <c r="D63" s="41" t="s">
        <v>9</v>
      </c>
      <c r="E63" s="41" t="s">
        <v>263</v>
      </c>
      <c r="F63" s="41" t="s">
        <v>163</v>
      </c>
      <c r="G63" s="41" t="s">
        <v>164</v>
      </c>
      <c r="H63" s="41">
        <v>23</v>
      </c>
      <c r="I63" s="41">
        <v>0</v>
      </c>
      <c r="J63" s="41">
        <v>23</v>
      </c>
      <c r="K63" s="41">
        <v>90</v>
      </c>
    </row>
    <row r="64" spans="1:12" x14ac:dyDescent="0.25">
      <c r="A64" s="41">
        <v>34</v>
      </c>
      <c r="B64" s="92">
        <v>42970</v>
      </c>
      <c r="C64" s="41" t="s">
        <v>183</v>
      </c>
      <c r="D64" s="41" t="s">
        <v>9</v>
      </c>
      <c r="E64" s="41" t="s">
        <v>326</v>
      </c>
      <c r="F64" s="41" t="s">
        <v>163</v>
      </c>
      <c r="G64" s="41" t="s">
        <v>164</v>
      </c>
      <c r="H64" s="41">
        <v>36</v>
      </c>
      <c r="I64" s="41">
        <v>16</v>
      </c>
      <c r="J64" s="41">
        <v>52</v>
      </c>
      <c r="K64" s="41">
        <v>908</v>
      </c>
    </row>
    <row r="65" spans="1:13" x14ac:dyDescent="0.25">
      <c r="A65" s="41">
        <v>34</v>
      </c>
      <c r="B65" s="93">
        <v>42970</v>
      </c>
      <c r="C65" s="41" t="s">
        <v>184</v>
      </c>
      <c r="D65" s="41" t="s">
        <v>9</v>
      </c>
      <c r="E65" s="41" t="s">
        <v>185</v>
      </c>
      <c r="F65" s="41" t="s">
        <v>163</v>
      </c>
      <c r="G65" s="41" t="s">
        <v>164</v>
      </c>
      <c r="H65" s="41">
        <v>9</v>
      </c>
      <c r="I65" s="41">
        <v>8</v>
      </c>
      <c r="J65" s="41">
        <v>17</v>
      </c>
      <c r="K65" s="41">
        <v>132</v>
      </c>
    </row>
    <row r="66" spans="1:13" x14ac:dyDescent="0.25">
      <c r="A66">
        <v>34</v>
      </c>
      <c r="B66" s="93">
        <v>42968</v>
      </c>
      <c r="C66" t="s">
        <v>186</v>
      </c>
      <c r="D66" s="41" t="s">
        <v>9</v>
      </c>
      <c r="E66" t="s">
        <v>304</v>
      </c>
      <c r="F66" t="s">
        <v>163</v>
      </c>
      <c r="G66" t="s">
        <v>164</v>
      </c>
      <c r="H66">
        <v>28</v>
      </c>
      <c r="I66">
        <v>0</v>
      </c>
      <c r="J66">
        <v>28</v>
      </c>
      <c r="K66">
        <v>546</v>
      </c>
    </row>
    <row r="67" spans="1:13" x14ac:dyDescent="0.25">
      <c r="A67" s="41">
        <v>34</v>
      </c>
      <c r="B67" s="91">
        <v>42970</v>
      </c>
      <c r="C67" s="41" t="s">
        <v>187</v>
      </c>
      <c r="D67" s="41" t="s">
        <v>9</v>
      </c>
      <c r="E67" s="41" t="s">
        <v>188</v>
      </c>
      <c r="F67" s="41" t="s">
        <v>163</v>
      </c>
      <c r="G67" s="41" t="s">
        <v>164</v>
      </c>
      <c r="H67" s="41">
        <v>9</v>
      </c>
      <c r="I67" s="41">
        <v>0</v>
      </c>
      <c r="J67" s="41">
        <v>9</v>
      </c>
      <c r="K67" s="41">
        <v>130</v>
      </c>
    </row>
    <row r="68" spans="1:13" x14ac:dyDescent="0.25">
      <c r="A68" s="41">
        <v>34</v>
      </c>
      <c r="B68" s="93">
        <v>42968</v>
      </c>
      <c r="C68" s="41" t="s">
        <v>120</v>
      </c>
      <c r="D68" s="41" t="s">
        <v>9</v>
      </c>
      <c r="E68" s="41" t="s">
        <v>189</v>
      </c>
      <c r="F68" s="41" t="s">
        <v>163</v>
      </c>
      <c r="G68" s="41" t="s">
        <v>164</v>
      </c>
      <c r="H68" s="41">
        <v>38</v>
      </c>
      <c r="I68" s="41">
        <v>3</v>
      </c>
      <c r="J68" s="41">
        <v>41</v>
      </c>
      <c r="K68" s="41">
        <v>55</v>
      </c>
    </row>
    <row r="69" spans="1:13" x14ac:dyDescent="0.25">
      <c r="A69" s="41">
        <v>34</v>
      </c>
      <c r="B69" s="91">
        <v>42969</v>
      </c>
      <c r="C69" s="41" t="s">
        <v>298</v>
      </c>
      <c r="D69" s="41" t="s">
        <v>9</v>
      </c>
      <c r="E69" s="41" t="s">
        <v>281</v>
      </c>
      <c r="F69" s="41" t="s">
        <v>163</v>
      </c>
      <c r="G69" s="41" t="s">
        <v>164</v>
      </c>
      <c r="H69" s="41">
        <v>39</v>
      </c>
      <c r="I69" s="41">
        <v>0</v>
      </c>
      <c r="J69" s="41">
        <v>39</v>
      </c>
      <c r="K69" s="41">
        <v>46</v>
      </c>
    </row>
    <row r="70" spans="1:13" x14ac:dyDescent="0.25">
      <c r="A70" s="41">
        <v>34</v>
      </c>
      <c r="B70" s="91">
        <v>42969</v>
      </c>
      <c r="C70" s="41" t="s">
        <v>297</v>
      </c>
      <c r="D70" s="41" t="s">
        <v>9</v>
      </c>
      <c r="E70" s="41" t="s">
        <v>320</v>
      </c>
      <c r="F70" s="41" t="s">
        <v>163</v>
      </c>
      <c r="G70" s="41" t="s">
        <v>164</v>
      </c>
      <c r="H70" s="41">
        <v>3</v>
      </c>
      <c r="I70" s="41">
        <v>0</v>
      </c>
      <c r="J70" s="41">
        <v>3</v>
      </c>
      <c r="K70" s="41">
        <v>27</v>
      </c>
    </row>
    <row r="71" spans="1:13" x14ac:dyDescent="0.25">
      <c r="A71" s="41">
        <v>34</v>
      </c>
      <c r="B71" s="93">
        <v>42968</v>
      </c>
      <c r="C71" s="41" t="s">
        <v>119</v>
      </c>
      <c r="D71" t="s">
        <v>9</v>
      </c>
      <c r="E71" s="41" t="s">
        <v>301</v>
      </c>
      <c r="F71" s="41" t="s">
        <v>163</v>
      </c>
      <c r="G71" s="41" t="s">
        <v>164</v>
      </c>
      <c r="H71" s="41">
        <v>2</v>
      </c>
      <c r="I71" s="41">
        <v>0</v>
      </c>
      <c r="J71" s="41">
        <v>2</v>
      </c>
      <c r="K71">
        <v>20</v>
      </c>
    </row>
    <row r="72" spans="1:13" x14ac:dyDescent="0.25">
      <c r="A72" s="41">
        <v>34</v>
      </c>
      <c r="B72" s="92">
        <v>42968</v>
      </c>
      <c r="C72" s="41" t="s">
        <v>287</v>
      </c>
      <c r="D72" s="41" t="s">
        <v>9</v>
      </c>
      <c r="E72" s="41" t="s">
        <v>302</v>
      </c>
      <c r="F72" s="41" t="s">
        <v>163</v>
      </c>
      <c r="G72" s="41" t="s">
        <v>164</v>
      </c>
      <c r="H72" s="41">
        <v>18</v>
      </c>
      <c r="I72" s="41">
        <v>0</v>
      </c>
      <c r="J72" s="41">
        <v>18</v>
      </c>
      <c r="K72" s="41">
        <v>36</v>
      </c>
    </row>
    <row r="73" spans="1:13" x14ac:dyDescent="0.25">
      <c r="A73">
        <v>34</v>
      </c>
      <c r="B73" s="91">
        <v>42970</v>
      </c>
      <c r="C73" t="s">
        <v>190</v>
      </c>
      <c r="D73" s="41" t="s">
        <v>9</v>
      </c>
      <c r="E73" t="s">
        <v>191</v>
      </c>
      <c r="F73" t="s">
        <v>163</v>
      </c>
      <c r="G73" t="s">
        <v>164</v>
      </c>
      <c r="H73">
        <v>12</v>
      </c>
      <c r="I73">
        <v>2</v>
      </c>
      <c r="J73">
        <v>14</v>
      </c>
      <c r="K73">
        <v>116</v>
      </c>
    </row>
    <row r="74" spans="1:13" x14ac:dyDescent="0.25">
      <c r="A74">
        <v>34</v>
      </c>
      <c r="B74" s="91">
        <v>42968</v>
      </c>
      <c r="C74" t="s">
        <v>282</v>
      </c>
      <c r="D74" s="41" t="s">
        <v>9</v>
      </c>
      <c r="E74" t="s">
        <v>283</v>
      </c>
      <c r="F74" t="s">
        <v>163</v>
      </c>
      <c r="G74" t="s">
        <v>164</v>
      </c>
      <c r="H74">
        <v>24</v>
      </c>
      <c r="I74">
        <v>0</v>
      </c>
      <c r="J74">
        <v>24</v>
      </c>
      <c r="K74">
        <v>32</v>
      </c>
    </row>
    <row r="75" spans="1:13" x14ac:dyDescent="0.25">
      <c r="A75">
        <v>34</v>
      </c>
      <c r="B75" s="91">
        <v>42969</v>
      </c>
      <c r="C75" t="s">
        <v>126</v>
      </c>
      <c r="D75" s="41" t="s">
        <v>9</v>
      </c>
      <c r="E75" t="s">
        <v>192</v>
      </c>
      <c r="F75" t="s">
        <v>163</v>
      </c>
      <c r="G75" t="s">
        <v>164</v>
      </c>
      <c r="H75">
        <v>11</v>
      </c>
      <c r="I75">
        <v>0</v>
      </c>
      <c r="J75">
        <v>11</v>
      </c>
      <c r="K75">
        <v>218</v>
      </c>
    </row>
    <row r="76" spans="1:13" x14ac:dyDescent="0.25">
      <c r="A76" s="64">
        <v>34</v>
      </c>
      <c r="B76" s="92">
        <v>42968</v>
      </c>
      <c r="C76" s="64" t="s">
        <v>193</v>
      </c>
      <c r="D76" s="41" t="s">
        <v>9</v>
      </c>
      <c r="E76" s="64" t="s">
        <v>194</v>
      </c>
      <c r="F76" s="64" t="s">
        <v>163</v>
      </c>
      <c r="G76" s="64" t="s">
        <v>164</v>
      </c>
      <c r="H76" s="64">
        <v>0</v>
      </c>
      <c r="I76" s="64">
        <v>0</v>
      </c>
      <c r="J76" s="64">
        <v>0</v>
      </c>
      <c r="K76" s="65">
        <v>2</v>
      </c>
      <c r="L76" s="64"/>
      <c r="M76" s="64"/>
    </row>
    <row r="77" spans="1:13" x14ac:dyDescent="0.25">
      <c r="A77" s="41">
        <v>34</v>
      </c>
      <c r="B77" s="92">
        <v>42968</v>
      </c>
      <c r="C77" s="41" t="s">
        <v>121</v>
      </c>
      <c r="D77" s="41" t="s">
        <v>9</v>
      </c>
      <c r="E77" s="41" t="s">
        <v>303</v>
      </c>
      <c r="F77" s="41" t="s">
        <v>163</v>
      </c>
      <c r="G77" s="41" t="s">
        <v>164</v>
      </c>
      <c r="H77" s="41">
        <v>74</v>
      </c>
      <c r="I77" s="41">
        <v>10</v>
      </c>
      <c r="J77" s="41">
        <v>84</v>
      </c>
      <c r="K77" s="41">
        <v>686</v>
      </c>
    </row>
    <row r="78" spans="1:13" x14ac:dyDescent="0.25">
      <c r="A78">
        <v>34</v>
      </c>
      <c r="B78" s="93">
        <v>42971</v>
      </c>
      <c r="C78" t="s">
        <v>195</v>
      </c>
      <c r="D78" s="41" t="s">
        <v>9</v>
      </c>
      <c r="E78" t="s">
        <v>340</v>
      </c>
      <c r="F78" t="s">
        <v>163</v>
      </c>
      <c r="G78" t="s">
        <v>164</v>
      </c>
      <c r="H78">
        <v>1</v>
      </c>
      <c r="I78">
        <v>0</v>
      </c>
      <c r="J78">
        <v>1</v>
      </c>
      <c r="K78">
        <v>42</v>
      </c>
    </row>
    <row r="79" spans="1:13" x14ac:dyDescent="0.25">
      <c r="A79" s="41">
        <v>34</v>
      </c>
      <c r="B79" s="92">
        <v>42971</v>
      </c>
      <c r="C79" s="41" t="s">
        <v>196</v>
      </c>
      <c r="D79" s="41" t="s">
        <v>9</v>
      </c>
      <c r="E79" s="41" t="s">
        <v>337</v>
      </c>
      <c r="F79" s="41" t="s">
        <v>163</v>
      </c>
      <c r="G79" s="41" t="s">
        <v>164</v>
      </c>
      <c r="H79" s="41">
        <v>2</v>
      </c>
      <c r="I79" s="41">
        <v>0</v>
      </c>
      <c r="J79" s="41">
        <v>2</v>
      </c>
      <c r="K79" s="41">
        <v>12</v>
      </c>
    </row>
    <row r="80" spans="1:13" x14ac:dyDescent="0.25">
      <c r="A80">
        <v>34</v>
      </c>
      <c r="B80" s="93">
        <v>42971</v>
      </c>
      <c r="C80" t="s">
        <v>338</v>
      </c>
      <c r="D80" s="41" t="s">
        <v>9</v>
      </c>
      <c r="E80" t="s">
        <v>339</v>
      </c>
      <c r="F80" t="s">
        <v>163</v>
      </c>
      <c r="G80" t="s">
        <v>164</v>
      </c>
      <c r="H80">
        <v>3</v>
      </c>
      <c r="I80">
        <v>0</v>
      </c>
      <c r="J80">
        <v>3</v>
      </c>
      <c r="K80" s="41">
        <v>3</v>
      </c>
    </row>
    <row r="81" spans="1:12" x14ac:dyDescent="0.25">
      <c r="A81">
        <v>34</v>
      </c>
      <c r="B81" s="91">
        <v>42969</v>
      </c>
      <c r="C81" t="s">
        <v>295</v>
      </c>
      <c r="D81" s="41" t="s">
        <v>9</v>
      </c>
      <c r="E81" t="s">
        <v>296</v>
      </c>
      <c r="F81" t="s">
        <v>163</v>
      </c>
      <c r="G81" t="s">
        <v>164</v>
      </c>
      <c r="H81">
        <v>8</v>
      </c>
      <c r="I81">
        <v>0</v>
      </c>
      <c r="J81">
        <v>8</v>
      </c>
      <c r="K81">
        <v>24</v>
      </c>
    </row>
    <row r="82" spans="1:12" x14ac:dyDescent="0.25">
      <c r="A82" s="41">
        <v>34</v>
      </c>
      <c r="B82" s="91">
        <v>42971</v>
      </c>
      <c r="C82" s="41" t="s">
        <v>197</v>
      </c>
      <c r="D82" s="41" t="s">
        <v>9</v>
      </c>
      <c r="E82" s="41" t="s">
        <v>198</v>
      </c>
      <c r="F82" s="41" t="s">
        <v>163</v>
      </c>
      <c r="G82" s="41" t="s">
        <v>164</v>
      </c>
      <c r="H82" s="41">
        <v>21</v>
      </c>
      <c r="I82" s="41">
        <v>6</v>
      </c>
      <c r="J82" s="41">
        <v>27</v>
      </c>
      <c r="K82" s="41">
        <v>43</v>
      </c>
    </row>
    <row r="83" spans="1:12" x14ac:dyDescent="0.25">
      <c r="A83" s="41">
        <v>34</v>
      </c>
      <c r="B83" s="93">
        <v>42969</v>
      </c>
      <c r="C83" s="41" t="s">
        <v>123</v>
      </c>
      <c r="D83" s="41" t="s">
        <v>9</v>
      </c>
      <c r="E83" s="41" t="s">
        <v>319</v>
      </c>
      <c r="F83" s="41" t="s">
        <v>163</v>
      </c>
      <c r="G83" s="41" t="s">
        <v>164</v>
      </c>
      <c r="H83" s="41">
        <v>18</v>
      </c>
      <c r="I83" s="41">
        <v>0</v>
      </c>
      <c r="J83" s="41">
        <v>18</v>
      </c>
      <c r="K83" s="41">
        <v>117</v>
      </c>
    </row>
    <row r="84" spans="1:12" x14ac:dyDescent="0.25">
      <c r="A84">
        <v>34</v>
      </c>
      <c r="B84" s="91">
        <v>42971</v>
      </c>
      <c r="C84" t="s">
        <v>199</v>
      </c>
      <c r="D84" s="41" t="s">
        <v>9</v>
      </c>
      <c r="E84" t="s">
        <v>336</v>
      </c>
      <c r="F84" t="s">
        <v>163</v>
      </c>
      <c r="G84" t="s">
        <v>164</v>
      </c>
      <c r="H84">
        <v>14</v>
      </c>
      <c r="I84">
        <v>0</v>
      </c>
      <c r="J84">
        <v>14</v>
      </c>
      <c r="K84">
        <v>37</v>
      </c>
    </row>
    <row r="85" spans="1:12" x14ac:dyDescent="0.25">
      <c r="A85" s="65">
        <v>34</v>
      </c>
      <c r="B85" s="93">
        <v>42969</v>
      </c>
      <c r="C85" s="65" t="s">
        <v>129</v>
      </c>
      <c r="D85" s="65" t="s">
        <v>9</v>
      </c>
      <c r="E85" s="65" t="s">
        <v>200</v>
      </c>
      <c r="F85" s="65" t="s">
        <v>163</v>
      </c>
      <c r="G85" s="65" t="s">
        <v>164</v>
      </c>
      <c r="H85" s="65">
        <v>21</v>
      </c>
      <c r="I85" s="65">
        <v>1</v>
      </c>
      <c r="J85" s="65">
        <v>22</v>
      </c>
      <c r="K85" s="65">
        <v>139</v>
      </c>
      <c r="L85" s="64"/>
    </row>
    <row r="86" spans="1:12" x14ac:dyDescent="0.25">
      <c r="A86" s="41">
        <v>34</v>
      </c>
      <c r="B86" s="91">
        <v>42969</v>
      </c>
      <c r="C86" s="41" t="s">
        <v>288</v>
      </c>
      <c r="D86" s="41" t="s">
        <v>9</v>
      </c>
      <c r="E86" s="41" t="s">
        <v>318</v>
      </c>
      <c r="F86" s="41" t="s">
        <v>163</v>
      </c>
      <c r="G86" s="41" t="s">
        <v>164</v>
      </c>
      <c r="H86" s="41">
        <v>9</v>
      </c>
      <c r="I86" s="41">
        <v>0</v>
      </c>
      <c r="J86" s="41">
        <v>9</v>
      </c>
      <c r="K86" s="41">
        <v>24</v>
      </c>
    </row>
    <row r="87" spans="1:12" x14ac:dyDescent="0.25">
      <c r="A87" s="41">
        <v>34</v>
      </c>
      <c r="B87" s="93">
        <v>42969</v>
      </c>
      <c r="C87" s="41" t="s">
        <v>291</v>
      </c>
      <c r="D87" s="41" t="s">
        <v>9</v>
      </c>
      <c r="E87" s="41" t="s">
        <v>292</v>
      </c>
      <c r="F87" s="41" t="s">
        <v>163</v>
      </c>
      <c r="G87" s="41" t="s">
        <v>164</v>
      </c>
      <c r="H87" s="41">
        <v>4</v>
      </c>
      <c r="I87" s="41">
        <v>0</v>
      </c>
      <c r="J87" s="41">
        <v>4</v>
      </c>
      <c r="K87">
        <v>94</v>
      </c>
    </row>
    <row r="88" spans="1:12" x14ac:dyDescent="0.25">
      <c r="A88" s="41">
        <v>34</v>
      </c>
      <c r="B88" s="93">
        <v>42970</v>
      </c>
      <c r="C88" s="41" t="s">
        <v>201</v>
      </c>
      <c r="D88" s="41" t="s">
        <v>9</v>
      </c>
      <c r="E88" s="41" t="s">
        <v>325</v>
      </c>
      <c r="F88" s="41" t="s">
        <v>163</v>
      </c>
      <c r="G88" s="41" t="s">
        <v>164</v>
      </c>
      <c r="H88" s="41">
        <v>40</v>
      </c>
      <c r="I88" s="41">
        <v>20</v>
      </c>
      <c r="J88" s="41">
        <v>60</v>
      </c>
      <c r="K88" s="41">
        <v>452</v>
      </c>
    </row>
    <row r="89" spans="1:12" x14ac:dyDescent="0.25">
      <c r="A89" s="41">
        <v>34</v>
      </c>
      <c r="B89" s="91">
        <v>42968</v>
      </c>
      <c r="C89" s="41" t="s">
        <v>284</v>
      </c>
      <c r="D89" s="41" t="s">
        <v>9</v>
      </c>
      <c r="E89" s="41" t="s">
        <v>285</v>
      </c>
      <c r="F89" s="41" t="s">
        <v>163</v>
      </c>
      <c r="G89" s="41" t="s">
        <v>164</v>
      </c>
      <c r="H89" s="41">
        <v>17</v>
      </c>
      <c r="I89" s="41">
        <v>4</v>
      </c>
      <c r="J89" s="41">
        <v>21</v>
      </c>
      <c r="K89" s="41">
        <v>94</v>
      </c>
    </row>
    <row r="90" spans="1:12" x14ac:dyDescent="0.25">
      <c r="A90" s="41">
        <v>34</v>
      </c>
      <c r="B90" s="93">
        <v>42968</v>
      </c>
      <c r="C90" s="41" t="s">
        <v>202</v>
      </c>
      <c r="D90" s="41" t="s">
        <v>9</v>
      </c>
      <c r="E90" s="41" t="s">
        <v>203</v>
      </c>
      <c r="F90" s="41" t="s">
        <v>163</v>
      </c>
      <c r="G90" s="41" t="s">
        <v>164</v>
      </c>
      <c r="H90" s="41">
        <v>40</v>
      </c>
      <c r="I90" s="41">
        <v>20</v>
      </c>
      <c r="J90" s="41">
        <v>60</v>
      </c>
      <c r="K90" s="41">
        <v>384</v>
      </c>
    </row>
    <row r="91" spans="1:12" x14ac:dyDescent="0.25">
      <c r="A91">
        <v>34</v>
      </c>
      <c r="B91" s="91">
        <v>42969</v>
      </c>
      <c r="C91" t="s">
        <v>293</v>
      </c>
      <c r="D91" t="s">
        <v>9</v>
      </c>
      <c r="E91" t="s">
        <v>294</v>
      </c>
      <c r="F91" t="s">
        <v>163</v>
      </c>
      <c r="G91" t="s">
        <v>164</v>
      </c>
      <c r="H91">
        <v>12</v>
      </c>
      <c r="I91">
        <v>3</v>
      </c>
      <c r="J91">
        <v>15</v>
      </c>
      <c r="K91">
        <v>44</v>
      </c>
    </row>
    <row r="92" spans="1:12" x14ac:dyDescent="0.25">
      <c r="A92">
        <v>34</v>
      </c>
      <c r="B92" s="93">
        <v>42970</v>
      </c>
      <c r="C92" t="s">
        <v>204</v>
      </c>
      <c r="D92" s="41" t="s">
        <v>9</v>
      </c>
      <c r="E92" t="s">
        <v>205</v>
      </c>
      <c r="F92" t="s">
        <v>163</v>
      </c>
      <c r="G92" t="s">
        <v>164</v>
      </c>
      <c r="H92">
        <v>32</v>
      </c>
      <c r="I92">
        <v>20</v>
      </c>
      <c r="J92">
        <v>52</v>
      </c>
      <c r="K92">
        <v>544</v>
      </c>
    </row>
    <row r="93" spans="1:12" x14ac:dyDescent="0.25">
      <c r="A93">
        <v>34</v>
      </c>
      <c r="B93" s="91">
        <v>42971</v>
      </c>
      <c r="C93" t="s">
        <v>206</v>
      </c>
      <c r="D93" s="41" t="s">
        <v>9</v>
      </c>
      <c r="E93" t="s">
        <v>207</v>
      </c>
      <c r="F93" t="s">
        <v>163</v>
      </c>
      <c r="G93" t="s">
        <v>164</v>
      </c>
      <c r="H93">
        <v>3</v>
      </c>
      <c r="I93">
        <v>0</v>
      </c>
      <c r="J93">
        <v>3</v>
      </c>
      <c r="K93">
        <v>15</v>
      </c>
    </row>
    <row r="94" spans="1:12" x14ac:dyDescent="0.25">
      <c r="A94" s="41">
        <v>34</v>
      </c>
      <c r="B94" s="92">
        <v>42971</v>
      </c>
      <c r="C94" s="41" t="s">
        <v>208</v>
      </c>
      <c r="D94" s="41" t="s">
        <v>9</v>
      </c>
      <c r="E94" s="41" t="s">
        <v>209</v>
      </c>
      <c r="F94" s="41" t="s">
        <v>163</v>
      </c>
      <c r="G94" s="41" t="s">
        <v>164</v>
      </c>
      <c r="H94" s="41">
        <v>4</v>
      </c>
      <c r="I94" s="41">
        <v>0</v>
      </c>
      <c r="J94" s="41">
        <v>4</v>
      </c>
      <c r="K94" s="41">
        <v>15</v>
      </c>
    </row>
    <row r="95" spans="1:12" x14ac:dyDescent="0.25">
      <c r="A95" s="41">
        <v>34</v>
      </c>
      <c r="B95" s="91">
        <v>42969</v>
      </c>
      <c r="C95" s="41" t="s">
        <v>286</v>
      </c>
      <c r="D95" s="41" t="s">
        <v>9</v>
      </c>
      <c r="E95" s="41" t="s">
        <v>317</v>
      </c>
      <c r="F95" s="41" t="s">
        <v>163</v>
      </c>
      <c r="G95" s="41" t="s">
        <v>164</v>
      </c>
      <c r="H95" s="41">
        <v>17</v>
      </c>
      <c r="I95" s="41">
        <v>2</v>
      </c>
      <c r="J95" s="41">
        <v>19</v>
      </c>
      <c r="K95" s="41">
        <v>43</v>
      </c>
    </row>
    <row r="96" spans="1:12" x14ac:dyDescent="0.25">
      <c r="A96">
        <v>34</v>
      </c>
      <c r="B96" s="91">
        <v>42969</v>
      </c>
      <c r="C96" t="s">
        <v>280</v>
      </c>
      <c r="D96" s="41" t="s">
        <v>9</v>
      </c>
      <c r="E96" t="s">
        <v>321</v>
      </c>
      <c r="F96" t="s">
        <v>163</v>
      </c>
      <c r="G96" t="s">
        <v>164</v>
      </c>
      <c r="H96">
        <v>12</v>
      </c>
      <c r="I96">
        <v>11</v>
      </c>
      <c r="J96">
        <v>23</v>
      </c>
      <c r="K96" s="41">
        <v>108</v>
      </c>
    </row>
    <row r="97" spans="1:12" x14ac:dyDescent="0.25">
      <c r="B97" s="93"/>
      <c r="D97" s="41"/>
    </row>
    <row r="98" spans="1:12" x14ac:dyDescent="0.25">
      <c r="B98" s="91"/>
      <c r="D98" s="41"/>
    </row>
    <row r="99" spans="1:12" x14ac:dyDescent="0.25">
      <c r="A99" s="41"/>
      <c r="B99" s="92"/>
      <c r="C99" s="41"/>
      <c r="D99" s="41"/>
      <c r="E99" s="41"/>
      <c r="F99" s="41"/>
      <c r="G99" s="41"/>
      <c r="H99" s="41"/>
      <c r="I99" s="41"/>
      <c r="J99" s="41"/>
      <c r="K99" s="41"/>
    </row>
    <row r="100" spans="1:12" x14ac:dyDescent="0.25">
      <c r="B100" s="93"/>
      <c r="D100" s="41"/>
      <c r="K100" s="41"/>
    </row>
    <row r="101" spans="1:12" x14ac:dyDescent="0.25">
      <c r="B101" s="92"/>
      <c r="D101" s="41"/>
    </row>
    <row r="102" spans="1:12" x14ac:dyDescent="0.25">
      <c r="B102" s="91"/>
      <c r="D102" s="41"/>
      <c r="K102" s="41"/>
    </row>
    <row r="103" spans="1:12" x14ac:dyDescent="0.25">
      <c r="B103" s="92"/>
      <c r="D103" s="41"/>
    </row>
    <row r="104" spans="1:12" x14ac:dyDescent="0.25">
      <c r="A104" s="41"/>
      <c r="B104" s="93"/>
      <c r="C104" s="41"/>
      <c r="D104" s="41"/>
      <c r="E104" s="41"/>
      <c r="F104" s="41"/>
      <c r="G104" s="41"/>
      <c r="H104" s="41"/>
      <c r="I104" s="41"/>
      <c r="J104" s="41"/>
      <c r="K104" s="41"/>
    </row>
    <row r="105" spans="1:12" x14ac:dyDescent="0.25">
      <c r="B105" s="91"/>
      <c r="D105" s="41"/>
    </row>
    <row r="106" spans="1:12" x14ac:dyDescent="0.25">
      <c r="B106" s="91"/>
      <c r="D106" s="41"/>
    </row>
    <row r="107" spans="1:12" x14ac:dyDescent="0.25">
      <c r="A107" s="41"/>
      <c r="B107" s="91"/>
      <c r="C107" s="41"/>
      <c r="D107" s="41"/>
      <c r="E107" s="41"/>
      <c r="F107" s="41"/>
      <c r="G107" s="41"/>
      <c r="H107" s="41"/>
      <c r="I107" s="41"/>
      <c r="J107" s="41"/>
      <c r="K107" s="41"/>
    </row>
    <row r="108" spans="1:12" x14ac:dyDescent="0.25">
      <c r="B108" s="92"/>
      <c r="D108" s="41"/>
    </row>
    <row r="109" spans="1:12" x14ac:dyDescent="0.25">
      <c r="A109" s="64"/>
      <c r="B109" s="92"/>
      <c r="C109" s="64"/>
      <c r="D109" s="41"/>
      <c r="E109" s="64"/>
      <c r="F109" s="64"/>
      <c r="G109" s="64"/>
      <c r="H109" s="64"/>
      <c r="I109" s="64"/>
      <c r="J109" s="64"/>
      <c r="K109" s="65"/>
      <c r="L109" s="64"/>
    </row>
    <row r="110" spans="1:12" x14ac:dyDescent="0.25">
      <c r="D110" s="41"/>
      <c r="K110" s="41"/>
    </row>
  </sheetData>
  <sortState ref="A2:W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131</v>
      </c>
      <c r="C5" s="2">
        <v>616</v>
      </c>
      <c r="D5" s="2">
        <v>747</v>
      </c>
      <c r="G5" s="1" t="s">
        <v>9</v>
      </c>
      <c r="H5" s="2">
        <f>GETPIVOTDATA("Sum of Cx pipiens",$A$4,"Zone","LV")</f>
        <v>131</v>
      </c>
      <c r="I5" s="2">
        <f>GETPIVOTDATA("Sum of Cx tarsalis",$A$4,"Zone","LV")</f>
        <v>616</v>
      </c>
      <c r="J5" s="2">
        <f>GETPIVOTDATA("Sum of Total CX",$A$4,"Zone","LV")</f>
        <v>747</v>
      </c>
    </row>
    <row r="6" spans="1:10" x14ac:dyDescent="0.25">
      <c r="A6" s="1" t="s">
        <v>59</v>
      </c>
      <c r="B6" s="2">
        <v>75</v>
      </c>
      <c r="C6" s="2">
        <v>77</v>
      </c>
      <c r="D6" s="2">
        <v>152</v>
      </c>
      <c r="G6" s="1" t="s">
        <v>59</v>
      </c>
      <c r="H6" s="2">
        <f>GETPIVOTDATA("Sum of Cx pipiens",$A$4,"Zone","NE")</f>
        <v>75</v>
      </c>
      <c r="I6" s="2">
        <f>GETPIVOTDATA("Sum of Cx tarsalis",$A$4,"Zone","NE")</f>
        <v>77</v>
      </c>
      <c r="J6" s="2">
        <f>GETPIVOTDATA("Sum of Total CX",$A$4,"Zone","NE")</f>
        <v>152</v>
      </c>
    </row>
    <row r="7" spans="1:10" x14ac:dyDescent="0.25">
      <c r="A7" s="1" t="s">
        <v>58</v>
      </c>
      <c r="B7" s="2">
        <v>66</v>
      </c>
      <c r="C7" s="2">
        <v>70</v>
      </c>
      <c r="D7" s="2">
        <v>136</v>
      </c>
      <c r="G7" s="1" t="s">
        <v>58</v>
      </c>
      <c r="H7" s="2">
        <f>GETPIVOTDATA("Sum of Cx pipiens",$A$4,"Zone","NW")</f>
        <v>66</v>
      </c>
      <c r="I7" s="2">
        <f>GETPIVOTDATA("Sum of Cx tarsalis",$A$4,"Zone","NW")</f>
        <v>70</v>
      </c>
      <c r="J7" s="2">
        <f>GETPIVOTDATA("Sum of Total CX",$A$4,"Zone","NW")</f>
        <v>136</v>
      </c>
    </row>
    <row r="8" spans="1:10" x14ac:dyDescent="0.25">
      <c r="A8" s="1" t="s">
        <v>60</v>
      </c>
      <c r="B8" s="2">
        <v>90</v>
      </c>
      <c r="C8" s="2">
        <v>218</v>
      </c>
      <c r="D8" s="2">
        <v>308</v>
      </c>
      <c r="G8" s="1" t="s">
        <v>60</v>
      </c>
      <c r="H8" s="2">
        <f>GETPIVOTDATA("Sum of Cx pipiens",$A$4,"Zone","SE")</f>
        <v>90</v>
      </c>
      <c r="I8" s="2">
        <f>GETPIVOTDATA("Sum of Cx tarsalis",$A$4,"Zone","SE")</f>
        <v>218</v>
      </c>
      <c r="J8" s="2">
        <f>GETPIVOTDATA("Sum of Total CX",$A$4,"Zone","SE")</f>
        <v>308</v>
      </c>
    </row>
    <row r="9" spans="1:10" x14ac:dyDescent="0.25">
      <c r="A9" s="1" t="s">
        <v>61</v>
      </c>
      <c r="B9" s="2">
        <v>7</v>
      </c>
      <c r="C9" s="2">
        <v>53</v>
      </c>
      <c r="D9" s="2">
        <v>60</v>
      </c>
      <c r="G9" s="1" t="s">
        <v>61</v>
      </c>
      <c r="H9" s="2">
        <f>GETPIVOTDATA("Sum of Cx pipiens",$A$4,"Zone","SW")</f>
        <v>7</v>
      </c>
      <c r="I9" s="2">
        <f>GETPIVOTDATA("Sum of Cx tarsalis",$A$4,"Zone","SW")</f>
        <v>53</v>
      </c>
      <c r="J9" s="2">
        <f>GETPIVOTDATA("Sum of Total CX",$A$4,"Zone","SW")</f>
        <v>60</v>
      </c>
    </row>
    <row r="10" spans="1:10" x14ac:dyDescent="0.25">
      <c r="A10" s="1" t="s">
        <v>103</v>
      </c>
      <c r="B10" s="2">
        <v>36</v>
      </c>
      <c r="C10" s="2">
        <v>200</v>
      </c>
      <c r="D10" s="2">
        <v>236</v>
      </c>
      <c r="G10" s="1" t="s">
        <v>259</v>
      </c>
      <c r="H10">
        <f>GETPIVOTDATA("Sum of Cx pipiens",$A$4,"Zone","BE")</f>
        <v>28</v>
      </c>
      <c r="I10">
        <f>GETPIVOTDATA("Sum of Cx tarsalis",$A$4,"Zone","BE")</f>
        <v>95</v>
      </c>
      <c r="J10">
        <f>GETPIVOTDATA("Sum of Total CX",$A$4,"Zone","BE")</f>
        <v>123</v>
      </c>
    </row>
    <row r="11" spans="1:10" x14ac:dyDescent="0.25">
      <c r="A11" s="1" t="s">
        <v>259</v>
      </c>
      <c r="B11" s="2">
        <v>28</v>
      </c>
      <c r="C11" s="2">
        <v>95</v>
      </c>
      <c r="D11" s="2">
        <v>123</v>
      </c>
    </row>
    <row r="12" spans="1:10" x14ac:dyDescent="0.25">
      <c r="A12" s="1" t="s">
        <v>7</v>
      </c>
      <c r="B12" s="2">
        <v>433</v>
      </c>
      <c r="C12" s="2">
        <v>1329</v>
      </c>
      <c r="D12" s="2">
        <v>1762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F18" sqref="F1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4" t="s">
        <v>77</v>
      </c>
      <c r="B1" s="94"/>
      <c r="H1" s="94" t="s">
        <v>53</v>
      </c>
      <c r="I1" s="94"/>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14</v>
      </c>
      <c r="C6" s="2">
        <v>185</v>
      </c>
      <c r="D6" s="2">
        <v>199</v>
      </c>
      <c r="H6" s="1" t="s">
        <v>9</v>
      </c>
      <c r="I6" s="2">
        <f>GETPIVOTDATA("Total",$A$4,"Zone","LV","Spp","pipiens")</f>
        <v>14</v>
      </c>
      <c r="J6" s="2">
        <f>GETPIVOTDATA("Total",$A$4,"Zone","LV","Spp","tarsalis")</f>
        <v>185</v>
      </c>
      <c r="K6" s="2">
        <f>GETPIVOTDATA("Total",$A$4,"Zone","LV")</f>
        <v>199</v>
      </c>
    </row>
    <row r="7" spans="1:11" x14ac:dyDescent="0.25">
      <c r="A7" s="1" t="s">
        <v>59</v>
      </c>
      <c r="B7" s="2">
        <v>125</v>
      </c>
      <c r="C7" s="2">
        <v>77</v>
      </c>
      <c r="D7" s="2">
        <v>202</v>
      </c>
      <c r="H7" s="1" t="s">
        <v>59</v>
      </c>
      <c r="I7" s="2">
        <f>GETPIVOTDATA("Total",$A$4,"Zone","NE","Spp","pipiens")</f>
        <v>125</v>
      </c>
      <c r="J7" s="2">
        <f>GETPIVOTDATA("Total",$A$4,"Zone","NE","Spp","tarsalis")</f>
        <v>77</v>
      </c>
      <c r="K7" s="2">
        <f>GETPIVOTDATA("Total",$A$4,"Zone","NE")</f>
        <v>202</v>
      </c>
    </row>
    <row r="8" spans="1:11" x14ac:dyDescent="0.25">
      <c r="A8" s="1" t="s">
        <v>58</v>
      </c>
      <c r="B8" s="2">
        <v>95</v>
      </c>
      <c r="C8" s="2">
        <v>68</v>
      </c>
      <c r="D8" s="2">
        <v>163</v>
      </c>
      <c r="H8" s="1" t="s">
        <v>58</v>
      </c>
      <c r="I8" s="2">
        <f>GETPIVOTDATA("Total",$A$4,"Zone","NW","Spp","pipiens")</f>
        <v>95</v>
      </c>
      <c r="J8" s="2">
        <f>GETPIVOTDATA("Total",$A$4,"Zone","NW","Spp","tarsalis")</f>
        <v>68</v>
      </c>
      <c r="K8" s="2">
        <f>GETPIVOTDATA("Total",$A$4,"Zone","NW")</f>
        <v>163</v>
      </c>
    </row>
    <row r="9" spans="1:11" x14ac:dyDescent="0.25">
      <c r="A9" s="1" t="s">
        <v>60</v>
      </c>
      <c r="B9" s="2">
        <v>273</v>
      </c>
      <c r="C9" s="2">
        <v>218</v>
      </c>
      <c r="D9" s="2">
        <v>491</v>
      </c>
      <c r="H9" s="1" t="s">
        <v>60</v>
      </c>
      <c r="I9" s="2">
        <f>GETPIVOTDATA("Total",$A$4,"Zone","SE","Spp","pipiens")</f>
        <v>273</v>
      </c>
      <c r="J9" s="2">
        <f>GETPIVOTDATA("Total",$A$4,"Zone","SE","Spp","tarsalis")</f>
        <v>218</v>
      </c>
      <c r="K9" s="2">
        <f>GETPIVOTDATA("Total",$A$4,"Zone","SE")</f>
        <v>491</v>
      </c>
    </row>
    <row r="10" spans="1:11" x14ac:dyDescent="0.25">
      <c r="A10" s="1" t="s">
        <v>61</v>
      </c>
      <c r="B10" s="2">
        <v>23</v>
      </c>
      <c r="C10" s="2">
        <v>55</v>
      </c>
      <c r="D10" s="2">
        <v>78</v>
      </c>
      <c r="H10" s="1" t="s">
        <v>61</v>
      </c>
      <c r="I10" s="2">
        <f>GETPIVOTDATA("Total",$A$4,"Zone","SW","Spp","pipiens")</f>
        <v>23</v>
      </c>
      <c r="J10" s="2">
        <f>GETPIVOTDATA("Total",$A$4,"Zone","SW","Spp","tarsalis")</f>
        <v>55</v>
      </c>
      <c r="K10" s="2">
        <f>GETPIVOTDATA("Total",$A$4,"Zone","SW")</f>
        <v>78</v>
      </c>
    </row>
    <row r="11" spans="1:11" x14ac:dyDescent="0.25">
      <c r="A11" s="1" t="s">
        <v>259</v>
      </c>
      <c r="B11" s="2">
        <v>28</v>
      </c>
      <c r="C11" s="2">
        <v>95</v>
      </c>
      <c r="D11" s="2">
        <v>123</v>
      </c>
      <c r="H11" s="1" t="s">
        <v>259</v>
      </c>
      <c r="I11">
        <f>GETPIVOTDATA("Total",$A$4,"Zone","BE","Spp","pipiens")</f>
        <v>28</v>
      </c>
      <c r="J11">
        <f>GETPIVOTDATA("Total",$A$4,"Zone","BE","Spp","tarsalis")</f>
        <v>95</v>
      </c>
      <c r="K11">
        <f>GETPIVOTDATA("Total",$A$4,"Zone","BE")</f>
        <v>123</v>
      </c>
    </row>
    <row r="12" spans="1:11" x14ac:dyDescent="0.25">
      <c r="A12" s="1" t="s">
        <v>7</v>
      </c>
      <c r="B12" s="2">
        <v>558</v>
      </c>
      <c r="C12" s="2">
        <v>698</v>
      </c>
      <c r="D12" s="2">
        <v>1256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ABF0615-B75B-4EAA-A3A1-F160C8DEA2C9}"/>
</file>

<file path=customXml/itemProps2.xml><?xml version="1.0" encoding="utf-8"?>
<ds:datastoreItem xmlns:ds="http://schemas.openxmlformats.org/officeDocument/2006/customXml" ds:itemID="{FA4E74E8-644C-412F-995C-7B4C57A03085}"/>
</file>

<file path=customXml/itemProps3.xml><?xml version="1.0" encoding="utf-8"?>
<ds:datastoreItem xmlns:ds="http://schemas.openxmlformats.org/officeDocument/2006/customXml" ds:itemID="{CFBCD840-5680-414F-9E39-B1B2272BA3E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2017-08-25T20:12:54Z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1252400</vt:r8>
  </property>
</Properties>
</file>