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80" windowWidth="19440" windowHeight="15045" tabRatio="905" firstSheet="1" activeTab="5"/>
  </bookViews>
  <sheets>
    <sheet name="READ ME" sheetId="65" r:id="rId1"/>
    <sheet name="Weekly Data Input" sheetId="2" r:id="rId2"/>
    <sheet name="InfRateTotal" sheetId="158" r:id="rId3"/>
    <sheet name="InfRateZone" sheetId="156" r:id="rId4"/>
    <sheet name="InfRateZO" sheetId="154" r:id="rId5"/>
    <sheet name="InfRateCI" sheetId="152"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1" r:id="rId15"/>
    <pivotCache cacheId="8" r:id="rId16"/>
  </pivotCaches>
</workbook>
</file>

<file path=xl/calcChain.xml><?xml version="1.0" encoding="utf-8"?>
<calcChain xmlns="http://schemas.openxmlformats.org/spreadsheetml/2006/main">
  <c r="M76" i="5" l="1"/>
  <c r="F13" i="5" s="1"/>
  <c r="L76" i="5"/>
  <c r="E13" i="5" s="1"/>
  <c r="I12" i="6"/>
  <c r="G11" i="6"/>
  <c r="I11" i="6"/>
  <c r="G12" i="6"/>
  <c r="H11" i="6"/>
  <c r="H12" i="6"/>
  <c r="I10" i="64"/>
  <c r="I11" i="64"/>
  <c r="H11" i="64"/>
  <c r="J10" i="64"/>
  <c r="J11" i="64"/>
  <c r="H10" i="64"/>
  <c r="J11" i="61"/>
  <c r="I10" i="61"/>
  <c r="J10" i="61"/>
  <c r="I11" i="61"/>
  <c r="K10" i="61"/>
  <c r="K11" i="61"/>
  <c r="I10" i="63"/>
  <c r="J5" i="63"/>
  <c r="H10" i="63"/>
  <c r="H5" i="63"/>
  <c r="I5" i="63"/>
  <c r="J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I9" i="6"/>
  <c r="H7" i="6"/>
  <c r="G8" i="6"/>
  <c r="G7" i="6"/>
  <c r="H10" i="6"/>
  <c r="H9" i="6"/>
  <c r="H8" i="6"/>
  <c r="G9" i="6"/>
  <c r="I8" i="6"/>
  <c r="G10" i="6"/>
  <c r="I10" i="6"/>
  <c r="I7" i="6"/>
  <c r="H8" i="64"/>
  <c r="I6" i="64"/>
  <c r="J9" i="64"/>
  <c r="J6" i="64"/>
  <c r="J7" i="64"/>
  <c r="H7" i="64"/>
  <c r="I7" i="64"/>
  <c r="H6" i="64"/>
  <c r="H9" i="64"/>
  <c r="I9" i="64"/>
  <c r="J8" i="64"/>
  <c r="I8" i="64"/>
  <c r="I9" i="61"/>
  <c r="K6" i="61"/>
  <c r="K7" i="61"/>
  <c r="I6" i="61"/>
  <c r="J9" i="61"/>
  <c r="K8" i="61"/>
  <c r="I7" i="61"/>
  <c r="K9" i="61"/>
  <c r="J6" i="61"/>
  <c r="J8" i="61"/>
  <c r="I8" i="61"/>
  <c r="J7" i="61"/>
  <c r="H9" i="63"/>
  <c r="J9" i="63"/>
  <c r="I9" i="63"/>
  <c r="H7" i="63"/>
  <c r="H8" i="63"/>
  <c r="I6" i="63"/>
  <c r="J8" i="63"/>
  <c r="J6" i="63"/>
  <c r="J7" i="63"/>
  <c r="I7" i="63"/>
  <c r="I8" i="63"/>
  <c r="H6"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<sst xmlns="http://schemas.openxmlformats.org/spreadsheetml/2006/main" count="2184" uniqueCount="446">
  <si>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</si>
  <si>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</si>
  <si>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</si>
  <si>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</si>
  <si>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</si>
  <si>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</si>
  <si>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</si>
  <si>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</si>
  <si>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</si>
  <si>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</si>
  <si>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</si>
  <si>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</si>
  <si>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</si>
  <si>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</si>
  <si>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</si>
  <si>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</si>
  <si>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</si>
  <si>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</si>
  <si>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</si>
  <si>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</si>
  <si>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</si>
  <si>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</si>
  <si>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</si>
  <si>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</si>
  <si>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</si>
  <si>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</si>
  <si>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</si>
  <si>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</si>
  <si>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</si>
  <si>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</si>
  <si>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</si>
  <si>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</si>
  <si>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</si>
  <si>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</si>
  <si>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</si>
  <si>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</si>
  <si>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</si>
  <si>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</si>
  <si>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</si>
  <si>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</si>
  <si>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</si>
  <si>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</si>
  <si>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</si>
  <si>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</si>
  <si>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</si>
  <si>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</si>
  <si>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</si>
  <si>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</si>
  <si>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</si>
  <si>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</si>
  <si>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</si>
  <si>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</si>
  <si>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</si>
  <si>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</si>
  <si>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</si>
  <si>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</si>
  <si>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</si>
  <si>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</si>
  <si>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</si>
  <si>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</si>
  <si>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</si>
  <si>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</si>
  <si>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</si>
  <si>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</si>
  <si>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</si>
  <si>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</si>
  <si>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</si>
  <si>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</si>
  <si>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</si>
  <si>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</si>
  <si>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</si>
  <si>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</si>
  <si>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</si>
  <si>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</si>
  <si>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</si>
  <si>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</si>
  <si>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</si>
  <si>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</si>
  <si>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</si>
  <si>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</si>
  <si>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</si>
  <si>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</si>
  <si>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</si>
  <si>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</si>
  <si>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</si>
  <si>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</si>
  <si>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</si>
  <si>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</si>
  <si>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</si>
  <si>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</si>
  <si>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</si>
  <si>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</si>
  <si>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</si>
  <si>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</si>
  <si>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</si>
  <si>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</si>
  <si>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</si>
  <si>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</si>
  <si>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</si>
  <si>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</si>
  <si>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</si>
  <si>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</si>
  <si>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</si>
  <si>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</si>
  <si>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</si>
  <si>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</si>
  <si>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</si>
  <si>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</si>
  <si>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FC-071</t>
  </si>
  <si>
    <t>FC-037</t>
  </si>
  <si>
    <t>FC-062</t>
  </si>
  <si>
    <t>G</t>
  </si>
  <si>
    <t>FC-093</t>
  </si>
  <si>
    <t>FC-068</t>
  </si>
  <si>
    <t>FC-029</t>
  </si>
  <si>
    <t>FC-001</t>
  </si>
  <si>
    <t>FC-054</t>
  </si>
  <si>
    <t>LV-069</t>
  </si>
  <si>
    <t>LV-095</t>
  </si>
  <si>
    <t>FC-031</t>
  </si>
  <si>
    <t>LV-104</t>
  </si>
  <si>
    <t>FC-047</t>
  </si>
  <si>
    <t>FC-046</t>
  </si>
  <si>
    <t>LV-089</t>
  </si>
  <si>
    <t>FC-050</t>
  </si>
  <si>
    <t>FC-023</t>
  </si>
  <si>
    <t>LV-110</t>
  </si>
  <si>
    <t>FC-059</t>
  </si>
  <si>
    <t>FC-027</t>
  </si>
  <si>
    <t>FC-004</t>
  </si>
  <si>
    <t>FC-053</t>
  </si>
  <si>
    <t>FC-039</t>
  </si>
  <si>
    <t>FC-064</t>
  </si>
  <si>
    <t>LV-020</t>
  </si>
  <si>
    <t>FC-061</t>
  </si>
  <si>
    <t>FC-052</t>
  </si>
  <si>
    <t>FC-075</t>
  </si>
  <si>
    <t>FC-073</t>
  </si>
  <si>
    <t>FC-041</t>
  </si>
  <si>
    <t>FC-060</t>
  </si>
  <si>
    <t>FC-011</t>
  </si>
  <si>
    <t>FC-063</t>
  </si>
  <si>
    <t>FC-015</t>
  </si>
  <si>
    <t>FC-058</t>
  </si>
  <si>
    <t>FC-049</t>
  </si>
  <si>
    <t>FC-066</t>
  </si>
  <si>
    <t>FC-019</t>
  </si>
  <si>
    <t>FC-067</t>
  </si>
  <si>
    <t>FC-036</t>
  </si>
  <si>
    <t>FC-040</t>
  </si>
  <si>
    <t>FC-006</t>
  </si>
  <si>
    <t>FC-069</t>
  </si>
  <si>
    <t>FC-014</t>
  </si>
  <si>
    <t>FC-038</t>
  </si>
  <si>
    <t>LIGHT</t>
  </si>
  <si>
    <t>NO</t>
  </si>
  <si>
    <t>LV-066</t>
  </si>
  <si>
    <t>Horseshoe Peninsula</t>
  </si>
  <si>
    <t>9th and Des Moines</t>
  </si>
  <si>
    <t>Big Thompson Natural Area</t>
  </si>
  <si>
    <t>LV-114</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</si>
  <si>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</si>
  <si>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</si>
  <si>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</si>
  <si>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</si>
  <si>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</si>
  <si>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</si>
  <si>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</si>
  <si>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</si>
  <si>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</si>
  <si>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</si>
  <si>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</si>
  <si>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</si>
  <si>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</si>
  <si>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</si>
  <si>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</si>
  <si>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</si>
  <si>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</si>
  <si>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</si>
  <si>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</si>
  <si>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</si>
  <si>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</si>
  <si>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</si>
  <si>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</si>
  <si>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Magic Carpet</t>
  </si>
  <si>
    <t>Chelsea Ridge</t>
  </si>
  <si>
    <t>Casa Grande and Downing</t>
  </si>
  <si>
    <t>Spring Creek Trail @ Michener Dr</t>
  </si>
  <si>
    <t>Waters Edge at Blue Mesa</t>
  </si>
  <si>
    <t>Silvergate Road</t>
  </si>
  <si>
    <t>InfTotal</t>
  </si>
  <si>
    <t>InfZone</t>
  </si>
  <si>
    <t>GRAPH 1A</t>
  </si>
  <si>
    <t>Graph 1B</t>
  </si>
  <si>
    <t>FC-072</t>
  </si>
  <si>
    <t>422 Lake Drive Alley</t>
  </si>
  <si>
    <t>BE</t>
  </si>
  <si>
    <t>Cattail Pond</t>
  </si>
  <si>
    <t>LV-125</t>
  </si>
  <si>
    <t>8th St. No Name</t>
  </si>
  <si>
    <t>San Luis</t>
  </si>
  <si>
    <t>The Ponds at Jill Drive</t>
  </si>
  <si>
    <t>North Sage Creek</t>
  </si>
  <si>
    <t>West Chase @ Kechter Farm</t>
  </si>
  <si>
    <t>Outlet Mall Apartments</t>
  </si>
  <si>
    <t>118 Grant</t>
  </si>
  <si>
    <t>Bens Park</t>
  </si>
  <si>
    <t>Golden Currant</t>
  </si>
  <si>
    <t>Fort Collins Vistors Center</t>
  </si>
  <si>
    <t>Holley Environ. Plant Research Ctr</t>
  </si>
  <si>
    <t>Fossil Creek South (Greenstone)</t>
  </si>
  <si>
    <t>County Road 20C and County Road 9</t>
  </si>
  <si>
    <t>Lopez Elementary School</t>
  </si>
  <si>
    <t>Waterfront at Boyd Lake</t>
  </si>
  <si>
    <t>737 Parliament Court</t>
  </si>
  <si>
    <t>Registry Ridge- End of Ranger Dr</t>
  </si>
  <si>
    <t>502 Crest Drive</t>
  </si>
  <si>
    <t>TARSALIS</t>
  </si>
  <si>
    <t>PIPIENS</t>
  </si>
  <si>
    <t>LC-054</t>
  </si>
  <si>
    <t>LC-053</t>
  </si>
  <si>
    <t>LC-001</t>
  </si>
  <si>
    <t>LC-049</t>
  </si>
  <si>
    <t>FC-063gr</t>
  </si>
  <si>
    <t>Berthoud West</t>
  </si>
  <si>
    <t>LV-019</t>
  </si>
  <si>
    <t>Jocelyn and Eagle</t>
  </si>
  <si>
    <t>Berthoud Point</t>
  </si>
  <si>
    <t>LV-042</t>
  </si>
  <si>
    <t>2001 South Douglas</t>
  </si>
  <si>
    <t>LV-078</t>
  </si>
  <si>
    <t>Seven Lakes Park</t>
  </si>
  <si>
    <t>LC-017</t>
  </si>
  <si>
    <t>Bonnell West 2</t>
  </si>
  <si>
    <t>LV-080</t>
  </si>
  <si>
    <t>Harding and Reagan North</t>
  </si>
  <si>
    <t>Berthoud</t>
  </si>
  <si>
    <t>LV-105</t>
  </si>
  <si>
    <t>West 43rd RR</t>
  </si>
  <si>
    <t>LV-074</t>
  </si>
  <si>
    <t>Jefferson and 11th</t>
  </si>
  <si>
    <t>LV-088</t>
  </si>
  <si>
    <t>2229 Arikaree Court</t>
  </si>
  <si>
    <t>LV-117</t>
  </si>
  <si>
    <t>Centerra</t>
  </si>
  <si>
    <t>LV-097</t>
  </si>
  <si>
    <t>Farisita at Rist Benson Drainage</t>
  </si>
  <si>
    <t>LV-118</t>
  </si>
  <si>
    <t>Golf Vista at Golf Course Pond</t>
  </si>
  <si>
    <t>LV-021</t>
  </si>
  <si>
    <t>Linda and 26th Street SW</t>
  </si>
  <si>
    <t>LC-032</t>
  </si>
  <si>
    <t>River Lakes Estates/Paradise Acres</t>
  </si>
  <si>
    <t>LV-122</t>
  </si>
  <si>
    <t>Fallgold</t>
  </si>
  <si>
    <t>Berthoud North of Bunyan</t>
  </si>
  <si>
    <t>LC-022</t>
  </si>
  <si>
    <t>Timnath-Golf Course</t>
  </si>
  <si>
    <t>LV-004</t>
  </si>
  <si>
    <t>29th and Madison</t>
  </si>
  <si>
    <t>LV-116</t>
  </si>
  <si>
    <t>Sundisk and 13E</t>
  </si>
  <si>
    <t>LC-046</t>
  </si>
  <si>
    <t>Eagle Ranch Estates</t>
  </si>
  <si>
    <t>LC-050</t>
  </si>
  <si>
    <t>Timnath-Wildwing</t>
  </si>
  <si>
    <t>LV-102</t>
  </si>
  <si>
    <t>Glen Isle Ditch and Pond</t>
  </si>
  <si>
    <t>LV-100</t>
  </si>
  <si>
    <t>Lynx Runoff @ Blue Tree Real Estate</t>
  </si>
  <si>
    <t>LC-038</t>
  </si>
  <si>
    <t>Turman Bruns HOA</t>
  </si>
  <si>
    <t>LC-051</t>
  </si>
  <si>
    <t>Timnath-Saratoga Falls</t>
  </si>
  <si>
    <t>LV-098</t>
  </si>
  <si>
    <t>Benson Park</t>
  </si>
  <si>
    <t>LV-121</t>
  </si>
  <si>
    <t>Bayfield and Windsor</t>
  </si>
  <si>
    <t>LV-124</t>
  </si>
  <si>
    <t>Storage Yards 2nd St. South West</t>
  </si>
  <si>
    <t>LV-077</t>
  </si>
  <si>
    <t>1105 East First Street</t>
  </si>
  <si>
    <t>LC-052</t>
  </si>
  <si>
    <t>Walmart East at Poudre River</t>
  </si>
  <si>
    <t>LV-093</t>
  </si>
  <si>
    <t>Pond at Silver Lake</t>
  </si>
  <si>
    <t>LC-048</t>
  </si>
  <si>
    <t>Timnath-Summerfields</t>
  </si>
  <si>
    <t>LC-010</t>
  </si>
  <si>
    <t>Timnath-Downtown</t>
  </si>
  <si>
    <t>LV-014</t>
  </si>
  <si>
    <t>Estrella Park</t>
  </si>
  <si>
    <t>FC-040gr</t>
  </si>
  <si>
    <t>FC-088gr</t>
  </si>
  <si>
    <t>FC-075gr</t>
  </si>
  <si>
    <t>FC-090gr</t>
  </si>
  <si>
    <t>FC-074</t>
  </si>
  <si>
    <t>Rockcreek</t>
  </si>
  <si>
    <t>FC-029gr</t>
  </si>
  <si>
    <t>FC-089gr</t>
  </si>
  <si>
    <t>LV-067</t>
  </si>
  <si>
    <t>Del Norte Private Park</t>
  </si>
  <si>
    <t>LV-087</t>
  </si>
  <si>
    <t>2444 Derby Hill Road</t>
  </si>
  <si>
    <t>LV-113</t>
  </si>
  <si>
    <t>The Springs at Marianna</t>
  </si>
  <si>
    <t>LV-120</t>
  </si>
  <si>
    <t>End of City Limits North</t>
  </si>
  <si>
    <t>LV-099</t>
  </si>
  <si>
    <t>Cattails Golf Course</t>
  </si>
  <si>
    <t>FC-066gr</t>
  </si>
  <si>
    <t>Negative</t>
  </si>
  <si>
    <t>Positive</t>
  </si>
  <si>
    <t>LV-TAR</t>
  </si>
  <si>
    <t>FC-PIP</t>
  </si>
  <si>
    <t>FC-TAR</t>
  </si>
  <si>
    <t>BE-TAR</t>
  </si>
  <si>
    <t>BE-PIP</t>
  </si>
  <si>
    <t>NE-PIP</t>
  </si>
  <si>
    <t>NE-TAR</t>
  </si>
  <si>
    <t>NW-TAR</t>
  </si>
  <si>
    <t>NW-PIP</t>
  </si>
  <si>
    <t>SE-TAR</t>
  </si>
  <si>
    <t>SE-PIP</t>
  </si>
  <si>
    <t>SW-TAR</t>
  </si>
  <si>
    <t>SW-PIP</t>
  </si>
  <si>
    <t>Infection Rate</t>
  </si>
  <si>
    <t>Lower Limit</t>
  </si>
  <si>
    <t>Upper Limit</t>
  </si>
  <si>
    <t>Scale</t>
  </si>
  <si>
    <t>Point Est Method</t>
  </si>
  <si>
    <t>CI Method</t>
  </si>
  <si>
    <t>Num Pools</t>
  </si>
  <si>
    <t>Num Pos Pools</t>
  </si>
  <si>
    <t>Num Individuals</t>
  </si>
  <si>
    <t>Bias Corrected MLE</t>
  </si>
  <si>
    <t>Corrected Score</t>
  </si>
  <si>
    <t>FC-091gr</t>
  </si>
  <si>
    <t>LV-PIP</t>
  </si>
  <si>
    <t>FC-092gr</t>
  </si>
  <si>
    <t>Score</t>
  </si>
  <si>
    <t>LV-112</t>
  </si>
  <si>
    <t>915 South Boise</t>
  </si>
  <si>
    <t>EBO</t>
  </si>
  <si>
    <t>CSU-12685</t>
  </si>
  <si>
    <t>CSU-12686</t>
  </si>
  <si>
    <t>CSU-12687</t>
  </si>
  <si>
    <t>CSU-12688</t>
  </si>
  <si>
    <t>CSU-12689</t>
  </si>
  <si>
    <t>CSU-12690</t>
  </si>
  <si>
    <t>CSU-12691</t>
  </si>
  <si>
    <t>CSU-12692</t>
  </si>
  <si>
    <t>CSU-12693</t>
  </si>
  <si>
    <t>CSU-12694</t>
  </si>
  <si>
    <t>CSU-12695</t>
  </si>
  <si>
    <t>CSU-12696</t>
  </si>
  <si>
    <t>CSU-12697</t>
  </si>
  <si>
    <t>CSU-12698</t>
  </si>
  <si>
    <t>CSU-12699</t>
  </si>
  <si>
    <t>CSU-12700</t>
  </si>
  <si>
    <t>CSU-12701</t>
  </si>
  <si>
    <t>CSU-12702</t>
  </si>
  <si>
    <t>CSU-12703</t>
  </si>
  <si>
    <t>CSU-12704</t>
  </si>
  <si>
    <t>CSU-12705</t>
  </si>
  <si>
    <t>CSU-12706</t>
  </si>
  <si>
    <t>CSU-12707</t>
  </si>
  <si>
    <t>CSU-12708</t>
  </si>
  <si>
    <t>CSU-12709</t>
  </si>
  <si>
    <t>CSU-12710</t>
  </si>
  <si>
    <t>CSU-12711</t>
  </si>
  <si>
    <t>CSU-12712</t>
  </si>
  <si>
    <t>CSU-12713</t>
  </si>
  <si>
    <t>CSU-12714</t>
  </si>
  <si>
    <t>CSU-12715</t>
  </si>
  <si>
    <t>CSU-12716</t>
  </si>
  <si>
    <t>CSU-12717</t>
  </si>
  <si>
    <t>CSU-12718</t>
  </si>
  <si>
    <t>CSU-12719</t>
  </si>
  <si>
    <t>CSU-12720</t>
  </si>
  <si>
    <t>CSU-12721</t>
  </si>
  <si>
    <t>CSU-12722</t>
  </si>
  <si>
    <t>CSU-12723</t>
  </si>
  <si>
    <t>CSU-12724</t>
  </si>
  <si>
    <t>CSU-12725</t>
  </si>
  <si>
    <t>CSU-12726</t>
  </si>
  <si>
    <t>CSU-12727</t>
  </si>
  <si>
    <t>CSU-12728</t>
  </si>
  <si>
    <t>CSU-12729</t>
  </si>
  <si>
    <t>CSU-12730</t>
  </si>
  <si>
    <t>CSU-12731</t>
  </si>
  <si>
    <t>CSU-12732</t>
  </si>
  <si>
    <t>CSU-12733</t>
  </si>
  <si>
    <t>CSU-12734</t>
  </si>
  <si>
    <t>CSU-12735</t>
  </si>
  <si>
    <t>CSU-12736</t>
  </si>
  <si>
    <t>CSU-12737</t>
  </si>
  <si>
    <t>CSU-12738</t>
  </si>
  <si>
    <t>CSU-12739</t>
  </si>
  <si>
    <t>CSU-12740</t>
  </si>
  <si>
    <t>CSU-12741</t>
  </si>
  <si>
    <t>CSU-12742</t>
  </si>
  <si>
    <t>CSU-12743</t>
  </si>
  <si>
    <t>CSU-12744</t>
  </si>
  <si>
    <t>CSU-12745</t>
  </si>
  <si>
    <t>CSU-12746</t>
  </si>
  <si>
    <t>CSU-12747</t>
  </si>
  <si>
    <t>CSU-12748</t>
  </si>
  <si>
    <t>CSU-12749</t>
  </si>
  <si>
    <t>CSU-12750</t>
  </si>
  <si>
    <t>CSU-12751</t>
  </si>
  <si>
    <t>CSU-12752</t>
  </si>
  <si>
    <t>CSU-12753</t>
  </si>
  <si>
    <t>CSU-12754</t>
  </si>
  <si>
    <t>CSU-12755</t>
  </si>
  <si>
    <t>CSU-12756</t>
  </si>
  <si>
    <t>CSU-12757</t>
  </si>
  <si>
    <t>CSU-12758</t>
  </si>
  <si>
    <t>CSU-12759</t>
  </si>
  <si>
    <t>CSU-12760</t>
  </si>
  <si>
    <t>CSU-12761</t>
  </si>
  <si>
    <t>CSU-12762</t>
  </si>
  <si>
    <t>CSU-12763</t>
  </si>
  <si>
    <t>CSU-12764</t>
  </si>
  <si>
    <t>CSU-12765</t>
  </si>
  <si>
    <t>CSU-12766</t>
  </si>
  <si>
    <t>CSU-12767</t>
  </si>
  <si>
    <t>CSU-12768</t>
  </si>
  <si>
    <t>CSU-12769</t>
  </si>
  <si>
    <t>CSU-12770</t>
  </si>
  <si>
    <t>CSU-12771</t>
  </si>
  <si>
    <t>CSU-12772</t>
  </si>
  <si>
    <t>CSU-12773</t>
  </si>
  <si>
    <t>CSU-12774</t>
  </si>
  <si>
    <t>CSU-12775</t>
  </si>
  <si>
    <t>CSU-12776</t>
  </si>
  <si>
    <t>CSU-12777</t>
  </si>
  <si>
    <t>CSU-12778</t>
  </si>
  <si>
    <t>CSU-12779</t>
  </si>
  <si>
    <t>CSU-12780</t>
  </si>
  <si>
    <t>CSU-12781</t>
  </si>
  <si>
    <t>CSU-12782</t>
  </si>
  <si>
    <t>08/30/2018</t>
  </si>
  <si>
    <t>08/29/2018</t>
  </si>
  <si>
    <t>08/27/2018</t>
  </si>
  <si>
    <t>08/28/2018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</si>
</sst>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3" xfId="0" applyFont="1" applyFill="1" applyBorder="1" applyAlignment="1">
      <alignment vertical="center"/>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4" fillId="3" borderId="15" xfId="0" applyFont="1" applyFill="1" applyBorder="1" applyAlignment="1">
      <alignment vertic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7" fillId="5" borderId="15" xfId="0" applyFont="1" applyFill="1" applyBorder="1" applyAlignment="1"/>
    <xf numFmtId="0" fontId="17" fillId="3" borderId="15" xfId="0" applyFont="1" applyFill="1" applyBorder="1" applyAlignment="1"/>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346.149521874999" createdVersion="4" refreshedVersion="4" minRefreshableVersion="3" recordCount="98">
  <cacheSource type="worksheet">
    <worksheetSource ref="A1:R99" sheet="Weekly Data Input"/>
  </cacheSource>
  <cacheFields count="18">
    <cacheField name="Year" numFmtId="0">
      <sharedItems containsSemiMixedTypes="0" containsString="0" containsNumber="1" containsInteger="1" minValue="2018" maxValue="2018"/>
    </cacheField>
    <cacheField name="CSU Pool Number     (CMC enters)" numFmtId="0">
      <sharedItems/>
    </cacheField>
    <cacheField name="IDA Pool (CSU enters, leave blank)" numFmtId="0">
      <sharedItems containsSemiMixedTypes="0" containsString="0" containsNumber="1" containsInteger="1" minValue="22291" maxValue="22388"/>
    </cacheField>
    <cacheField name="Week" numFmtId="0">
      <sharedItems containsSemiMixedTypes="0" containsString="0" containsNumber="1" containsInteger="1" minValue="35" maxValue="35" count="1">
        <n v="35"/>
      </sharedItems>
    </cacheField>
    <cacheField name="Trap Date" numFmtId="164">
      <sharedItems containsSemiMixedTypes="0" containsNonDate="0" containsDate="1" containsString="0" minDate="2018-08-27T00:00:00" maxDate="2018-08-31T00:00:00" count="4">
        <d v="2018-08-27T00:00:00"/>
        <d v="2018-08-28T00:00:00"/>
        <d v="2018-08-30T00:00:00"/>
        <d v="2018-08-29T00:00:00"/>
      </sharedItems>
    </cacheField>
    <cacheField name="County" numFmtId="0">
      <sharedItems/>
    </cacheField>
    <cacheField name="Account" numFmtId="0">
      <sharedItems/>
    </cacheField>
    <cacheField name="Collection Site (Trap ID)" numFmtId="0">
      <sharedItems/>
    </cacheField>
    <cacheField name="Zone" numFmtId="0">
      <sharedItems count="6">
        <s v="LV"/>
        <s v="BE"/>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7"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539.505308449072" createdVersion="4" refreshedVersion="4" minRefreshableVersion="3" recordCount="94">
  <cacheSource type="worksheet">
    <worksheetSource ref="A1:L95" sheet="Weekly 009 input (- Grav, Mal)"/>
  </cacheSource>
  <cacheFields count="12">
    <cacheField name="Week" numFmtId="0">
      <sharedItems containsSemiMixedTypes="0" containsString="0" containsNumber="1" containsInteger="1" minValue="35" maxValue="35" count="1">
        <n v="35"/>
      </sharedItems>
    </cacheField>
    <cacheField name="Trap Date" numFmtId="0">
      <sharedItems/>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58"/>
    </cacheField>
    <cacheField name="Cx pipiens" numFmtId="0">
      <sharedItems containsSemiMixedTypes="0" containsString="0" containsNumber="1" containsInteger="1" minValue="0" maxValue="180"/>
    </cacheField>
    <cacheField name="Total CX" numFmtId="0">
      <sharedItems containsSemiMixedTypes="0" containsString="0" containsNumber="1" containsInteger="1" minValue="0" maxValue="185"/>
    </cacheField>
    <cacheField name="Total Females" numFmtId="0">
      <sharedItems containsSemiMixedTypes="0" containsString="0" containsNumber="1" containsInteger="1" minValue="0" maxValue="259"/>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8">
  <r>
    <n v="2018"/>
    <s v="CSU-12691"/>
    <n v="22297"/>
    <x v="0"/>
    <x v="0"/>
    <s v="LC"/>
    <s v="LV"/>
    <s v="LV-095"/>
    <x v="0"/>
    <s v="L"/>
    <s v="Cx."/>
    <x v="0"/>
    <s v="F"/>
    <m/>
    <n v="4"/>
    <n v="4"/>
    <n v="0"/>
    <s v="Negative"/>
  </r>
  <r>
    <n v="2018"/>
    <s v="CSU-12692"/>
    <n v="22298"/>
    <x v="0"/>
    <x v="0"/>
    <s v="LC"/>
    <s v="LV"/>
    <s v="LV-095"/>
    <x v="0"/>
    <s v="L"/>
    <s v="Cx."/>
    <x v="1"/>
    <s v="F"/>
    <m/>
    <n v="3"/>
    <n v="3"/>
    <n v="0"/>
    <s v="Negative"/>
  </r>
  <r>
    <n v="2018"/>
    <s v="CSU-12685"/>
    <n v="22291"/>
    <x v="0"/>
    <x v="0"/>
    <s v="LC"/>
    <s v="LV"/>
    <s v="LV-110"/>
    <x v="0"/>
    <s v="L"/>
    <s v="Cx."/>
    <x v="1"/>
    <s v="F"/>
    <m/>
    <n v="2"/>
    <n v="2"/>
    <n v="0"/>
    <s v="Negative"/>
  </r>
  <r>
    <n v="2018"/>
    <s v="CSU-12689"/>
    <n v="22295"/>
    <x v="0"/>
    <x v="0"/>
    <s v="LC"/>
    <s v="LV"/>
    <s v="LV-069"/>
    <x v="0"/>
    <s v="L"/>
    <s v="Cx."/>
    <x v="0"/>
    <s v="F"/>
    <m/>
    <n v="16"/>
    <n v="16"/>
    <n v="0"/>
    <s v="Negative"/>
  </r>
  <r>
    <n v="2018"/>
    <s v="CSU-12690"/>
    <n v="22296"/>
    <x v="0"/>
    <x v="0"/>
    <s v="LC"/>
    <s v="LV"/>
    <s v="LV-069"/>
    <x v="0"/>
    <s v="L"/>
    <s v="Cx."/>
    <x v="1"/>
    <s v="F"/>
    <m/>
    <n v="2"/>
    <n v="2"/>
    <n v="0"/>
    <s v="Negative"/>
  </r>
  <r>
    <n v="2018"/>
    <s v="CSU-12686"/>
    <n v="22292"/>
    <x v="0"/>
    <x v="0"/>
    <s v="LC"/>
    <s v="LV"/>
    <s v="LV-104"/>
    <x v="0"/>
    <s v="L"/>
    <s v="Cx."/>
    <x v="0"/>
    <s v="F"/>
    <m/>
    <n v="15"/>
    <n v="15"/>
    <n v="0"/>
    <s v="Negative"/>
  </r>
  <r>
    <n v="2018"/>
    <s v="CSU-12687"/>
    <n v="22293"/>
    <x v="0"/>
    <x v="0"/>
    <s v="LC"/>
    <s v="LV"/>
    <s v="LV-104"/>
    <x v="0"/>
    <s v="L"/>
    <s v="Cx."/>
    <x v="1"/>
    <s v="F"/>
    <m/>
    <n v="8"/>
    <n v="8"/>
    <n v="0"/>
    <s v="Negative"/>
  </r>
  <r>
    <n v="2018"/>
    <s v="CSU-12688"/>
    <n v="22294"/>
    <x v="0"/>
    <x v="0"/>
    <s v="LC"/>
    <s v="LV"/>
    <s v="LV-089"/>
    <x v="0"/>
    <s v="L"/>
    <s v="Cx."/>
    <x v="0"/>
    <s v="F"/>
    <m/>
    <n v="3"/>
    <n v="3"/>
    <n v="0"/>
    <s v="Negative"/>
  </r>
  <r>
    <n v="2018"/>
    <s v="CSU-12698"/>
    <n v="22304"/>
    <x v="0"/>
    <x v="1"/>
    <s v="LC"/>
    <s v="LV"/>
    <s v="LV-020"/>
    <x v="0"/>
    <s v="L"/>
    <s v="Cx."/>
    <x v="0"/>
    <s v="F"/>
    <m/>
    <n v="48"/>
    <n v="48"/>
    <n v="0"/>
    <s v="Negative"/>
  </r>
  <r>
    <n v="2018"/>
    <s v="CSU-12699"/>
    <n v="22305"/>
    <x v="0"/>
    <x v="1"/>
    <s v="LC"/>
    <s v="LV"/>
    <s v="LV-020"/>
    <x v="0"/>
    <s v="L"/>
    <s v="Cx."/>
    <x v="1"/>
    <s v="F"/>
    <m/>
    <n v="8"/>
    <n v="8"/>
    <n v="0"/>
    <s v="Negative"/>
  </r>
  <r>
    <n v="2018"/>
    <s v="CSU-12696"/>
    <n v="22302"/>
    <x v="0"/>
    <x v="1"/>
    <s v="LC"/>
    <s v="BE"/>
    <s v="LC-054"/>
    <x v="1"/>
    <s v="L"/>
    <s v="Cx."/>
    <x v="0"/>
    <s v="F"/>
    <m/>
    <n v="12"/>
    <n v="12"/>
    <n v="0"/>
    <s v="Negative"/>
  </r>
  <r>
    <n v="2018"/>
    <s v="CSU-12697"/>
    <n v="22303"/>
    <x v="0"/>
    <x v="1"/>
    <s v="LC"/>
    <s v="BE"/>
    <s v="LC-054"/>
    <x v="1"/>
    <s v="L"/>
    <s v="Cx."/>
    <x v="1"/>
    <s v="F"/>
    <m/>
    <n v="13"/>
    <n v="13"/>
    <n v="0"/>
    <s v="Negative"/>
  </r>
  <r>
    <n v="2018"/>
    <s v="CSU-12700"/>
    <n v="22306"/>
    <x v="0"/>
    <x v="1"/>
    <s v="LC"/>
    <s v="BE"/>
    <s v="LC-001"/>
    <x v="1"/>
    <s v="L"/>
    <s v="Cx."/>
    <x v="0"/>
    <s v="F"/>
    <m/>
    <n v="2"/>
    <n v="2"/>
    <n v="0"/>
    <s v="Negative"/>
  </r>
  <r>
    <n v="2018"/>
    <s v="CSU-12701"/>
    <n v="22307"/>
    <x v="0"/>
    <x v="1"/>
    <s v="LC"/>
    <s v="BE"/>
    <s v="LC-001"/>
    <x v="1"/>
    <s v="L"/>
    <s v="Cx."/>
    <x v="1"/>
    <s v="F"/>
    <m/>
    <n v="2"/>
    <n v="2"/>
    <n v="0"/>
    <s v="Negative"/>
  </r>
  <r>
    <n v="2018"/>
    <s v="CSU-12702"/>
    <n v="22308"/>
    <x v="0"/>
    <x v="1"/>
    <s v="LC"/>
    <s v="BE"/>
    <s v="LC-049"/>
    <x v="1"/>
    <s v="L"/>
    <s v="Cx."/>
    <x v="0"/>
    <s v="F"/>
    <m/>
    <n v="5"/>
    <n v="5"/>
    <n v="0"/>
    <s v="Negative"/>
  </r>
  <r>
    <n v="2018"/>
    <s v="CSU-12754"/>
    <n v="22360"/>
    <x v="0"/>
    <x v="2"/>
    <s v="LC"/>
    <s v="FC"/>
    <s v="FC-034"/>
    <x v="2"/>
    <s v="L"/>
    <s v="Cx."/>
    <x v="0"/>
    <s v="F"/>
    <m/>
    <n v="7"/>
    <n v="7"/>
    <n v="0"/>
    <s v="Negative"/>
  </r>
  <r>
    <n v="2018"/>
    <s v="CSU-12755"/>
    <n v="22361"/>
    <x v="0"/>
    <x v="2"/>
    <s v="LC"/>
    <s v="FC"/>
    <s v="FC-034"/>
    <x v="2"/>
    <s v="L"/>
    <s v="Cx."/>
    <x v="1"/>
    <s v="F"/>
    <m/>
    <n v="3"/>
    <n v="3"/>
    <n v="1"/>
    <s v="Positive"/>
  </r>
  <r>
    <n v="2018"/>
    <s v="CSU-12756"/>
    <n v="22362"/>
    <x v="0"/>
    <x v="2"/>
    <s v="LC"/>
    <s v="FC"/>
    <s v="FC-069"/>
    <x v="2"/>
    <s v="L"/>
    <s v="Cx."/>
    <x v="0"/>
    <s v="F"/>
    <m/>
    <n v="16"/>
    <n v="16"/>
    <n v="0"/>
    <s v="Negative"/>
  </r>
  <r>
    <n v="2018"/>
    <s v="CSU-12757"/>
    <n v="22363"/>
    <x v="0"/>
    <x v="2"/>
    <s v="LC"/>
    <s v="FC"/>
    <s v="FC-069"/>
    <x v="2"/>
    <s v="L"/>
    <s v="Cx."/>
    <x v="1"/>
    <s v="F"/>
    <m/>
    <n v="8"/>
    <n v="8"/>
    <n v="0"/>
    <s v="Negative"/>
  </r>
  <r>
    <n v="2018"/>
    <s v="CSU-12758"/>
    <n v="22364"/>
    <x v="0"/>
    <x v="2"/>
    <s v="LC"/>
    <s v="FC"/>
    <s v="FC-014"/>
    <x v="2"/>
    <s v="L"/>
    <s v="Cx."/>
    <x v="0"/>
    <s v="F"/>
    <m/>
    <n v="16"/>
    <n v="16"/>
    <n v="0"/>
    <s v="Negative"/>
  </r>
  <r>
    <n v="2018"/>
    <s v="CSU-12759"/>
    <n v="22365"/>
    <x v="0"/>
    <x v="2"/>
    <s v="LC"/>
    <s v="FC"/>
    <s v="FC-014"/>
    <x v="2"/>
    <s v="L"/>
    <s v="Cx."/>
    <x v="1"/>
    <s v="F"/>
    <m/>
    <n v="50"/>
    <n v="50"/>
    <n v="0"/>
    <s v="Negative"/>
  </r>
  <r>
    <n v="2018"/>
    <s v="CSU-12760"/>
    <n v="22366"/>
    <x v="0"/>
    <x v="2"/>
    <s v="LC"/>
    <s v="FC"/>
    <s v="FC-014"/>
    <x v="2"/>
    <s v="L"/>
    <s v="Cx."/>
    <x v="1"/>
    <s v="F"/>
    <m/>
    <n v="35"/>
    <n v="35"/>
    <n v="0"/>
    <s v="Negative"/>
  </r>
  <r>
    <n v="2018"/>
    <s v="CSU-12761"/>
    <n v="22367"/>
    <x v="0"/>
    <x v="2"/>
    <s v="LC"/>
    <s v="FC"/>
    <s v="FC-038"/>
    <x v="2"/>
    <s v="L"/>
    <s v="Cx."/>
    <x v="0"/>
    <s v="F"/>
    <m/>
    <n v="4"/>
    <n v="4"/>
    <n v="0"/>
    <s v="Negative"/>
  </r>
  <r>
    <n v="2018"/>
    <s v="CSU-12762"/>
    <n v="22368"/>
    <x v="0"/>
    <x v="2"/>
    <s v="LC"/>
    <s v="FC"/>
    <s v="FC-038"/>
    <x v="2"/>
    <s v="L"/>
    <s v="Cx."/>
    <x v="1"/>
    <s v="F"/>
    <m/>
    <n v="30"/>
    <n v="30"/>
    <n v="0"/>
    <s v="Negative"/>
  </r>
  <r>
    <n v="2018"/>
    <s v="CSU-12763"/>
    <n v="22369"/>
    <x v="0"/>
    <x v="2"/>
    <s v="LC"/>
    <s v="FC"/>
    <s v="FC-066gr"/>
    <x v="2"/>
    <s v="G"/>
    <s v="Cx."/>
    <x v="1"/>
    <s v="F"/>
    <n v="30"/>
    <m/>
    <n v="30"/>
    <n v="0"/>
    <s v="Negative"/>
  </r>
  <r>
    <n v="2018"/>
    <s v="CSU-12764"/>
    <n v="22370"/>
    <x v="0"/>
    <x v="2"/>
    <s v="LC"/>
    <s v="FC"/>
    <s v="FC-019"/>
    <x v="2"/>
    <s v="L"/>
    <s v="Cx."/>
    <x v="0"/>
    <s v="F"/>
    <m/>
    <n v="2"/>
    <n v="2"/>
    <n v="0"/>
    <s v="Negative"/>
  </r>
  <r>
    <n v="2018"/>
    <s v="CSU-12765"/>
    <n v="22371"/>
    <x v="0"/>
    <x v="2"/>
    <s v="LC"/>
    <s v="FC"/>
    <s v="FC-019"/>
    <x v="2"/>
    <s v="L"/>
    <s v="Cx."/>
    <x v="1"/>
    <s v="F"/>
    <m/>
    <n v="10"/>
    <n v="10"/>
    <n v="0"/>
    <s v="Negative"/>
  </r>
  <r>
    <n v="2018"/>
    <s v="CSU-12766"/>
    <n v="22372"/>
    <x v="0"/>
    <x v="2"/>
    <s v="LC"/>
    <s v="FC"/>
    <s v="FC-040"/>
    <x v="2"/>
    <s v="L"/>
    <s v="Cx."/>
    <x v="0"/>
    <s v="F"/>
    <m/>
    <n v="30"/>
    <n v="30"/>
    <n v="0"/>
    <s v="Negative"/>
  </r>
  <r>
    <n v="2018"/>
    <s v="CSU-12767"/>
    <n v="22373"/>
    <x v="0"/>
    <x v="2"/>
    <s v="LC"/>
    <s v="FC"/>
    <s v="FC-040"/>
    <x v="2"/>
    <s v="L"/>
    <s v="Cx."/>
    <x v="1"/>
    <s v="F"/>
    <m/>
    <n v="16"/>
    <n v="16"/>
    <n v="0"/>
    <s v="Negative"/>
  </r>
  <r>
    <n v="2018"/>
    <s v="CSU-12768"/>
    <n v="22374"/>
    <x v="0"/>
    <x v="2"/>
    <s v="LC"/>
    <s v="FC"/>
    <s v="FC-091gr"/>
    <x v="2"/>
    <s v="G"/>
    <s v="Cx."/>
    <x v="1"/>
    <s v="F"/>
    <n v="7"/>
    <m/>
    <n v="7"/>
    <n v="1"/>
    <s v="Positive"/>
  </r>
  <r>
    <n v="2018"/>
    <s v="CSU-12769"/>
    <n v="22375"/>
    <x v="0"/>
    <x v="2"/>
    <s v="LC"/>
    <s v="FC"/>
    <s v="FC-072"/>
    <x v="2"/>
    <s v="L"/>
    <s v="Cx."/>
    <x v="0"/>
    <s v="F"/>
    <m/>
    <n v="4"/>
    <n v="4"/>
    <n v="0"/>
    <s v="Negative"/>
  </r>
  <r>
    <n v="2018"/>
    <s v="CSU-12770"/>
    <n v="22376"/>
    <x v="0"/>
    <x v="2"/>
    <s v="LC"/>
    <s v="FC"/>
    <s v="FC-072"/>
    <x v="2"/>
    <s v="L"/>
    <s v="Cx."/>
    <x v="1"/>
    <s v="F"/>
    <m/>
    <n v="4"/>
    <n v="4"/>
    <n v="0"/>
    <s v="Negative"/>
  </r>
  <r>
    <n v="2018"/>
    <s v="CSU-12771"/>
    <n v="22377"/>
    <x v="0"/>
    <x v="2"/>
    <s v="LC"/>
    <s v="FC"/>
    <s v="FC-066"/>
    <x v="2"/>
    <s v="L"/>
    <s v="Cx."/>
    <x v="0"/>
    <s v="F"/>
    <m/>
    <n v="5"/>
    <n v="5"/>
    <n v="0"/>
    <s v="Negative"/>
  </r>
  <r>
    <n v="2018"/>
    <s v="CSU-12772"/>
    <n v="22378"/>
    <x v="0"/>
    <x v="2"/>
    <s v="LC"/>
    <s v="FC"/>
    <s v="FC-066"/>
    <x v="2"/>
    <s v="L"/>
    <s v="Cx."/>
    <x v="1"/>
    <s v="F"/>
    <m/>
    <n v="50"/>
    <n v="50"/>
    <n v="0"/>
    <s v="Negative"/>
  </r>
  <r>
    <n v="2018"/>
    <s v="CSU-12773"/>
    <n v="22379"/>
    <x v="0"/>
    <x v="2"/>
    <s v="LC"/>
    <s v="FC"/>
    <s v="FC-066"/>
    <x v="2"/>
    <s v="L"/>
    <s v="Cx."/>
    <x v="1"/>
    <s v="F"/>
    <m/>
    <n v="50"/>
    <n v="50"/>
    <n v="0"/>
    <s v="Negative"/>
  </r>
  <r>
    <n v="2018"/>
    <s v="CSU-12774"/>
    <n v="22380"/>
    <x v="0"/>
    <x v="2"/>
    <s v="LC"/>
    <s v="FC"/>
    <s v="FC-066"/>
    <x v="2"/>
    <s v="L"/>
    <s v="Cx."/>
    <x v="1"/>
    <s v="F"/>
    <m/>
    <n v="50"/>
    <n v="50"/>
    <n v="0"/>
    <s v="Negative"/>
  </r>
  <r>
    <n v="2018"/>
    <s v="CSU-12775"/>
    <n v="22381"/>
    <x v="0"/>
    <x v="2"/>
    <s v="LC"/>
    <s v="FC"/>
    <s v="FC-066"/>
    <x v="2"/>
    <s v="L"/>
    <s v="Cx."/>
    <x v="1"/>
    <s v="F"/>
    <m/>
    <n v="30"/>
    <n v="30"/>
    <n v="0"/>
    <s v="Negative"/>
  </r>
  <r>
    <n v="2018"/>
    <s v="CSU-12776"/>
    <n v="22382"/>
    <x v="0"/>
    <x v="2"/>
    <s v="LC"/>
    <s v="FC"/>
    <s v="FC-092gr"/>
    <x v="2"/>
    <s v="G"/>
    <s v="Cx."/>
    <x v="1"/>
    <s v="F"/>
    <n v="26"/>
    <m/>
    <n v="26"/>
    <n v="1"/>
    <s v="Positive"/>
  </r>
  <r>
    <n v="2018"/>
    <s v="CSU-12779"/>
    <n v="22385"/>
    <x v="0"/>
    <x v="2"/>
    <s v="LC"/>
    <s v="FC"/>
    <s v="FC-067"/>
    <x v="2"/>
    <s v="L"/>
    <s v="Cx."/>
    <x v="0"/>
    <s v="F"/>
    <m/>
    <n v="50"/>
    <n v="50"/>
    <n v="1"/>
    <s v="Positive"/>
  </r>
  <r>
    <n v="2018"/>
    <s v="CSU-12780"/>
    <n v="22386"/>
    <x v="0"/>
    <x v="2"/>
    <s v="LC"/>
    <s v="FC"/>
    <s v="FC-067"/>
    <x v="2"/>
    <s v="L"/>
    <s v="Cx."/>
    <x v="0"/>
    <s v="F"/>
    <m/>
    <n v="8"/>
    <n v="8"/>
    <n v="0"/>
    <s v="Negative"/>
  </r>
  <r>
    <n v="2018"/>
    <s v="CSU-12781"/>
    <n v="22387"/>
    <x v="0"/>
    <x v="2"/>
    <s v="LC"/>
    <s v="FC"/>
    <s v="FC-067"/>
    <x v="2"/>
    <s v="L"/>
    <s v="Cx."/>
    <x v="1"/>
    <s v="F"/>
    <m/>
    <n v="16"/>
    <n v="16"/>
    <n v="0"/>
    <s v="Negative"/>
  </r>
  <r>
    <n v="2018"/>
    <s v="CSU-12782"/>
    <n v="22388"/>
    <x v="0"/>
    <x v="2"/>
    <s v="LC"/>
    <s v="FC"/>
    <s v="FC-040gr"/>
    <x v="2"/>
    <s v="G"/>
    <s v="Cx."/>
    <x v="1"/>
    <s v="F"/>
    <n v="38"/>
    <m/>
    <n v="38"/>
    <n v="1"/>
    <s v="Positive"/>
  </r>
  <r>
    <n v="2018"/>
    <s v="CSU-12693"/>
    <n v="22299"/>
    <x v="0"/>
    <x v="1"/>
    <s v="LC"/>
    <s v="FC"/>
    <s v="FC-060"/>
    <x v="3"/>
    <s v="L"/>
    <s v="Cx."/>
    <x v="0"/>
    <s v="F"/>
    <m/>
    <n v="2"/>
    <n v="2"/>
    <n v="0"/>
    <s v="Negative"/>
  </r>
  <r>
    <n v="2018"/>
    <s v="CSU-12694"/>
    <n v="22300"/>
    <x v="0"/>
    <x v="1"/>
    <s v="LC"/>
    <s v="FC"/>
    <s v="FC-060"/>
    <x v="3"/>
    <s v="L"/>
    <s v="Cx."/>
    <x v="1"/>
    <s v="F"/>
    <m/>
    <n v="5"/>
    <n v="5"/>
    <n v="0"/>
    <s v="Negative"/>
  </r>
  <r>
    <n v="2018"/>
    <s v="CSU-12703"/>
    <n v="22309"/>
    <x v="0"/>
    <x v="1"/>
    <s v="LC"/>
    <s v="FC"/>
    <s v="FC-041"/>
    <x v="3"/>
    <s v="L"/>
    <s v="Cx."/>
    <x v="0"/>
    <s v="F"/>
    <m/>
    <n v="15"/>
    <n v="15"/>
    <n v="0"/>
    <s v="Negative"/>
  </r>
  <r>
    <n v="2018"/>
    <s v="CSU-12704"/>
    <n v="22310"/>
    <x v="0"/>
    <x v="1"/>
    <s v="LC"/>
    <s v="FC"/>
    <s v="FC-041"/>
    <x v="3"/>
    <s v="L"/>
    <s v="Cx."/>
    <x v="1"/>
    <s v="F"/>
    <m/>
    <n v="12"/>
    <n v="12"/>
    <n v="0"/>
    <s v="Negative"/>
  </r>
  <r>
    <n v="2018"/>
    <s v="CSU-12705"/>
    <n v="22311"/>
    <x v="0"/>
    <x v="1"/>
    <s v="LC"/>
    <s v="FC"/>
    <s v="FC-011"/>
    <x v="3"/>
    <s v="L"/>
    <s v="Cx."/>
    <x v="0"/>
    <s v="F"/>
    <m/>
    <n v="5"/>
    <n v="5"/>
    <n v="0"/>
    <s v="Negative"/>
  </r>
  <r>
    <n v="2018"/>
    <s v="CSU-12706"/>
    <n v="22312"/>
    <x v="0"/>
    <x v="1"/>
    <s v="LC"/>
    <s v="FC"/>
    <s v="FC-011"/>
    <x v="3"/>
    <s v="L"/>
    <s v="Cx."/>
    <x v="1"/>
    <s v="F"/>
    <m/>
    <n v="38"/>
    <n v="38"/>
    <n v="1"/>
    <s v="Positive"/>
  </r>
  <r>
    <n v="2018"/>
    <s v="CSU-12707"/>
    <n v="22313"/>
    <x v="0"/>
    <x v="1"/>
    <s v="LC"/>
    <s v="FC"/>
    <s v="FC-015"/>
    <x v="3"/>
    <s v="L"/>
    <s v="Cx."/>
    <x v="0"/>
    <s v="F"/>
    <m/>
    <n v="2"/>
    <n v="2"/>
    <n v="0"/>
    <s v="Negative"/>
  </r>
  <r>
    <n v="2018"/>
    <s v="CSU-12708"/>
    <n v="22314"/>
    <x v="0"/>
    <x v="1"/>
    <s v="LC"/>
    <s v="FC"/>
    <s v="FC-073"/>
    <x v="3"/>
    <s v="L"/>
    <s v="Cx."/>
    <x v="0"/>
    <s v="F"/>
    <m/>
    <n v="3"/>
    <n v="3"/>
    <n v="0"/>
    <s v="Negative"/>
  </r>
  <r>
    <n v="2018"/>
    <s v="CSU-12709"/>
    <n v="22315"/>
    <x v="0"/>
    <x v="1"/>
    <s v="LC"/>
    <s v="FC"/>
    <s v="FC-073"/>
    <x v="3"/>
    <s v="L"/>
    <s v="Cx."/>
    <x v="1"/>
    <s v="F"/>
    <m/>
    <n v="6"/>
    <n v="6"/>
    <n v="0"/>
    <s v="Negative"/>
  </r>
  <r>
    <n v="2018"/>
    <s v="CSU-12710"/>
    <n v="22316"/>
    <x v="0"/>
    <x v="1"/>
    <s v="LC"/>
    <s v="FC"/>
    <s v="FC-052"/>
    <x v="3"/>
    <s v="L"/>
    <s v="Cx."/>
    <x v="0"/>
    <s v="F"/>
    <m/>
    <n v="8"/>
    <n v="8"/>
    <n v="0"/>
    <s v="Negative"/>
  </r>
  <r>
    <n v="2018"/>
    <s v="CSU-12711"/>
    <n v="22317"/>
    <x v="0"/>
    <x v="1"/>
    <s v="LC"/>
    <s v="FC"/>
    <s v="FC-052"/>
    <x v="3"/>
    <s v="L"/>
    <s v="Cx."/>
    <x v="1"/>
    <s v="F"/>
    <m/>
    <n v="1"/>
    <n v="1"/>
    <n v="0"/>
    <s v="Negative"/>
  </r>
  <r>
    <n v="2018"/>
    <s v="CSU-12712"/>
    <n v="22318"/>
    <x v="0"/>
    <x v="1"/>
    <s v="LC"/>
    <s v="FC"/>
    <s v="FC-063"/>
    <x v="3"/>
    <s v="L"/>
    <s v="Cx."/>
    <x v="0"/>
    <s v="F"/>
    <m/>
    <n v="3"/>
    <n v="3"/>
    <n v="0"/>
    <s v="Negative"/>
  </r>
  <r>
    <n v="2018"/>
    <s v="CSU-12713"/>
    <n v="22319"/>
    <x v="0"/>
    <x v="1"/>
    <s v="LC"/>
    <s v="FC"/>
    <s v="FC-063"/>
    <x v="3"/>
    <s v="L"/>
    <s v="Cx."/>
    <x v="1"/>
    <s v="F"/>
    <m/>
    <n v="2"/>
    <n v="2"/>
    <n v="0"/>
    <s v="Negative"/>
  </r>
  <r>
    <n v="2018"/>
    <s v="CSU-12714"/>
    <n v="22320"/>
    <x v="0"/>
    <x v="1"/>
    <s v="LC"/>
    <s v="FC"/>
    <s v="FC-063gr"/>
    <x v="3"/>
    <s v="G"/>
    <s v="Cx."/>
    <x v="1"/>
    <s v="F"/>
    <n v="34"/>
    <m/>
    <n v="34"/>
    <n v="0"/>
    <s v="Negative"/>
  </r>
  <r>
    <n v="2018"/>
    <s v="CSU-12716"/>
    <n v="22322"/>
    <x v="0"/>
    <x v="1"/>
    <s v="LC"/>
    <s v="FC"/>
    <s v="FC-090gr"/>
    <x v="3"/>
    <s v="G"/>
    <s v="Cx."/>
    <x v="1"/>
    <s v="F"/>
    <n v="7"/>
    <m/>
    <n v="7"/>
    <n v="0"/>
    <s v="Negative"/>
  </r>
  <r>
    <n v="2018"/>
    <s v="CSU-12717"/>
    <n v="22323"/>
    <x v="0"/>
    <x v="1"/>
    <s v="LC"/>
    <s v="FC"/>
    <s v="FC-061"/>
    <x v="3"/>
    <s v="L"/>
    <s v="Cx."/>
    <x v="0"/>
    <s v="F"/>
    <m/>
    <n v="4"/>
    <n v="4"/>
    <n v="0"/>
    <s v="Negative"/>
  </r>
  <r>
    <n v="2018"/>
    <s v="CSU-12718"/>
    <n v="22324"/>
    <x v="0"/>
    <x v="1"/>
    <s v="LC"/>
    <s v="FC"/>
    <s v="FC-061"/>
    <x v="3"/>
    <s v="L"/>
    <s v="Cx."/>
    <x v="1"/>
    <s v="F"/>
    <m/>
    <n v="1"/>
    <n v="1"/>
    <n v="0"/>
    <s v="Negative"/>
  </r>
  <r>
    <n v="2018"/>
    <s v="CSU-12777"/>
    <n v="22383"/>
    <x v="0"/>
    <x v="2"/>
    <s v="LC"/>
    <s v="FC"/>
    <s v="FC-036"/>
    <x v="3"/>
    <s v="L"/>
    <s v="Cx."/>
    <x v="0"/>
    <s v="F"/>
    <m/>
    <n v="6"/>
    <n v="6"/>
    <n v="0"/>
    <s v="Negative"/>
  </r>
  <r>
    <n v="2018"/>
    <s v="CSU-12778"/>
    <n v="22384"/>
    <x v="0"/>
    <x v="2"/>
    <s v="LC"/>
    <s v="FC"/>
    <s v="FC-036"/>
    <x v="3"/>
    <s v="L"/>
    <s v="Cx."/>
    <x v="1"/>
    <s v="F"/>
    <m/>
    <n v="7"/>
    <n v="7"/>
    <n v="0"/>
    <s v="Negative"/>
  </r>
  <r>
    <n v="2018"/>
    <s v="CSU-12729"/>
    <n v="22335"/>
    <x v="0"/>
    <x v="3"/>
    <s v="LC"/>
    <s v="FC"/>
    <s v="FC-031"/>
    <x v="4"/>
    <s v="L"/>
    <s v="Cx."/>
    <x v="0"/>
    <s v="F"/>
    <m/>
    <n v="4"/>
    <n v="4"/>
    <n v="0"/>
    <s v="Negative"/>
  </r>
  <r>
    <n v="2018"/>
    <s v="CSU-12730"/>
    <n v="22336"/>
    <x v="0"/>
    <x v="3"/>
    <s v="LC"/>
    <s v="FC"/>
    <s v="FC-039"/>
    <x v="4"/>
    <s v="L"/>
    <s v="Cx."/>
    <x v="0"/>
    <s v="F"/>
    <m/>
    <n v="17"/>
    <n v="17"/>
    <n v="1"/>
    <s v="Positive"/>
  </r>
  <r>
    <n v="2018"/>
    <s v="CSU-12731"/>
    <n v="22337"/>
    <x v="0"/>
    <x v="3"/>
    <s v="LC"/>
    <s v="FC"/>
    <s v="FC-064"/>
    <x v="4"/>
    <s v="L"/>
    <s v="Cx."/>
    <x v="0"/>
    <s v="F"/>
    <m/>
    <n v="26"/>
    <n v="26"/>
    <n v="1"/>
    <s v="Positive"/>
  </r>
  <r>
    <n v="2018"/>
    <s v="CSU-12732"/>
    <n v="22338"/>
    <x v="0"/>
    <x v="3"/>
    <s v="LC"/>
    <s v="FC"/>
    <s v="FC-064"/>
    <x v="4"/>
    <s v="L"/>
    <s v="Cx."/>
    <x v="1"/>
    <s v="F"/>
    <m/>
    <n v="3"/>
    <n v="3"/>
    <n v="0"/>
    <s v="Negative"/>
  </r>
  <r>
    <n v="2018"/>
    <s v="CSU-12733"/>
    <n v="22339"/>
    <x v="0"/>
    <x v="3"/>
    <s v="LC"/>
    <s v="FC"/>
    <s v="FC-053"/>
    <x v="4"/>
    <s v="L"/>
    <s v="Cx."/>
    <x v="0"/>
    <s v="F"/>
    <m/>
    <n v="12"/>
    <n v="12"/>
    <n v="0"/>
    <s v="Negative"/>
  </r>
  <r>
    <n v="2018"/>
    <s v="CSU-12734"/>
    <n v="22340"/>
    <x v="0"/>
    <x v="3"/>
    <s v="LC"/>
    <s v="FC"/>
    <s v="FC-053"/>
    <x v="4"/>
    <s v="L"/>
    <s v="Cx."/>
    <x v="1"/>
    <s v="F"/>
    <m/>
    <n v="4"/>
    <n v="4"/>
    <n v="0"/>
    <s v="Negative"/>
  </r>
  <r>
    <n v="2018"/>
    <s v="CSU-12735"/>
    <n v="22341"/>
    <x v="0"/>
    <x v="3"/>
    <s v="LC"/>
    <s v="FC"/>
    <s v="FC-075"/>
    <x v="4"/>
    <s v="L"/>
    <s v="Cx."/>
    <x v="0"/>
    <s v="F"/>
    <m/>
    <n v="11"/>
    <n v="11"/>
    <n v="1"/>
    <s v="Positive"/>
  </r>
  <r>
    <n v="2018"/>
    <s v="CSU-12736"/>
    <n v="22342"/>
    <x v="0"/>
    <x v="3"/>
    <s v="LC"/>
    <s v="FC"/>
    <s v="FC-075"/>
    <x v="4"/>
    <s v="L"/>
    <s v="Cx."/>
    <x v="1"/>
    <s v="F"/>
    <m/>
    <n v="4"/>
    <n v="4"/>
    <n v="0"/>
    <s v="Negative"/>
  </r>
  <r>
    <n v="2018"/>
    <s v="CSU-12737"/>
    <n v="22343"/>
    <x v="0"/>
    <x v="3"/>
    <s v="LC"/>
    <s v="FC"/>
    <s v="FC-088gr"/>
    <x v="4"/>
    <s v="G"/>
    <s v="Cx."/>
    <x v="1"/>
    <s v="F"/>
    <n v="14"/>
    <m/>
    <n v="14"/>
    <n v="1"/>
    <s v="Positive"/>
  </r>
  <r>
    <n v="2018"/>
    <s v="CSU-12738"/>
    <n v="22344"/>
    <x v="0"/>
    <x v="3"/>
    <s v="LC"/>
    <s v="FC"/>
    <s v="FC-075gr"/>
    <x v="4"/>
    <s v="G"/>
    <s v="Cx."/>
    <x v="1"/>
    <s v="F"/>
    <n v="50"/>
    <m/>
    <n v="50"/>
    <n v="1"/>
    <s v="Positive"/>
  </r>
  <r>
    <n v="2018"/>
    <s v="CSU-12739"/>
    <n v="22345"/>
    <x v="0"/>
    <x v="3"/>
    <s v="LC"/>
    <s v="FC"/>
    <s v="FC-075gr"/>
    <x v="4"/>
    <s v="G"/>
    <s v="Cx."/>
    <x v="1"/>
    <s v="F"/>
    <n v="46"/>
    <m/>
    <n v="46"/>
    <n v="1"/>
    <s v="Positive"/>
  </r>
  <r>
    <n v="2018"/>
    <s v="CSU-12740"/>
    <n v="22346"/>
    <x v="0"/>
    <x v="3"/>
    <s v="LC"/>
    <s v="FC"/>
    <s v="FC-004"/>
    <x v="4"/>
    <s v="L"/>
    <s v="Cx."/>
    <x v="0"/>
    <s v="F"/>
    <m/>
    <n v="3"/>
    <n v="3"/>
    <n v="0"/>
    <s v="Negative"/>
  </r>
  <r>
    <n v="2018"/>
    <s v="CSU-12741"/>
    <n v="22347"/>
    <x v="0"/>
    <x v="3"/>
    <s v="LC"/>
    <s v="FC"/>
    <s v="FC-074"/>
    <x v="4"/>
    <s v="L"/>
    <s v="Cx."/>
    <x v="0"/>
    <s v="F"/>
    <m/>
    <n v="20"/>
    <n v="20"/>
    <n v="0"/>
    <s v="Negative"/>
  </r>
  <r>
    <n v="2018"/>
    <s v="CSU-12742"/>
    <n v="22348"/>
    <x v="0"/>
    <x v="3"/>
    <s v="LC"/>
    <s v="FC"/>
    <s v="FC-074"/>
    <x v="4"/>
    <s v="L"/>
    <s v="Cx."/>
    <x v="1"/>
    <s v="F"/>
    <m/>
    <n v="2"/>
    <n v="2"/>
    <n v="0"/>
    <s v="Negative"/>
  </r>
  <r>
    <n v="2018"/>
    <s v="CSU-12743"/>
    <n v="22349"/>
    <x v="0"/>
    <x v="3"/>
    <s v="LC"/>
    <s v="FC"/>
    <s v="FC-027"/>
    <x v="4"/>
    <s v="L"/>
    <s v="Cx."/>
    <x v="0"/>
    <s v="F"/>
    <m/>
    <n v="28"/>
    <n v="28"/>
    <n v="0"/>
    <s v="Negative"/>
  </r>
  <r>
    <n v="2018"/>
    <s v="CSU-12744"/>
    <n v="22350"/>
    <x v="0"/>
    <x v="3"/>
    <s v="LC"/>
    <s v="FC"/>
    <s v="FC-027"/>
    <x v="4"/>
    <s v="L"/>
    <s v="Cx."/>
    <x v="1"/>
    <s v="F"/>
    <m/>
    <n v="43"/>
    <n v="43"/>
    <n v="1"/>
    <s v="Positive"/>
  </r>
  <r>
    <n v="2018"/>
    <s v="CSU-12745"/>
    <n v="22351"/>
    <x v="0"/>
    <x v="3"/>
    <s v="LC"/>
    <s v="FC"/>
    <s v="FC-059"/>
    <x v="4"/>
    <s v="L"/>
    <s v="Cx."/>
    <x v="0"/>
    <s v="F"/>
    <m/>
    <n v="2"/>
    <n v="2"/>
    <n v="0"/>
    <s v="Negative"/>
  </r>
  <r>
    <n v="2018"/>
    <s v="CSU-12746"/>
    <n v="22352"/>
    <x v="0"/>
    <x v="3"/>
    <s v="LC"/>
    <s v="FC"/>
    <s v="FC-059"/>
    <x v="4"/>
    <s v="L"/>
    <s v="Cx."/>
    <x v="1"/>
    <s v="F"/>
    <m/>
    <n v="5"/>
    <n v="5"/>
    <n v="0"/>
    <s v="Negative"/>
  </r>
  <r>
    <n v="2018"/>
    <s v="CSU-12747"/>
    <n v="22353"/>
    <x v="0"/>
    <x v="3"/>
    <s v="LC"/>
    <s v="FC"/>
    <s v="FC-023"/>
    <x v="4"/>
    <s v="L"/>
    <s v="Cx."/>
    <x v="0"/>
    <s v="F"/>
    <m/>
    <n v="6"/>
    <n v="6"/>
    <n v="0"/>
    <s v="Negative"/>
  </r>
  <r>
    <n v="2018"/>
    <s v="CSU-12748"/>
    <n v="22354"/>
    <x v="0"/>
    <x v="3"/>
    <s v="LC"/>
    <s v="FC"/>
    <s v="FC-023"/>
    <x v="4"/>
    <s v="L"/>
    <s v="Cx."/>
    <x v="1"/>
    <s v="F"/>
    <m/>
    <n v="8"/>
    <n v="8"/>
    <n v="0"/>
    <s v="Negative"/>
  </r>
  <r>
    <n v="2018"/>
    <s v="CSU-12749"/>
    <n v="22355"/>
    <x v="0"/>
    <x v="3"/>
    <s v="LC"/>
    <s v="FC"/>
    <s v="FC-050"/>
    <x v="4"/>
    <s v="L"/>
    <s v="Cx."/>
    <x v="0"/>
    <s v="F"/>
    <m/>
    <n v="18"/>
    <n v="18"/>
    <n v="0"/>
    <s v="Negative"/>
  </r>
  <r>
    <n v="2018"/>
    <s v="CSU-12750"/>
    <n v="22356"/>
    <x v="0"/>
    <x v="3"/>
    <s v="LC"/>
    <s v="FC"/>
    <s v="FC-050"/>
    <x v="4"/>
    <s v="L"/>
    <s v="Cx."/>
    <x v="1"/>
    <s v="F"/>
    <m/>
    <n v="8"/>
    <n v="8"/>
    <n v="1"/>
    <s v="Positive"/>
  </r>
  <r>
    <n v="2018"/>
    <s v="CSU-12751"/>
    <n v="22357"/>
    <x v="0"/>
    <x v="3"/>
    <s v="LC"/>
    <s v="FC"/>
    <s v="FC-046"/>
    <x v="4"/>
    <s v="L"/>
    <s v="Cx."/>
    <x v="0"/>
    <s v="F"/>
    <m/>
    <n v="2"/>
    <n v="2"/>
    <n v="0"/>
    <s v="Negative"/>
  </r>
  <r>
    <n v="2018"/>
    <s v="CSU-12752"/>
    <n v="22358"/>
    <x v="0"/>
    <x v="3"/>
    <s v="LC"/>
    <s v="FC"/>
    <s v="FC-046"/>
    <x v="4"/>
    <s v="L"/>
    <s v="Cx."/>
    <x v="1"/>
    <s v="F"/>
    <m/>
    <n v="2"/>
    <n v="2"/>
    <n v="0"/>
    <s v="Negative"/>
  </r>
  <r>
    <n v="2018"/>
    <s v="CSU-12753"/>
    <n v="22359"/>
    <x v="0"/>
    <x v="3"/>
    <s v="LC"/>
    <s v="FC"/>
    <s v="FC-047"/>
    <x v="4"/>
    <s v="L"/>
    <s v="Cx."/>
    <x v="0"/>
    <s v="F"/>
    <m/>
    <n v="1"/>
    <n v="1"/>
    <n v="0"/>
    <s v="Negative"/>
  </r>
  <r>
    <n v="2018"/>
    <s v="CSU-12695"/>
    <n v="22301"/>
    <x v="0"/>
    <x v="1"/>
    <s v="LC"/>
    <s v="FC"/>
    <s v="FC-058"/>
    <x v="5"/>
    <s v="L"/>
    <s v="Cx."/>
    <x v="0"/>
    <s v="F"/>
    <m/>
    <n v="2"/>
    <n v="2"/>
    <n v="0"/>
    <s v="Negative"/>
  </r>
  <r>
    <n v="2018"/>
    <s v="CSU-12715"/>
    <n v="22321"/>
    <x v="0"/>
    <x v="1"/>
    <s v="LC"/>
    <s v="FC"/>
    <s v="FC-049"/>
    <x v="5"/>
    <s v="L"/>
    <s v="Cx."/>
    <x v="1"/>
    <s v="F"/>
    <m/>
    <n v="2"/>
    <n v="2"/>
    <n v="0"/>
    <s v="Negative"/>
  </r>
  <r>
    <n v="2018"/>
    <s v="CSU-12719"/>
    <n v="22325"/>
    <x v="0"/>
    <x v="3"/>
    <s v="LC"/>
    <s v="FC"/>
    <s v="FC-057"/>
    <x v="5"/>
    <s v="L"/>
    <s v="Cx."/>
    <x v="0"/>
    <s v="F"/>
    <m/>
    <n v="2"/>
    <n v="2"/>
    <n v="0"/>
    <s v="Negative"/>
  </r>
  <r>
    <n v="2018"/>
    <s v="CSU-12720"/>
    <n v="22326"/>
    <x v="0"/>
    <x v="3"/>
    <s v="LC"/>
    <s v="FC"/>
    <s v="FC-068"/>
    <x v="5"/>
    <s v="L"/>
    <s v="Cx."/>
    <x v="0"/>
    <s v="F"/>
    <m/>
    <n v="1"/>
    <n v="1"/>
    <n v="0"/>
    <s v="Negative"/>
  </r>
  <r>
    <n v="2018"/>
    <s v="CSU-12721"/>
    <n v="22327"/>
    <x v="0"/>
    <x v="3"/>
    <s v="LC"/>
    <s v="FC"/>
    <s v="FC-029gr"/>
    <x v="5"/>
    <s v="G"/>
    <s v="Cx."/>
    <x v="1"/>
    <s v="F"/>
    <n v="7"/>
    <m/>
    <n v="7"/>
    <n v="0"/>
    <s v="Negative"/>
  </r>
  <r>
    <n v="2018"/>
    <s v="CSU-12722"/>
    <n v="22328"/>
    <x v="0"/>
    <x v="3"/>
    <s v="LC"/>
    <s v="FC"/>
    <s v="FC-001"/>
    <x v="5"/>
    <s v="L"/>
    <s v="Cx."/>
    <x v="0"/>
    <s v="F"/>
    <m/>
    <n v="3"/>
    <n v="3"/>
    <n v="0"/>
    <s v="Negative"/>
  </r>
  <r>
    <n v="2018"/>
    <s v="CSU-12723"/>
    <n v="22329"/>
    <x v="0"/>
    <x v="3"/>
    <s v="LC"/>
    <s v="FC"/>
    <s v="FC-093"/>
    <x v="5"/>
    <s v="L"/>
    <s v="Cx."/>
    <x v="0"/>
    <s v="F"/>
    <m/>
    <n v="1"/>
    <n v="1"/>
    <n v="0"/>
    <s v="Negative"/>
  </r>
  <r>
    <n v="2018"/>
    <s v="CSU-12724"/>
    <n v="22330"/>
    <x v="0"/>
    <x v="3"/>
    <s v="LC"/>
    <s v="FC"/>
    <s v="FC-093"/>
    <x v="5"/>
    <s v="L"/>
    <s v="Cx."/>
    <x v="1"/>
    <s v="F"/>
    <m/>
    <n v="2"/>
    <n v="2"/>
    <n v="0"/>
    <s v="Negative"/>
  </r>
  <r>
    <n v="2018"/>
    <s v="CSU-12725"/>
    <n v="22331"/>
    <x v="0"/>
    <x v="3"/>
    <s v="LC"/>
    <s v="FC"/>
    <s v="FC-037"/>
    <x v="5"/>
    <s v="L"/>
    <s v="Cx."/>
    <x v="0"/>
    <s v="F"/>
    <m/>
    <n v="2"/>
    <n v="2"/>
    <n v="0"/>
    <s v="Negative"/>
  </r>
  <r>
    <n v="2018"/>
    <s v="CSU-12726"/>
    <n v="22332"/>
    <x v="0"/>
    <x v="3"/>
    <s v="LC"/>
    <s v="FC"/>
    <s v="FC-089gr"/>
    <x v="5"/>
    <s v="G"/>
    <s v="Cx."/>
    <x v="1"/>
    <s v="F"/>
    <n v="12"/>
    <m/>
    <n v="12"/>
    <n v="1"/>
    <s v="Positive"/>
  </r>
  <r>
    <n v="2018"/>
    <s v="CSU-12727"/>
    <n v="22333"/>
    <x v="0"/>
    <x v="3"/>
    <s v="LC"/>
    <s v="FC"/>
    <s v="FC-062"/>
    <x v="5"/>
    <s v="L"/>
    <s v="Cx."/>
    <x v="0"/>
    <s v="F"/>
    <m/>
    <n v="6"/>
    <n v="6"/>
    <n v="0"/>
    <s v="Negative"/>
  </r>
  <r>
    <n v="2018"/>
    <s v="CSU-12728"/>
    <n v="22334"/>
    <x v="0"/>
    <x v="3"/>
    <s v="LC"/>
    <s v="FC"/>
    <s v="FC-062"/>
    <x v="5"/>
    <s v="L"/>
    <s v="Cx."/>
    <x v="1"/>
    <s v="F"/>
    <m/>
    <n v="2"/>
    <n v="2"/>
    <n v="0"/>
    <s v="Negative"/>
  </r>
</pivotCacheRecords>
</file>

<file path=xl/pivotCache/pivotCacheRecords2.xml><?xml version="1.0" encoding="utf-8"?>
<pivotCacheRecords xmlns="http://schemas.openxmlformats.org/spreadsheetml/2006/main" xmlns:r="http://schemas.openxmlformats.org/officeDocument/2006/relationships" count="94">
  <r>
    <x v="0"/>
    <s v="08/29/2018"/>
    <s v="FC-001"/>
    <x v="0"/>
    <s v="Magic Carpet"/>
    <s v="LIGHT"/>
    <s v="NO"/>
    <n v="3"/>
    <n v="0"/>
    <n v="3"/>
    <n v="4"/>
    <m/>
  </r>
  <r>
    <x v="0"/>
    <s v="08/29/2018"/>
    <s v="FC-004"/>
    <x v="1"/>
    <s v="Bighorn Drive"/>
    <s v="LIGHT"/>
    <s v="NO"/>
    <n v="3"/>
    <n v="0"/>
    <n v="3"/>
    <n v="4"/>
    <m/>
  </r>
  <r>
    <x v="0"/>
    <s v="08/30/2018"/>
    <s v="FC-006"/>
    <x v="2"/>
    <s v="North Linden"/>
    <s v="LIGHT"/>
    <s v="NO"/>
    <n v="0"/>
    <n v="0"/>
    <n v="0"/>
    <n v="7"/>
    <m/>
  </r>
  <r>
    <x v="0"/>
    <s v="08/28/2018"/>
    <s v="FC-011"/>
    <x v="3"/>
    <s v="Golden Currant"/>
    <s v="LIGHT"/>
    <s v="NO"/>
    <n v="5"/>
    <n v="38"/>
    <n v="43"/>
    <n v="54"/>
    <m/>
  </r>
  <r>
    <x v="0"/>
    <s v="08/30/2018"/>
    <s v="FC-014"/>
    <x v="2"/>
    <s v="Fort Collins Vistors Center"/>
    <s v="LIGHT"/>
    <s v="NO"/>
    <n v="16"/>
    <n v="85"/>
    <n v="101"/>
    <n v="111"/>
    <m/>
  </r>
  <r>
    <x v="0"/>
    <s v="08/28/2018"/>
    <s v="FC-015"/>
    <x v="3"/>
    <s v="Stuart and Dorset"/>
    <s v="LIGHT"/>
    <s v="NO"/>
    <n v="2"/>
    <n v="0"/>
    <n v="2"/>
    <n v="2"/>
    <m/>
  </r>
  <r>
    <x v="0"/>
    <s v="08/30/2018"/>
    <s v="FC-019"/>
    <x v="2"/>
    <s v="Edora Park"/>
    <s v="LIGHT"/>
    <s v="NO"/>
    <n v="2"/>
    <n v="10"/>
    <n v="12"/>
    <n v="14"/>
    <m/>
  </r>
  <r>
    <x v="0"/>
    <s v="08/29/2018"/>
    <s v="FC-023"/>
    <x v="1"/>
    <s v="Boltz"/>
    <s v="LIGHT"/>
    <s v="NO"/>
    <n v="6"/>
    <n v="8"/>
    <n v="14"/>
    <n v="16"/>
    <m/>
  </r>
  <r>
    <x v="0"/>
    <s v="08/29/2018"/>
    <s v="FC-027"/>
    <x v="1"/>
    <s v="San Luis"/>
    <s v="LIGHT"/>
    <s v="NO"/>
    <n v="28"/>
    <n v="43"/>
    <n v="71"/>
    <n v="79"/>
    <m/>
  </r>
  <r>
    <x v="0"/>
    <s v="08/29/2018"/>
    <s v="FC-029"/>
    <x v="1"/>
    <s v="Bens Park"/>
    <s v="LIGHT"/>
    <s v="NO"/>
    <n v="0"/>
    <n v="0"/>
    <n v="0"/>
    <n v="0"/>
    <m/>
  </r>
  <r>
    <x v="0"/>
    <s v="08/29/2018"/>
    <s v="FC-031"/>
    <x v="1"/>
    <s v="Willow Springs"/>
    <s v="LIGHT"/>
    <s v="NO"/>
    <n v="4"/>
    <n v="0"/>
    <n v="4"/>
    <n v="9"/>
    <m/>
  </r>
  <r>
    <x v="0"/>
    <s v="08/30/2018"/>
    <s v="FC-034"/>
    <x v="2"/>
    <s v="Country Club"/>
    <s v="LIGHT"/>
    <s v="NO"/>
    <n v="7"/>
    <n v="3"/>
    <n v="10"/>
    <n v="11"/>
    <m/>
  </r>
  <r>
    <x v="0"/>
    <s v="08/30/2018"/>
    <s v="FC-036"/>
    <x v="3"/>
    <s v="Hemlock"/>
    <s v="LIGHT"/>
    <s v="NO"/>
    <n v="6"/>
    <n v="7"/>
    <n v="13"/>
    <n v="26"/>
    <m/>
  </r>
  <r>
    <x v="0"/>
    <s v="08/29/2018"/>
    <s v="FC-037"/>
    <x v="0"/>
    <s v="Chelsea Ridge"/>
    <s v="LIGHT"/>
    <s v="NO"/>
    <n v="2"/>
    <n v="0"/>
    <n v="2"/>
    <n v="2"/>
    <m/>
  </r>
  <r>
    <x v="0"/>
    <s v="08/30/2018"/>
    <s v="FC-038"/>
    <x v="2"/>
    <s v="Lochside Lane"/>
    <s v="LIGHT"/>
    <s v="NO"/>
    <n v="4"/>
    <n v="30"/>
    <n v="34"/>
    <n v="40"/>
    <m/>
  </r>
  <r>
    <x v="0"/>
    <s v="08/29/2018"/>
    <s v="FC-039"/>
    <x v="1"/>
    <s v="Fossil Creek South (Greenstone)"/>
    <s v="LIGHT"/>
    <s v="NO"/>
    <n v="17"/>
    <n v="0"/>
    <n v="17"/>
    <n v="21"/>
    <m/>
  </r>
  <r>
    <x v="0"/>
    <s v="08/30/2018"/>
    <s v="FC-040"/>
    <x v="2"/>
    <s v="Redwood"/>
    <s v="LIGHT"/>
    <s v="NO"/>
    <n v="30"/>
    <n v="16"/>
    <n v="46"/>
    <n v="70"/>
    <m/>
  </r>
  <r>
    <x v="0"/>
    <s v="08/28/2018"/>
    <s v="FC-041"/>
    <x v="3"/>
    <s v="Fishback"/>
    <s v="LIGHT"/>
    <s v="NO"/>
    <n v="15"/>
    <n v="12"/>
    <n v="27"/>
    <n v="29"/>
    <m/>
  </r>
  <r>
    <x v="0"/>
    <s v="08/29/2018"/>
    <s v="FC-046"/>
    <x v="1"/>
    <s v="725 Westshore Court"/>
    <s v="LIGHT"/>
    <s v="NO"/>
    <n v="2"/>
    <n v="2"/>
    <n v="4"/>
    <n v="5"/>
    <m/>
  </r>
  <r>
    <x v="0"/>
    <s v="08/29/2018"/>
    <s v="FC-047"/>
    <x v="1"/>
    <s v="Keenland &amp; Twin Oak"/>
    <s v="LIGHT"/>
    <s v="NO"/>
    <n v="1"/>
    <n v="0"/>
    <n v="1"/>
    <n v="2"/>
    <m/>
  </r>
  <r>
    <x v="0"/>
    <s v="08/28/2018"/>
    <s v="FC-049"/>
    <x v="0"/>
    <s v="Casa Grande and Downing"/>
    <s v="LIGHT"/>
    <s v="NO"/>
    <n v="0"/>
    <n v="2"/>
    <n v="2"/>
    <n v="4"/>
    <m/>
  </r>
  <r>
    <x v="0"/>
    <s v="08/29/2018"/>
    <s v="FC-050"/>
    <x v="1"/>
    <s v="Golden Meadows Ditch"/>
    <s v="LIGHT"/>
    <s v="NO"/>
    <n v="18"/>
    <n v="8"/>
    <n v="26"/>
    <n v="28"/>
    <m/>
  </r>
  <r>
    <x v="0"/>
    <s v="08/28/2018"/>
    <s v="FC-052"/>
    <x v="3"/>
    <s v="603 Gilgalad Way"/>
    <s v="LIGHT"/>
    <s v="NO"/>
    <n v="8"/>
    <n v="1"/>
    <n v="9"/>
    <n v="36"/>
    <m/>
  </r>
  <r>
    <x v="0"/>
    <s v="08/29/2018"/>
    <s v="FC-053"/>
    <x v="1"/>
    <s v="Egret and Rookery"/>
    <s v="LIGHT"/>
    <s v="NO"/>
    <n v="12"/>
    <n v="4"/>
    <n v="16"/>
    <n v="20"/>
    <m/>
  </r>
  <r>
    <x v="0"/>
    <s v="08/29/2018"/>
    <s v="FC-054"/>
    <x v="1"/>
    <s v="737 Parliament Court"/>
    <s v="LIGHT"/>
    <s v="NO"/>
    <n v="0"/>
    <n v="0"/>
    <n v="0"/>
    <n v="2"/>
    <m/>
  </r>
  <r>
    <x v="0"/>
    <s v="08/29/2018"/>
    <s v="FC-057"/>
    <x v="0"/>
    <s v="Registry Ridge- End of Ranger Dr"/>
    <s v="LIGHT"/>
    <s v="NO"/>
    <n v="2"/>
    <n v="0"/>
    <n v="2"/>
    <n v="2"/>
    <m/>
  </r>
  <r>
    <x v="0"/>
    <s v="08/28/2018"/>
    <s v="FC-058"/>
    <x v="0"/>
    <s v="Spring Creek Trail @ Michener Dr"/>
    <s v="LIGHT"/>
    <s v="NO"/>
    <n v="2"/>
    <n v="0"/>
    <n v="2"/>
    <n v="5"/>
    <m/>
  </r>
  <r>
    <x v="0"/>
    <s v="08/29/2018"/>
    <s v="FC-059"/>
    <x v="1"/>
    <s v="Springwood and Lockwood"/>
    <s v="LIGHT"/>
    <s v="NO"/>
    <n v="2"/>
    <n v="5"/>
    <n v="7"/>
    <n v="9"/>
    <m/>
  </r>
  <r>
    <x v="0"/>
    <s v="08/28/2018"/>
    <s v="FC-060"/>
    <x v="3"/>
    <s v="808 Pondersosa"/>
    <s v="LIGHT"/>
    <s v="NO"/>
    <n v="2"/>
    <n v="5"/>
    <n v="7"/>
    <n v="8"/>
    <m/>
  </r>
  <r>
    <x v="0"/>
    <s v="08/28/2018"/>
    <s v="FC-061"/>
    <x v="3"/>
    <s v="Holley Environ. Plant Research Ctr"/>
    <s v="LIGHT"/>
    <s v="NO"/>
    <n v="4"/>
    <n v="1"/>
    <n v="5"/>
    <n v="8"/>
    <m/>
  </r>
  <r>
    <x v="0"/>
    <s v="08/29/2018"/>
    <s v="FC-062"/>
    <x v="0"/>
    <s v="Waters Edge at Blue Mesa"/>
    <s v="LIGHT"/>
    <s v="NO"/>
    <n v="6"/>
    <n v="2"/>
    <n v="8"/>
    <n v="8"/>
    <m/>
  </r>
  <r>
    <x v="0"/>
    <s v="08/28/2018"/>
    <s v="FC-063"/>
    <x v="3"/>
    <s v="Red Fox Meadows FCNA"/>
    <s v="LIGHT"/>
    <s v="NO"/>
    <n v="3"/>
    <n v="2"/>
    <n v="5"/>
    <n v="40"/>
    <m/>
  </r>
  <r>
    <x v="0"/>
    <s v="08/29/2018"/>
    <s v="FC-064"/>
    <x v="1"/>
    <s v="West Chase @ Kechter Farm"/>
    <s v="LIGHT"/>
    <s v="NO"/>
    <n v="26"/>
    <n v="3"/>
    <n v="29"/>
    <n v="37"/>
    <m/>
  </r>
  <r>
    <x v="0"/>
    <s v="08/30/2018"/>
    <s v="FC-066"/>
    <x v="2"/>
    <s v="Prospect Ponds @ Drake Water"/>
    <s v="LIGHT"/>
    <s v="NO"/>
    <n v="5"/>
    <n v="180"/>
    <n v="185"/>
    <n v="209"/>
    <m/>
  </r>
  <r>
    <x v="0"/>
    <s v="08/30/2018"/>
    <s v="FC-067"/>
    <x v="2"/>
    <s v="Poudre River Drive at bike trail"/>
    <s v="LIGHT"/>
    <s v="NO"/>
    <n v="58"/>
    <n v="16"/>
    <n v="74"/>
    <n v="121"/>
    <m/>
  </r>
  <r>
    <x v="0"/>
    <s v="08/29/2018"/>
    <s v="FC-068"/>
    <x v="0"/>
    <s v="502 Crest Drive"/>
    <s v="LIGHT"/>
    <s v="NO"/>
    <n v="1"/>
    <n v="0"/>
    <n v="1"/>
    <n v="1"/>
    <m/>
  </r>
  <r>
    <x v="0"/>
    <s v="08/30/2018"/>
    <s v="FC-069"/>
    <x v="2"/>
    <s v="Linden Lake Rd"/>
    <s v="LIGHT"/>
    <s v="NO"/>
    <n v="16"/>
    <n v="8"/>
    <n v="24"/>
    <n v="27"/>
    <m/>
  </r>
  <r>
    <x v="0"/>
    <s v="08/29/2018"/>
    <s v="FC-071"/>
    <x v="0"/>
    <s v="Silvergate Road"/>
    <s v="LIGHT"/>
    <s v="NO"/>
    <n v="0"/>
    <n v="0"/>
    <n v="0"/>
    <n v="0"/>
    <m/>
  </r>
  <r>
    <x v="0"/>
    <s v="08/30/2018"/>
    <s v="FC-072"/>
    <x v="2"/>
    <s v="422 Lake Drive Alley"/>
    <s v="LIGHT"/>
    <s v="NO"/>
    <n v="4"/>
    <n v="4"/>
    <n v="8"/>
    <n v="11"/>
    <m/>
  </r>
  <r>
    <x v="0"/>
    <s v="08/28/2018"/>
    <s v="FC-073"/>
    <x v="3"/>
    <s v="118 Grant"/>
    <s v="LIGHT"/>
    <s v="NO"/>
    <n v="3"/>
    <n v="6"/>
    <n v="9"/>
    <n v="13"/>
    <m/>
  </r>
  <r>
    <x v="0"/>
    <s v="08/29/2018"/>
    <s v="FC-074"/>
    <x v="1"/>
    <s v="Rockcreek"/>
    <s v="LIGHT"/>
    <s v="NO"/>
    <n v="20"/>
    <n v="2"/>
    <n v="22"/>
    <n v="60"/>
    <m/>
  </r>
  <r>
    <x v="0"/>
    <s v="08/29/2018"/>
    <s v="FC-075"/>
    <x v="1"/>
    <s v="North Sage Creek"/>
    <s v="LIGHT"/>
    <s v="NO"/>
    <n v="11"/>
    <n v="4"/>
    <n v="15"/>
    <n v="17"/>
    <m/>
  </r>
  <r>
    <x v="0"/>
    <s v="08/29/2018"/>
    <s v="FC-093"/>
    <x v="0"/>
    <s v="Lopez Elementary School"/>
    <s v="LIGHT"/>
    <s v="NO"/>
    <n v="1"/>
    <n v="2"/>
    <n v="3"/>
    <n v="3"/>
    <m/>
  </r>
  <r>
    <x v="0"/>
    <s v="08/28/2018"/>
    <s v="LC-001"/>
    <x v="4"/>
    <s v="Berthoud"/>
    <s v="LIGHT"/>
    <s v="NO"/>
    <n v="2"/>
    <n v="2"/>
    <n v="4"/>
    <n v="33"/>
    <m/>
  </r>
  <r>
    <x v="0"/>
    <s v="08/27/2018"/>
    <s v="LC-010"/>
    <x v="5"/>
    <s v="Timnath-Downtown"/>
    <s v="LIGHT"/>
    <s v="NO"/>
    <n v="4"/>
    <n v="3"/>
    <n v="7"/>
    <n v="22"/>
    <m/>
  </r>
  <r>
    <x v="0"/>
    <s v="08/28/2018"/>
    <s v="LC-017"/>
    <x v="5"/>
    <s v="Bonnell West 2"/>
    <s v="LIGHT"/>
    <s v="NO"/>
    <n v="4"/>
    <n v="1"/>
    <n v="5"/>
    <n v="14"/>
    <m/>
  </r>
  <r>
    <x v="0"/>
    <s v="08/27/2018"/>
    <s v="LC-022"/>
    <x v="5"/>
    <s v="Timnath-Golf Course"/>
    <s v="LIGHT"/>
    <s v="NO"/>
    <n v="0"/>
    <n v="0"/>
    <n v="0"/>
    <n v="0"/>
    <m/>
  </r>
  <r>
    <x v="0"/>
    <s v="08/27/2018"/>
    <s v="LC-032"/>
    <x v="5"/>
    <s v="River Lakes Estates/Paradise Acres"/>
    <s v="LIGHT"/>
    <s v="NO"/>
    <n v="11"/>
    <n v="27"/>
    <n v="38"/>
    <n v="259"/>
    <m/>
  </r>
  <r>
    <x v="0"/>
    <s v="08/27/2018"/>
    <s v="LC-038"/>
    <x v="5"/>
    <s v="Turman Bruns HOA"/>
    <s v="LIGHT"/>
    <s v="NO"/>
    <n v="10"/>
    <n v="0"/>
    <n v="10"/>
    <n v="15"/>
    <m/>
  </r>
  <r>
    <x v="0"/>
    <s v="08/27/2018"/>
    <s v="LC-046"/>
    <x v="5"/>
    <s v="Eagle Ranch Estates"/>
    <s v="LIGHT"/>
    <s v="NO"/>
    <n v="49"/>
    <n v="20"/>
    <n v="69"/>
    <n v="93"/>
    <m/>
  </r>
  <r>
    <x v="0"/>
    <s v="08/27/2018"/>
    <s v="LC-048"/>
    <x v="5"/>
    <s v="Timnath-Summerfields"/>
    <s v="LIGHT"/>
    <s v="NO"/>
    <n v="12"/>
    <n v="2"/>
    <n v="14"/>
    <n v="46"/>
    <m/>
  </r>
  <r>
    <x v="0"/>
    <s v="08/28/2018"/>
    <s v="LC-049"/>
    <x v="4"/>
    <s v="Berthoud North of Bunyan"/>
    <s v="LIGHT"/>
    <s v="NO"/>
    <n v="5"/>
    <n v="0"/>
    <n v="5"/>
    <n v="35"/>
    <m/>
  </r>
  <r>
    <x v="0"/>
    <s v="08/27/2018"/>
    <s v="LC-050"/>
    <x v="5"/>
    <s v="Timnath-Wildwing"/>
    <s v="LIGHT"/>
    <s v="NO"/>
    <n v="5"/>
    <n v="4"/>
    <n v="9"/>
    <n v="22"/>
    <m/>
  </r>
  <r>
    <x v="0"/>
    <s v="08/27/2018"/>
    <s v="LC-051"/>
    <x v="5"/>
    <s v="Timnath-Saratoga Falls"/>
    <s v="LIGHT"/>
    <s v="NO"/>
    <n v="21"/>
    <n v="5"/>
    <n v="26"/>
    <n v="138"/>
    <m/>
  </r>
  <r>
    <x v="0"/>
    <s v="08/27/2018"/>
    <s v="LC-052"/>
    <x v="5"/>
    <s v="Walmart East at Poudre River"/>
    <s v="LIGHT"/>
    <s v="NO"/>
    <n v="3"/>
    <n v="0"/>
    <n v="3"/>
    <n v="10"/>
    <m/>
  </r>
  <r>
    <x v="0"/>
    <s v="08/28/2018"/>
    <s v="LC-053"/>
    <x v="4"/>
    <s v="Berthoud West"/>
    <s v="LIGHT"/>
    <s v="NO"/>
    <n v="0"/>
    <n v="0"/>
    <n v="0"/>
    <n v="5"/>
    <m/>
  </r>
  <r>
    <x v="0"/>
    <s v="08/28/2018"/>
    <s v="LC-054"/>
    <x v="4"/>
    <s v="Berthoud Point"/>
    <s v="LIGHT"/>
    <s v="NO"/>
    <n v="12"/>
    <n v="13"/>
    <n v="25"/>
    <n v="36"/>
    <m/>
  </r>
  <r>
    <x v="0"/>
    <s v="08/27/2018"/>
    <s v="LV-004"/>
    <x v="6"/>
    <s v="29th and Madison"/>
    <s v="LIGHT"/>
    <s v="NO"/>
    <n v="2"/>
    <n v="0"/>
    <n v="2"/>
    <n v="2"/>
    <m/>
  </r>
  <r>
    <x v="0"/>
    <s v="08/30/2018"/>
    <s v="LV-014"/>
    <x v="6"/>
    <s v="Estrella Park"/>
    <s v="LIGHT"/>
    <s v="NO"/>
    <n v="4"/>
    <n v="2"/>
    <n v="6"/>
    <n v="21"/>
    <m/>
  </r>
  <r>
    <x v="0"/>
    <s v="08/28/2018"/>
    <s v="LV-019"/>
    <x v="6"/>
    <s v="Jocelyn and Eagle"/>
    <s v="LIGHT"/>
    <s v="NO"/>
    <n v="9"/>
    <n v="6"/>
    <n v="15"/>
    <n v="39"/>
    <m/>
  </r>
  <r>
    <x v="0"/>
    <s v="08/28/2018"/>
    <s v="LV-020"/>
    <x v="6"/>
    <s v="Cattail Pond"/>
    <s v="LIGHT"/>
    <s v="NO"/>
    <n v="48"/>
    <n v="8"/>
    <n v="56"/>
    <n v="75"/>
    <m/>
  </r>
  <r>
    <x v="0"/>
    <s v="08/28/2018"/>
    <s v="LV-021"/>
    <x v="6"/>
    <s v="Linda and 26th Street SW"/>
    <s v="LIGHT"/>
    <s v="NO"/>
    <n v="2"/>
    <n v="2"/>
    <n v="4"/>
    <n v="9"/>
    <m/>
  </r>
  <r>
    <x v="0"/>
    <s v="08/28/2018"/>
    <s v="LV-042"/>
    <x v="6"/>
    <s v="2001 South Douglas"/>
    <s v="LIGHT"/>
    <s v="NO"/>
    <n v="2"/>
    <n v="3"/>
    <n v="5"/>
    <n v="6"/>
    <m/>
  </r>
  <r>
    <x v="0"/>
    <s v="08/27/2018"/>
    <s v="LV-066"/>
    <x v="6"/>
    <s v="Outlet Mall Apartments"/>
    <s v="LIGHT"/>
    <s v="NO"/>
    <n v="2"/>
    <n v="1"/>
    <n v="3"/>
    <n v="13"/>
    <m/>
  </r>
  <r>
    <x v="0"/>
    <s v="08/28/2018"/>
    <s v="LV-067"/>
    <x v="6"/>
    <s v="Del Norte Private Park"/>
    <s v="LIGHT"/>
    <s v="NO"/>
    <n v="20"/>
    <n v="12"/>
    <n v="32"/>
    <n v="41"/>
    <m/>
  </r>
  <r>
    <x v="0"/>
    <s v="08/27/2018"/>
    <s v="LV-069"/>
    <x v="6"/>
    <s v="Horseshoe Peninsula"/>
    <s v="LIGHT"/>
    <s v="NO"/>
    <n v="16"/>
    <n v="2"/>
    <n v="18"/>
    <n v="21"/>
    <m/>
  </r>
  <r>
    <x v="0"/>
    <s v="08/27/2018"/>
    <s v="LV-074"/>
    <x v="6"/>
    <s v="Jefferson and 11th"/>
    <s v="LIGHT"/>
    <s v="NO"/>
    <n v="4"/>
    <n v="6"/>
    <n v="10"/>
    <n v="17"/>
    <m/>
  </r>
  <r>
    <x v="0"/>
    <s v="08/27/2018"/>
    <s v="LV-077"/>
    <x v="6"/>
    <s v="1105 East First Street"/>
    <s v="LIGHT"/>
    <s v="NO"/>
    <n v="6"/>
    <n v="0"/>
    <n v="6"/>
    <n v="23"/>
    <m/>
  </r>
  <r>
    <x v="0"/>
    <s v="08/27/2018"/>
    <s v="LV-078"/>
    <x v="6"/>
    <s v="Seven Lakes Park"/>
    <s v="LIGHT"/>
    <s v="NO"/>
    <n v="3"/>
    <n v="3"/>
    <n v="6"/>
    <n v="25"/>
    <m/>
  </r>
  <r>
    <x v="0"/>
    <s v="08/27/2018"/>
    <s v="LV-080"/>
    <x v="6"/>
    <s v="Harding and Reagan North"/>
    <s v="LIGHT"/>
    <s v="NO"/>
    <n v="12"/>
    <n v="7"/>
    <n v="19"/>
    <n v="42"/>
    <m/>
  </r>
  <r>
    <x v="0"/>
    <s v="08/28/2018"/>
    <s v="LV-087"/>
    <x v="6"/>
    <s v="2444 Derby Hill Road"/>
    <s v="LIGHT"/>
    <s v="NO"/>
    <n v="0"/>
    <n v="0"/>
    <n v="0"/>
    <n v="0"/>
    <m/>
  </r>
  <r>
    <x v="0"/>
    <s v="08/27/2018"/>
    <s v="LV-088"/>
    <x v="6"/>
    <s v="2229 Arikaree Court"/>
    <s v="LIGHT"/>
    <s v="NO"/>
    <n v="4"/>
    <n v="1"/>
    <n v="5"/>
    <n v="10"/>
    <m/>
  </r>
  <r>
    <x v="0"/>
    <s v="08/27/2018"/>
    <s v="LV-089"/>
    <x v="6"/>
    <s v="9th and Des Moines"/>
    <s v="LIGHT"/>
    <s v="NO"/>
    <n v="3"/>
    <n v="0"/>
    <n v="3"/>
    <n v="44"/>
    <m/>
  </r>
  <r>
    <x v="0"/>
    <s v="08/27/2018"/>
    <s v="LV-093"/>
    <x v="6"/>
    <s v="Pond at Silver Lake"/>
    <s v="LIGHT"/>
    <s v="NO"/>
    <n v="8"/>
    <n v="2"/>
    <n v="10"/>
    <n v="39"/>
    <m/>
  </r>
  <r>
    <x v="0"/>
    <s v="08/27/2018"/>
    <s v="LV-095"/>
    <x v="6"/>
    <s v="Waterfront at Boyd Lake"/>
    <s v="LIGHT"/>
    <s v="NO"/>
    <n v="4"/>
    <n v="3"/>
    <n v="7"/>
    <n v="24"/>
    <m/>
  </r>
  <r>
    <x v="0"/>
    <s v="08/30/2018"/>
    <s v="LV-097"/>
    <x v="6"/>
    <s v="Farisita at Rist Benson Drainage"/>
    <s v="LIGHT"/>
    <s v="NO"/>
    <n v="18"/>
    <n v="25"/>
    <n v="43"/>
    <n v="51"/>
    <m/>
  </r>
  <r>
    <x v="0"/>
    <s v="08/30/2018"/>
    <s v="LV-098"/>
    <x v="6"/>
    <s v="Benson Park"/>
    <s v="LIGHT"/>
    <s v="NO"/>
    <n v="1"/>
    <n v="1"/>
    <n v="2"/>
    <n v="15"/>
    <m/>
  </r>
  <r>
    <x v="0"/>
    <s v="08/30/2018"/>
    <s v="LV-099"/>
    <x v="6"/>
    <s v="Cattails Golf Course"/>
    <s v="LIGHT"/>
    <s v="NO"/>
    <n v="0"/>
    <n v="0"/>
    <n v="0"/>
    <n v="0"/>
    <m/>
  </r>
  <r>
    <x v="0"/>
    <s v="08/27/2018"/>
    <s v="LV-100"/>
    <x v="6"/>
    <s v="Lynx Runoff @ Blue Tree Real Estate"/>
    <s v="LIGHT"/>
    <s v="NO"/>
    <n v="5"/>
    <n v="1"/>
    <n v="6"/>
    <n v="7"/>
    <m/>
  </r>
  <r>
    <x v="0"/>
    <s v="08/30/2018"/>
    <s v="LV-102"/>
    <x v="6"/>
    <s v="Glen Isle Ditch and Pond"/>
    <s v="LIGHT"/>
    <s v="NO"/>
    <n v="12"/>
    <n v="3"/>
    <n v="15"/>
    <n v="21"/>
    <m/>
  </r>
  <r>
    <x v="0"/>
    <s v="08/27/2018"/>
    <s v="LV-104"/>
    <x v="6"/>
    <s v="County Road 20C and County Road 9"/>
    <s v="LIGHT"/>
    <s v="NO"/>
    <n v="15"/>
    <n v="8"/>
    <n v="23"/>
    <n v="138"/>
    <m/>
  </r>
  <r>
    <x v="0"/>
    <s v="08/30/2018"/>
    <s v="LV-105"/>
    <x v="6"/>
    <s v="West 43rd RR"/>
    <s v="LIGHT"/>
    <s v="NO"/>
    <n v="21"/>
    <n v="14"/>
    <n v="35"/>
    <n v="41"/>
    <m/>
  </r>
  <r>
    <x v="0"/>
    <s v="08/27/2018"/>
    <s v="LV-110"/>
    <x v="6"/>
    <s v="Big Thompson Natural Area"/>
    <s v="LIGHT"/>
    <s v="NO"/>
    <n v="0"/>
    <n v="2"/>
    <n v="2"/>
    <n v="8"/>
    <m/>
  </r>
  <r>
    <x v="0"/>
    <s v="08/27/2018"/>
    <s v="LV-112"/>
    <x v="6"/>
    <s v="915 South Boise"/>
    <s v="LIGHT"/>
    <s v="NO"/>
    <n v="5"/>
    <n v="14"/>
    <n v="19"/>
    <n v="28"/>
    <m/>
  </r>
  <r>
    <x v="0"/>
    <s v="08/27/2018"/>
    <s v="LV-113"/>
    <x v="6"/>
    <s v="The Springs at Marianna"/>
    <s v="LIGHT"/>
    <s v="NO"/>
    <n v="3"/>
    <n v="3"/>
    <n v="6"/>
    <n v="72"/>
    <m/>
  </r>
  <r>
    <x v="0"/>
    <s v="08/28/2018"/>
    <s v="LV-114"/>
    <x v="6"/>
    <s v="The Ponds at Jill Drive"/>
    <s v="LIGHT"/>
    <s v="NO"/>
    <n v="17"/>
    <n v="4"/>
    <n v="21"/>
    <n v="50"/>
    <m/>
  </r>
  <r>
    <x v="0"/>
    <s v="08/27/2018"/>
    <s v="LV-116"/>
    <x v="6"/>
    <s v="Sundisk and 13E"/>
    <s v="LIGHT"/>
    <s v="NO"/>
    <n v="13"/>
    <n v="23"/>
    <n v="36"/>
    <n v="81"/>
    <m/>
  </r>
  <r>
    <x v="0"/>
    <s v="08/27/2018"/>
    <s v="LV-117"/>
    <x v="6"/>
    <s v="Centerra"/>
    <s v="LIGHT"/>
    <s v="NO"/>
    <n v="2"/>
    <n v="2"/>
    <n v="4"/>
    <n v="31"/>
    <m/>
  </r>
  <r>
    <x v="0"/>
    <s v="08/27/2018"/>
    <s v="LV-118"/>
    <x v="6"/>
    <s v="Golf Vista at Golf Course Pond"/>
    <s v="LIGHT"/>
    <s v="NO"/>
    <n v="3"/>
    <n v="22"/>
    <n v="25"/>
    <n v="29"/>
    <m/>
  </r>
  <r>
    <x v="0"/>
    <s v="08/28/2018"/>
    <s v="LV-120"/>
    <x v="6"/>
    <s v="End of City Limits North"/>
    <s v="LIGHT"/>
    <s v="NO"/>
    <n v="3"/>
    <n v="4"/>
    <n v="7"/>
    <n v="19"/>
    <m/>
  </r>
  <r>
    <x v="0"/>
    <s v="08/30/2018"/>
    <s v="LV-121"/>
    <x v="6"/>
    <s v="Bayfield and Windsor"/>
    <s v="LIGHT"/>
    <s v="NO"/>
    <n v="3"/>
    <n v="1"/>
    <n v="4"/>
    <n v="14"/>
    <m/>
  </r>
  <r>
    <x v="0"/>
    <s v="08/30/2018"/>
    <s v="LV-122"/>
    <x v="6"/>
    <s v="Fallgold"/>
    <s v="LIGHT"/>
    <s v="NO"/>
    <n v="1"/>
    <n v="0"/>
    <n v="1"/>
    <n v="2"/>
    <m/>
  </r>
  <r>
    <x v="0"/>
    <s v="08/27/2018"/>
    <s v="LV-124"/>
    <x v="6"/>
    <s v="Storage Yards 2nd St. South West"/>
    <s v="LIGHT"/>
    <s v="NO"/>
    <n v="5"/>
    <n v="4"/>
    <n v="9"/>
    <n v="65"/>
    <m/>
  </r>
  <r>
    <x v="0"/>
    <s v="08/27/2018"/>
    <s v="LV-125"/>
    <x v="6"/>
    <s v="8th St. No Name"/>
    <s v="LIGHT"/>
    <s v="NO"/>
    <n v="7"/>
    <n v="39"/>
    <n v="46"/>
    <n v="6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2">
        <item x="0"/>
        <item t="default"/>
      </items>
    </pivotField>
    <pivotField showAll="0"/>
    <pivotField showAll="0"/>
    <pivotField axis="axisRow" showAll="0">
      <items count="8">
        <item x="6"/>
        <item x="2"/>
        <item x="3"/>
        <item x="1"/>
        <item x="0"/>
        <item x="4"/>
        <item x="5"/>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2"/>
        <item x="3"/>
        <item x="4"/>
        <item x="5"/>
        <item x="1"/>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2"/>
        <item x="3"/>
        <item x="4"/>
        <item x="5"/>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0"/>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D12" sqref="D12"/>
    </sheetView>
  </sheetViews>
  <sheetFormatPr defaultRowHeight="15" x14ac:dyDescent="0.25"/>
  <cols>
    <col min="1" max="1" width="39.5703125" bestFit="1" customWidth="1"/>
    <col min="2" max="2" width="16.28515625" customWidth="1"/>
    <col min="3" max="3" width="9.140625" customWidth="1"/>
    <col min="4" max="4" width="11.28515625" bestFit="1" customWidth="1"/>
    <col min="7" max="7" width="12.42578125" customWidth="1"/>
    <col min="8" max="8" width="9.140625" customWidth="1"/>
  </cols>
  <sheetData>
    <row r="1" spans="1:10" x14ac:dyDescent="0.25">
      <c r="A1" s="33" t="s">
        <v>77</v>
      </c>
      <c r="G1" s="98" t="s">
        <v>53</v>
      </c>
      <c r="H1" s="98"/>
    </row>
    <row r="2" spans="1:10" x14ac:dyDescent="0.25">
      <c r="A2" s="3" t="s">
        <v>8</v>
      </c>
      <c r="B2" t="s">
        <v>1</v>
      </c>
    </row>
    <row r="4" spans="1:10" x14ac:dyDescent="0.25">
      <c r="A4" s="3" t="s">
        <v>89</v>
      </c>
      <c r="B4" s="3" t="s">
        <v>3</v>
      </c>
      <c r="G4" s="24" t="s">
        <v>89</v>
      </c>
      <c r="H4" s="24" t="s">
        <v>3</v>
      </c>
      <c r="I4" s="24"/>
      <c r="J4" s="24"/>
    </row>
    <row r="5" spans="1:10" x14ac:dyDescent="0.25">
      <c r="A5" s="3" t="s">
        <v>4</v>
      </c>
      <c r="B5" t="s">
        <v>218</v>
      </c>
      <c r="C5" t="s">
        <v>217</v>
      </c>
      <c r="D5" t="s">
        <v>7</v>
      </c>
      <c r="G5" s="25" t="s">
        <v>4</v>
      </c>
      <c r="H5" s="25" t="s">
        <v>5</v>
      </c>
      <c r="I5" s="25" t="s">
        <v>6</v>
      </c>
      <c r="J5" s="25" t="s">
        <v>7</v>
      </c>
    </row>
    <row r="6" spans="1:10" x14ac:dyDescent="0.25">
      <c r="A6" s="1" t="s">
        <v>9</v>
      </c>
      <c r="B6" s="2">
        <v>5</v>
      </c>
      <c r="C6" s="2">
        <v>5</v>
      </c>
      <c r="D6" s="2">
        <v>10</v>
      </c>
      <c r="G6" s="1" t="s">
        <v>9</v>
      </c>
      <c r="H6" s="2">
        <f>GETPIVOTDATA("CSU Pool Number     (CMC enters)",$A$4,"Zone","LV","Spp","pipiens")</f>
        <v>5</v>
      </c>
      <c r="I6" s="2">
        <f>GETPIVOTDATA("CSU Pool Number     (CMC enters)",$A$4,"Zone","LV","Spp","tarsalis")</f>
        <v>5</v>
      </c>
      <c r="J6" s="2">
        <f>GETPIVOTDATA("CSU Pool Number     (CMC enters)",$A$4,"Zone","LV")</f>
        <v>10</v>
      </c>
    </row>
    <row r="7" spans="1:10" x14ac:dyDescent="0.25">
      <c r="A7" s="1" t="s">
        <v>59</v>
      </c>
      <c r="B7" s="2">
        <v>17</v>
      </c>
      <c r="C7" s="2">
        <v>10</v>
      </c>
      <c r="D7" s="2">
        <v>27</v>
      </c>
      <c r="G7" s="1" t="s">
        <v>59</v>
      </c>
      <c r="H7" s="2">
        <f>GETPIVOTDATA("CSU Pool Number     (CMC enters)",$A$4,"Zone","NE","Spp","pipiens")</f>
        <v>17</v>
      </c>
      <c r="I7" s="2">
        <f>GETPIVOTDATA("CSU Pool Number     (CMC enters)",$A$4,"Zone","NE","Spp","tarsalis")</f>
        <v>10</v>
      </c>
      <c r="J7" s="2">
        <f>GETPIVOTDATA("CSU Pool Number     (CMC enters)",$A$4,"Zone","NE")</f>
        <v>27</v>
      </c>
    </row>
    <row r="8" spans="1:10" x14ac:dyDescent="0.25">
      <c r="A8" s="1" t="s">
        <v>58</v>
      </c>
      <c r="B8" s="2">
        <v>10</v>
      </c>
      <c r="C8" s="2">
        <v>9</v>
      </c>
      <c r="D8" s="2">
        <v>19</v>
      </c>
      <c r="G8" s="1" t="s">
        <v>58</v>
      </c>
      <c r="H8" s="2">
        <f>GETPIVOTDATA("CSU Pool Number     (CMC enters)",$A$4,"Zone","NW","Spp","pipiens")</f>
        <v>10</v>
      </c>
      <c r="I8" s="2">
        <f>GETPIVOTDATA("CSU Pool Number     (CMC enters)",$A$4,"Zone","NW","Spp","tarsalis")</f>
        <v>9</v>
      </c>
      <c r="J8" s="2">
        <f>GETPIVOTDATA("CSU Pool Number     (CMC enters)",$A$4,"Zone","NW")</f>
        <v>19</v>
      </c>
    </row>
    <row r="9" spans="1:10" x14ac:dyDescent="0.25">
      <c r="A9" s="1" t="s">
        <v>60</v>
      </c>
      <c r="B9" s="2">
        <v>12</v>
      </c>
      <c r="C9" s="2">
        <v>13</v>
      </c>
      <c r="D9" s="2">
        <v>25</v>
      </c>
      <c r="G9" s="1" t="s">
        <v>60</v>
      </c>
      <c r="H9" s="2">
        <f>GETPIVOTDATA("CSU Pool Number     (CMC enters)",$A$4,"Zone","SE","Spp","pipiens")</f>
        <v>12</v>
      </c>
      <c r="I9" s="2">
        <f>GETPIVOTDATA("CSU Pool Number     (CMC enters)",$A$4,"Zone","SE","Spp","tarsalis")</f>
        <v>13</v>
      </c>
      <c r="J9" s="2">
        <f>GETPIVOTDATA("CSU Pool Number     (CMC enters)",$A$4,"Zone","SE")</f>
        <v>25</v>
      </c>
    </row>
    <row r="10" spans="1:10" x14ac:dyDescent="0.25">
      <c r="A10" s="1" t="s">
        <v>61</v>
      </c>
      <c r="B10" s="2">
        <v>5</v>
      </c>
      <c r="C10" s="2">
        <v>7</v>
      </c>
      <c r="D10" s="2">
        <v>12</v>
      </c>
      <c r="G10" s="1" t="s">
        <v>61</v>
      </c>
      <c r="H10" s="2">
        <f>GETPIVOTDATA("CSU Pool Number     (CMC enters)",$A$4,"Zone","SW","Spp","pipiens")</f>
        <v>5</v>
      </c>
      <c r="I10" s="2">
        <f>GETPIVOTDATA("CSU Pool Number     (CMC enters)",$A$4,"Zone","SW","Spp","tarsalis")</f>
        <v>7</v>
      </c>
      <c r="J10" s="2">
        <f>GETPIVOTDATA("CSU Pool Number     (CMC enters)",$A$4,"Zone","SW")</f>
        <v>12</v>
      </c>
    </row>
    <row r="11" spans="1:10" x14ac:dyDescent="0.25">
      <c r="A11" s="1" t="s">
        <v>196</v>
      </c>
      <c r="B11" s="2">
        <v>2</v>
      </c>
      <c r="C11" s="2">
        <v>3</v>
      </c>
      <c r="D11" s="2">
        <v>5</v>
      </c>
      <c r="G11" s="1" t="s">
        <v>196</v>
      </c>
      <c r="H11">
        <f>GETPIVOTDATA("CSU Pool Number     (CMC enters)",$A$4,"Zone","BE","Spp","pipiens")</f>
        <v>2</v>
      </c>
      <c r="I11">
        <f>GETPIVOTDATA("CSU Pool Number     (CMC enters)",$A$4,"Zone","BE","Spp","tarsalis")</f>
        <v>3</v>
      </c>
      <c r="J11">
        <f>GETPIVOTDATA("CSU Pool Number     (CMC enters)",$A$4,"Zone","BE")</f>
        <v>5</v>
      </c>
    </row>
    <row r="12" spans="1:10" x14ac:dyDescent="0.25">
      <c r="A12" s="1" t="s">
        <v>7</v>
      </c>
      <c r="B12" s="2">
        <v>51</v>
      </c>
      <c r="C12" s="2">
        <v>47</v>
      </c>
      <c r="D12" s="2">
        <v>98</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B13" sqref="B13:D13"/>
    </sheetView>
  </sheetViews>
  <sheetFormatPr defaultRowHeight="15" x14ac:dyDescent="0.25"/>
  <cols>
    <col min="1" max="1" width="28.140625" customWidth="1"/>
    <col min="2" max="2" width="16.28515625" customWidth="1"/>
    <col min="3" max="3" width="9.140625" customWidth="1"/>
    <col min="4" max="4" width="11.28515625" customWidth="1"/>
    <col min="5" max="123" width="16.28515625" bestFit="1" customWidth="1"/>
    <col min="124" max="124" width="11.28515625" bestFit="1" customWidth="1"/>
  </cols>
  <sheetData>
    <row r="1" spans="1:9" x14ac:dyDescent="0.25">
      <c r="A1" s="98" t="s">
        <v>77</v>
      </c>
      <c r="B1" s="98"/>
      <c r="C1" s="98"/>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218</v>
      </c>
      <c r="C6" t="s">
        <v>217</v>
      </c>
      <c r="D6" t="s">
        <v>7</v>
      </c>
      <c r="F6" s="25" t="s">
        <v>4</v>
      </c>
      <c r="G6" s="25" t="s">
        <v>5</v>
      </c>
      <c r="H6" s="25" t="s">
        <v>6</v>
      </c>
      <c r="I6" s="25" t="s">
        <v>7</v>
      </c>
    </row>
    <row r="7" spans="1:9" x14ac:dyDescent="0.25">
      <c r="A7" s="1" t="s">
        <v>58</v>
      </c>
      <c r="B7" s="2">
        <v>1</v>
      </c>
      <c r="C7" s="2">
        <v>0</v>
      </c>
      <c r="D7" s="2">
        <v>1</v>
      </c>
      <c r="F7" s="1" t="s">
        <v>58</v>
      </c>
      <c r="G7" s="2">
        <f>GETPIVOTDATA("Test code (CSU enters)",$A$5,"Zone","NW","Spp","pipiens")</f>
        <v>1</v>
      </c>
      <c r="H7" s="2">
        <f>GETPIVOTDATA("Test code (CSU enters)",$A$5,"Zone","NW","Spp","tarsalis")</f>
        <v>0</v>
      </c>
      <c r="I7" s="2">
        <f>GETPIVOTDATA("Test code (CSU enters)",$A$5,"Zone","NW")</f>
        <v>1</v>
      </c>
    </row>
    <row r="8" spans="1:9" x14ac:dyDescent="0.25">
      <c r="A8" s="1" t="s">
        <v>59</v>
      </c>
      <c r="B8" s="2">
        <v>4</v>
      </c>
      <c r="C8" s="2">
        <v>1</v>
      </c>
      <c r="D8" s="2">
        <v>5</v>
      </c>
      <c r="F8" s="1" t="s">
        <v>59</v>
      </c>
      <c r="G8" s="2">
        <f>GETPIVOTDATA("Test code (CSU enters)",$A$5,"Zone","NE","Spp","pipiens")</f>
        <v>4</v>
      </c>
      <c r="H8" s="2">
        <f>GETPIVOTDATA("Test code (CSU enters)",$A$5,"Zone","NE","Spp","tarsalis")</f>
        <v>1</v>
      </c>
      <c r="I8" s="2">
        <f>GETPIVOTDATA("Test code (CSU enters)",$A$5,"Zone","NE")</f>
        <v>5</v>
      </c>
    </row>
    <row r="9" spans="1:9" x14ac:dyDescent="0.25">
      <c r="A9" s="1" t="s">
        <v>60</v>
      </c>
      <c r="B9" s="2">
        <v>5</v>
      </c>
      <c r="C9" s="2">
        <v>3</v>
      </c>
      <c r="D9" s="2">
        <v>8</v>
      </c>
      <c r="F9" s="1" t="s">
        <v>60</v>
      </c>
      <c r="G9" s="2">
        <f>GETPIVOTDATA("Test code (CSU enters)",$A$5,"Zone","SE","Spp","pipiens")</f>
        <v>5</v>
      </c>
      <c r="H9" s="2">
        <f>GETPIVOTDATA("Test code (CSU enters)",$A$5,"Zone","SE","Spp","tarsalis")</f>
        <v>3</v>
      </c>
      <c r="I9" s="2">
        <f>GETPIVOTDATA("Test code (CSU enters)",$A$5,"Zone","SE")</f>
        <v>8</v>
      </c>
    </row>
    <row r="10" spans="1:9" x14ac:dyDescent="0.25">
      <c r="A10" s="1" t="s">
        <v>61</v>
      </c>
      <c r="B10" s="2">
        <v>1</v>
      </c>
      <c r="C10" s="2">
        <v>0</v>
      </c>
      <c r="D10" s="2">
        <v>1</v>
      </c>
      <c r="F10" s="1" t="s">
        <v>61</v>
      </c>
      <c r="G10" s="2">
        <f>GETPIVOTDATA("Test code (CSU enters)",$A$5,"Zone","SW","Spp","pipiens")</f>
        <v>1</v>
      </c>
      <c r="H10" s="2">
        <f>GETPIVOTDATA("Test code (CSU enters)",$A$5,"Zone","SW","Spp","tarsalis")</f>
        <v>0</v>
      </c>
      <c r="I10" s="2">
        <f>GETPIVOTDATA("Test code (CSU enters)",$A$5,"Zone","SW")</f>
        <v>1</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196</v>
      </c>
      <c r="B12" s="2">
        <v>0</v>
      </c>
      <c r="C12" s="2">
        <v>0</v>
      </c>
      <c r="D12" s="2">
        <v>0</v>
      </c>
      <c r="F12" s="1" t="s">
        <v>196</v>
      </c>
      <c r="G12">
        <f>GETPIVOTDATA("Test code (CSU enters)",$A$5,"Zone","BE","Spp","pipiens")</f>
        <v>0</v>
      </c>
      <c r="H12">
        <f>GETPIVOTDATA("Test code (CSU enters)",$A$5,"Zone","BE","Spp","tarsalis")</f>
        <v>0</v>
      </c>
      <c r="I12">
        <f>GETPIVOTDATA("Test code (CSU enters)",$A$5,"Zone","BE")</f>
        <v>0</v>
      </c>
    </row>
    <row r="13" spans="1:9" x14ac:dyDescent="0.25">
      <c r="A13" s="1" t="s">
        <v>7</v>
      </c>
      <c r="B13" s="2">
        <v>11</v>
      </c>
      <c r="C13" s="2">
        <v>4</v>
      </c>
      <c r="D13" s="2">
        <v>15</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E18" sqref="E18"/>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17.05583449729993</v>
      </c>
      <c r="H2" s="31"/>
    </row>
    <row r="3" spans="1:11" x14ac:dyDescent="0.25">
      <c r="A3" t="s">
        <v>47</v>
      </c>
      <c r="B3" t="s">
        <v>16</v>
      </c>
      <c r="C3" s="31">
        <v>12.817319972815671</v>
      </c>
      <c r="H3" s="31"/>
    </row>
    <row r="4" spans="1:11" x14ac:dyDescent="0.25">
      <c r="A4" t="s">
        <v>9</v>
      </c>
      <c r="B4" t="s">
        <v>15</v>
      </c>
      <c r="C4" s="86">
        <v>0</v>
      </c>
      <c r="H4" s="31"/>
    </row>
    <row r="5" spans="1:11" x14ac:dyDescent="0.25">
      <c r="A5" t="s">
        <v>9</v>
      </c>
      <c r="B5" t="s">
        <v>16</v>
      </c>
      <c r="C5" s="31">
        <v>0</v>
      </c>
      <c r="H5" s="31"/>
    </row>
    <row r="6" spans="1:11" x14ac:dyDescent="0.25">
      <c r="A6" t="s">
        <v>196</v>
      </c>
      <c r="B6" t="s">
        <v>15</v>
      </c>
      <c r="C6" s="86">
        <v>0</v>
      </c>
      <c r="H6" s="31"/>
    </row>
    <row r="7" spans="1:11" x14ac:dyDescent="0.25">
      <c r="A7" t="s">
        <v>196</v>
      </c>
      <c r="B7" t="s">
        <v>16</v>
      </c>
      <c r="C7" s="86">
        <v>0</v>
      </c>
      <c r="I7" s="31"/>
    </row>
    <row r="8" spans="1:11" x14ac:dyDescent="0.25">
      <c r="I8" s="31"/>
    </row>
    <row r="9" spans="1:11" x14ac:dyDescent="0.25">
      <c r="I9" s="31"/>
      <c r="K9" s="31"/>
    </row>
    <row r="10" spans="1:11" x14ac:dyDescent="0.25">
      <c r="G10" s="31"/>
      <c r="I10" s="31"/>
      <c r="K10" s="31"/>
    </row>
    <row r="11" spans="1:11" x14ac:dyDescent="0.25">
      <c r="G11" s="31"/>
      <c r="I11" s="31"/>
      <c r="K11" s="31"/>
    </row>
    <row r="12" spans="1:11" x14ac:dyDescent="0.25">
      <c r="G12" s="31"/>
      <c r="I12" s="31"/>
      <c r="K12" s="31"/>
    </row>
    <row r="13" spans="1:11" x14ac:dyDescent="0.25">
      <c r="G13" s="31"/>
      <c r="I13" s="31"/>
      <c r="K13" s="31"/>
    </row>
    <row r="14" spans="1:11" x14ac:dyDescent="0.25">
      <c r="G14" s="31"/>
      <c r="H14" s="55"/>
      <c r="I14" s="55"/>
      <c r="J14" s="65"/>
    </row>
    <row r="15" spans="1:11" x14ac:dyDescent="0.25">
      <c r="G15" s="31"/>
      <c r="H15" s="55"/>
      <c r="J15" s="31"/>
      <c r="K15" s="31"/>
    </row>
    <row r="16" spans="1:11" x14ac:dyDescent="0.25">
      <c r="F16" s="31"/>
      <c r="G16" s="31"/>
      <c r="J16" s="31"/>
      <c r="K16" s="65"/>
    </row>
    <row r="17" spans="6:11" x14ac:dyDescent="0.25">
      <c r="F17" s="31"/>
      <c r="G17" s="31"/>
      <c r="H17" s="65"/>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J14" sqref="J14"/>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9.4457810276537657</v>
      </c>
      <c r="G2" s="31"/>
      <c r="H2" s="31"/>
    </row>
    <row r="3" spans="1:12" x14ac:dyDescent="0.25">
      <c r="A3" t="s">
        <v>58</v>
      </c>
      <c r="B3" t="s">
        <v>16</v>
      </c>
      <c r="C3" s="31">
        <v>0</v>
      </c>
      <c r="G3" s="31"/>
      <c r="H3" s="31"/>
    </row>
    <row r="4" spans="1:12" x14ac:dyDescent="0.25">
      <c r="A4" t="s">
        <v>59</v>
      </c>
      <c r="B4" t="s">
        <v>15</v>
      </c>
      <c r="C4" s="31">
        <v>9.1646092103112959</v>
      </c>
      <c r="G4" s="31"/>
      <c r="H4" s="31"/>
      <c r="J4" s="31"/>
    </row>
    <row r="5" spans="1:12" x14ac:dyDescent="0.25">
      <c r="A5" t="s">
        <v>59</v>
      </c>
      <c r="B5" t="s">
        <v>16</v>
      </c>
      <c r="C5" s="31">
        <v>7.7368742677849198</v>
      </c>
      <c r="G5" s="31"/>
      <c r="H5" s="31"/>
      <c r="J5" s="31"/>
    </row>
    <row r="6" spans="1:12" x14ac:dyDescent="0.25">
      <c r="A6" t="s">
        <v>60</v>
      </c>
      <c r="B6" t="s">
        <v>15</v>
      </c>
      <c r="C6" s="31">
        <v>53.050611256864251</v>
      </c>
      <c r="G6" s="31"/>
      <c r="H6" s="31"/>
      <c r="J6" s="31"/>
    </row>
    <row r="7" spans="1:12" x14ac:dyDescent="0.25">
      <c r="A7" t="s">
        <v>60</v>
      </c>
      <c r="B7" t="s">
        <v>16</v>
      </c>
      <c r="C7" s="31">
        <v>22.80505539062322</v>
      </c>
      <c r="G7" s="31"/>
      <c r="H7" s="31"/>
      <c r="J7" s="31"/>
    </row>
    <row r="8" spans="1:12" x14ac:dyDescent="0.25">
      <c r="A8" t="s">
        <v>61</v>
      </c>
      <c r="B8" t="s">
        <v>15</v>
      </c>
      <c r="C8" s="31">
        <v>44.351154622831956</v>
      </c>
      <c r="G8" s="31"/>
      <c r="H8" s="31"/>
      <c r="J8" s="31"/>
    </row>
    <row r="9" spans="1:12" x14ac:dyDescent="0.25">
      <c r="A9" t="s">
        <v>61</v>
      </c>
      <c r="B9" t="s">
        <v>16</v>
      </c>
      <c r="C9" s="31">
        <v>0</v>
      </c>
      <c r="G9" s="31"/>
      <c r="H9" s="31"/>
      <c r="J9" s="31"/>
      <c r="L9" s="31"/>
    </row>
    <row r="10" spans="1:12" x14ac:dyDescent="0.25">
      <c r="H10" s="31"/>
      <c r="J10" s="31"/>
      <c r="L10" s="31"/>
    </row>
    <row r="11" spans="1:12" x14ac:dyDescent="0.25">
      <c r="H11" s="31"/>
      <c r="J11" s="31"/>
      <c r="L11" s="31"/>
    </row>
    <row r="12" spans="1:12" x14ac:dyDescent="0.25">
      <c r="B12" s="31"/>
      <c r="H12" s="31"/>
      <c r="J12" s="31"/>
      <c r="L12" s="31"/>
    </row>
    <row r="13" spans="1:12" x14ac:dyDescent="0.25">
      <c r="B13" s="31"/>
      <c r="H13" s="31"/>
      <c r="J13" s="31"/>
      <c r="K13" s="65"/>
      <c r="L13" s="31"/>
    </row>
    <row r="14" spans="1:12" x14ac:dyDescent="0.25">
      <c r="B14" s="31"/>
      <c r="H14" s="31"/>
      <c r="J14" s="31"/>
      <c r="K14" s="31"/>
      <c r="L14" s="31"/>
    </row>
    <row r="15" spans="1:12" x14ac:dyDescent="0.25">
      <c r="B15" s="31"/>
      <c r="H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T94"/>
  <sheetViews>
    <sheetView topLeftCell="A58" zoomScale="80" zoomScaleNormal="80" workbookViewId="0">
      <selection activeCell="Q71" sqref="Q71"/>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192</v>
      </c>
      <c r="B1" s="4"/>
      <c r="C1" s="112" t="s">
        <v>11</v>
      </c>
      <c r="D1" s="114"/>
      <c r="E1" s="112" t="s">
        <v>12</v>
      </c>
      <c r="F1" s="114"/>
      <c r="G1" s="130"/>
      <c r="H1" s="131"/>
      <c r="I1" s="132"/>
    </row>
    <row r="2" spans="1:14" ht="27" customHeight="1" x14ac:dyDescent="0.25">
      <c r="B2" s="5"/>
      <c r="C2" s="115"/>
      <c r="D2" s="117"/>
      <c r="E2" s="115" t="s">
        <v>13</v>
      </c>
      <c r="F2" s="117"/>
      <c r="G2" s="133" t="s">
        <v>14</v>
      </c>
      <c r="H2" s="134"/>
      <c r="I2" s="135"/>
    </row>
    <row r="3" spans="1:14" ht="15.75" thickBot="1" x14ac:dyDescent="0.3">
      <c r="B3" s="5"/>
      <c r="C3" s="119"/>
      <c r="D3" s="121"/>
      <c r="E3" s="109"/>
      <c r="F3" s="111"/>
      <c r="G3" s="109"/>
      <c r="H3" s="110"/>
      <c r="I3" s="111"/>
    </row>
    <row r="4" spans="1:14" ht="15.75" customHeight="1" x14ac:dyDescent="0.25">
      <c r="B4" s="5" t="s">
        <v>10</v>
      </c>
      <c r="C4" s="122" t="s">
        <v>15</v>
      </c>
      <c r="D4" s="122" t="s">
        <v>16</v>
      </c>
      <c r="E4" s="7" t="s">
        <v>17</v>
      </c>
      <c r="F4" s="7" t="s">
        <v>17</v>
      </c>
      <c r="G4" s="128" t="s">
        <v>18</v>
      </c>
      <c r="H4" s="128" t="s">
        <v>19</v>
      </c>
      <c r="I4" s="9" t="s">
        <v>20</v>
      </c>
    </row>
    <row r="5" spans="1:14" ht="15.75" thickBot="1" x14ac:dyDescent="0.3">
      <c r="B5" s="6"/>
      <c r="C5" s="123"/>
      <c r="D5" s="123"/>
      <c r="E5" s="8" t="s">
        <v>5</v>
      </c>
      <c r="F5" s="8" t="s">
        <v>6</v>
      </c>
      <c r="G5" s="129"/>
      <c r="H5" s="129"/>
      <c r="I5" s="10" t="s">
        <v>21</v>
      </c>
    </row>
    <row r="6" spans="1:14" ht="26.25" thickBot="1" x14ac:dyDescent="0.3">
      <c r="B6" s="11" t="s">
        <v>54</v>
      </c>
      <c r="C6" s="26">
        <f t="shared" ref="C6:D10" si="0">G38</f>
        <v>8</v>
      </c>
      <c r="D6" s="26">
        <f t="shared" si="0"/>
        <v>5.333333333333333</v>
      </c>
      <c r="E6" s="42">
        <f t="shared" ref="E6:F10" si="1">L69/1000</f>
        <v>9.445781027653765E-3</v>
      </c>
      <c r="F6" s="42">
        <f t="shared" si="1"/>
        <v>0</v>
      </c>
      <c r="G6" s="32">
        <f t="shared" ref="G6:H10" si="2">C6*E6</f>
        <v>7.556624822123012E-2</v>
      </c>
      <c r="H6" s="32">
        <f t="shared" si="2"/>
        <v>0</v>
      </c>
      <c r="I6" s="32">
        <f>G6+H6</f>
        <v>7.556624822123012E-2</v>
      </c>
    </row>
    <row r="7" spans="1:14" ht="26.25" thickBot="1" x14ac:dyDescent="0.3">
      <c r="B7" s="11" t="s">
        <v>55</v>
      </c>
      <c r="C7" s="26">
        <f t="shared" si="0"/>
        <v>35.200000000000003</v>
      </c>
      <c r="D7" s="26">
        <f t="shared" si="0"/>
        <v>14.2</v>
      </c>
      <c r="E7" s="42">
        <f t="shared" si="1"/>
        <v>9.1646092103112968E-3</v>
      </c>
      <c r="F7" s="42">
        <f t="shared" si="1"/>
        <v>7.7368742677849196E-3</v>
      </c>
      <c r="G7" s="32">
        <f t="shared" si="2"/>
        <v>0.32259424420295768</v>
      </c>
      <c r="H7" s="32">
        <f t="shared" si="2"/>
        <v>0.10986361460254586</v>
      </c>
      <c r="I7" s="32">
        <f>G7+H7</f>
        <v>0.43245785880550353</v>
      </c>
    </row>
    <row r="8" spans="1:14" ht="26.25" thickBot="1" x14ac:dyDescent="0.3">
      <c r="B8" s="11" t="s">
        <v>57</v>
      </c>
      <c r="C8" s="26">
        <f t="shared" si="0"/>
        <v>5.2666666666666666</v>
      </c>
      <c r="D8" s="26">
        <f t="shared" si="0"/>
        <v>10</v>
      </c>
      <c r="E8" s="42">
        <f t="shared" si="1"/>
        <v>5.305061125686425E-2</v>
      </c>
      <c r="F8" s="42">
        <f t="shared" si="1"/>
        <v>2.2805055390623219E-2</v>
      </c>
      <c r="G8" s="32">
        <f t="shared" si="2"/>
        <v>0.27939988595281839</v>
      </c>
      <c r="H8" s="32">
        <f t="shared" si="2"/>
        <v>0.22805055390623219</v>
      </c>
      <c r="I8" s="32">
        <f>G8+H8</f>
        <v>0.50745043985905058</v>
      </c>
    </row>
    <row r="9" spans="1:14" ht="26.25" thickBot="1" x14ac:dyDescent="0.3">
      <c r="B9" s="11" t="s">
        <v>56</v>
      </c>
      <c r="C9" s="26">
        <f t="shared" si="0"/>
        <v>0.66666666666666663</v>
      </c>
      <c r="D9" s="26">
        <f t="shared" si="0"/>
        <v>1.8888888888888888</v>
      </c>
      <c r="E9" s="42">
        <f t="shared" si="1"/>
        <v>4.4351154622831956E-2</v>
      </c>
      <c r="F9" s="42">
        <f t="shared" si="1"/>
        <v>0</v>
      </c>
      <c r="G9" s="32">
        <f t="shared" si="2"/>
        <v>2.9567436415221304E-2</v>
      </c>
      <c r="H9" s="32">
        <f t="shared" si="2"/>
        <v>0</v>
      </c>
      <c r="I9" s="32">
        <f>G9+H9</f>
        <v>2.9567436415221304E-2</v>
      </c>
    </row>
    <row r="10" spans="1:14" ht="26.25" thickBot="1" x14ac:dyDescent="0.3">
      <c r="B10" s="11" t="s">
        <v>22</v>
      </c>
      <c r="C10" s="26">
        <f t="shared" si="0"/>
        <v>11.837209302325581</v>
      </c>
      <c r="D10" s="26">
        <f t="shared" si="0"/>
        <v>8.3023255813953494</v>
      </c>
      <c r="E10" s="42">
        <f t="shared" si="1"/>
        <v>1.7055834497299929E-2</v>
      </c>
      <c r="F10" s="42">
        <f t="shared" si="1"/>
        <v>1.2817319972815671E-2</v>
      </c>
      <c r="G10" s="32">
        <f t="shared" si="2"/>
        <v>0.20189348277036429</v>
      </c>
      <c r="H10" s="32">
        <f t="shared" si="2"/>
        <v>0.10641356349523709</v>
      </c>
      <c r="I10" s="32">
        <f>G10+H10</f>
        <v>0.30830704626560135</v>
      </c>
      <c r="N10" s="31"/>
    </row>
    <row r="11" spans="1:14" ht="15.75" thickBot="1" x14ac:dyDescent="0.3">
      <c r="B11" s="11"/>
      <c r="C11" s="12"/>
      <c r="D11" s="12"/>
      <c r="E11" s="42"/>
      <c r="F11" s="42"/>
      <c r="G11" s="32"/>
      <c r="H11" s="32"/>
      <c r="I11" s="32"/>
    </row>
    <row r="12" spans="1:14" ht="15.75" thickBot="1" x14ac:dyDescent="0.3">
      <c r="B12" s="11" t="s">
        <v>9</v>
      </c>
      <c r="C12" s="29">
        <f>G44</f>
        <v>6.1621621621621623</v>
      </c>
      <c r="D12" s="29">
        <f>H44</f>
        <v>7.6486486486486482</v>
      </c>
      <c r="E12" s="42">
        <f>L75/1000</f>
        <v>0</v>
      </c>
      <c r="F12" s="42">
        <f>M75/1000</f>
        <v>0</v>
      </c>
      <c r="G12" s="32">
        <f>C12*E12</f>
        <v>0</v>
      </c>
      <c r="H12" s="32">
        <f>D12*F12</f>
        <v>0</v>
      </c>
      <c r="I12" s="32">
        <f>G12+H12</f>
        <v>0</v>
      </c>
    </row>
    <row r="13" spans="1:14" ht="15.75" thickBot="1" x14ac:dyDescent="0.3">
      <c r="B13" s="11" t="s">
        <v>196</v>
      </c>
      <c r="C13" s="29">
        <f>G45</f>
        <v>3.75</v>
      </c>
      <c r="D13" s="29">
        <f>H45</f>
        <v>4.75</v>
      </c>
      <c r="E13" s="42">
        <f>L76/1000</f>
        <v>0</v>
      </c>
      <c r="F13" s="42">
        <f>M76/1000</f>
        <v>0</v>
      </c>
      <c r="G13" s="32">
        <f>C13*E13</f>
        <v>0</v>
      </c>
      <c r="H13" s="32">
        <f>D13*F13</f>
        <v>0</v>
      </c>
      <c r="I13" s="32">
        <f>G13+H13</f>
        <v>0</v>
      </c>
    </row>
    <row r="14" spans="1:14" ht="15.75" thickBot="1" x14ac:dyDescent="0.3"/>
    <row r="15" spans="1:14" ht="15" customHeight="1" x14ac:dyDescent="0.25">
      <c r="A15" t="s">
        <v>193</v>
      </c>
      <c r="B15" s="16"/>
      <c r="C15" s="99" t="s">
        <v>54</v>
      </c>
      <c r="D15" s="101"/>
      <c r="E15" s="99" t="s">
        <v>55</v>
      </c>
      <c r="F15" s="101"/>
      <c r="G15" s="99" t="s">
        <v>57</v>
      </c>
      <c r="H15" s="101"/>
      <c r="I15" s="99" t="s">
        <v>56</v>
      </c>
      <c r="J15" s="101"/>
      <c r="K15" s="99" t="s">
        <v>22</v>
      </c>
      <c r="L15" s="101"/>
      <c r="M15" s="19"/>
      <c r="N15" s="57"/>
    </row>
    <row r="16" spans="1:14" ht="15.75" thickBot="1" x14ac:dyDescent="0.3">
      <c r="B16" s="17"/>
      <c r="C16" s="105"/>
      <c r="D16" s="107"/>
      <c r="E16" s="105"/>
      <c r="F16" s="107"/>
      <c r="G16" s="105"/>
      <c r="H16" s="107"/>
      <c r="I16" s="105"/>
      <c r="J16" s="107"/>
      <c r="K16" s="105"/>
      <c r="L16" s="107"/>
      <c r="M16" s="20"/>
      <c r="N16" s="58"/>
    </row>
    <row r="17" spans="2:14" ht="26.25" thickBot="1" x14ac:dyDescent="0.3">
      <c r="B17" s="18" t="s">
        <v>8</v>
      </c>
      <c r="C17" s="21" t="s">
        <v>23</v>
      </c>
      <c r="D17" s="21" t="s">
        <v>24</v>
      </c>
      <c r="E17" s="21" t="s">
        <v>23</v>
      </c>
      <c r="F17" s="43" t="s">
        <v>24</v>
      </c>
      <c r="G17" s="21" t="s">
        <v>23</v>
      </c>
      <c r="H17" s="43" t="s">
        <v>24</v>
      </c>
      <c r="I17" s="21" t="s">
        <v>23</v>
      </c>
      <c r="J17" s="43" t="s">
        <v>24</v>
      </c>
      <c r="K17" s="21" t="s">
        <v>23</v>
      </c>
      <c r="L17" s="43" t="s">
        <v>24</v>
      </c>
      <c r="M17" s="21" t="s">
        <v>9</v>
      </c>
      <c r="N17" s="59" t="s">
        <v>196</v>
      </c>
    </row>
    <row r="18" spans="2:14" ht="15.75" thickBot="1" x14ac:dyDescent="0.3">
      <c r="B18" s="44">
        <v>24</v>
      </c>
      <c r="C18" s="48">
        <v>0</v>
      </c>
      <c r="D18" s="45">
        <v>0</v>
      </c>
      <c r="E18" s="48">
        <v>0</v>
      </c>
      <c r="F18" s="45">
        <v>0</v>
      </c>
      <c r="G18" s="48">
        <v>0</v>
      </c>
      <c r="H18" s="45">
        <v>5.7929090909090908E-3</v>
      </c>
      <c r="I18" s="48">
        <v>0</v>
      </c>
      <c r="J18" s="45">
        <v>0</v>
      </c>
      <c r="K18" s="48">
        <v>0</v>
      </c>
      <c r="L18" s="45">
        <v>2.100793049842883E-3</v>
      </c>
      <c r="M18" s="48">
        <v>0</v>
      </c>
      <c r="N18" s="48">
        <v>0</v>
      </c>
    </row>
    <row r="19" spans="2:14" ht="15.75" thickBot="1" x14ac:dyDescent="0.3">
      <c r="B19" s="44">
        <v>25</v>
      </c>
      <c r="C19" s="48">
        <v>0</v>
      </c>
      <c r="D19" s="45">
        <v>0</v>
      </c>
      <c r="E19" s="48">
        <v>0</v>
      </c>
      <c r="F19" s="45">
        <v>1.7067545454545453E-2</v>
      </c>
      <c r="G19" s="48">
        <v>0</v>
      </c>
      <c r="H19" s="45">
        <v>0</v>
      </c>
      <c r="I19" s="48">
        <v>0</v>
      </c>
      <c r="J19" s="45">
        <v>0</v>
      </c>
      <c r="K19" s="48">
        <v>0</v>
      </c>
      <c r="L19" s="45">
        <v>3.425539134730678E-3</v>
      </c>
      <c r="M19" s="48">
        <v>0</v>
      </c>
      <c r="N19" s="48">
        <v>0</v>
      </c>
    </row>
    <row r="20" spans="2:14" ht="15.75" thickBot="1" x14ac:dyDescent="0.3">
      <c r="B20" s="44">
        <v>26</v>
      </c>
      <c r="C20" s="48">
        <v>0</v>
      </c>
      <c r="D20" s="45">
        <v>0</v>
      </c>
      <c r="E20" s="48">
        <v>0</v>
      </c>
      <c r="F20" s="45">
        <v>8.8887272727272721E-3</v>
      </c>
      <c r="G20" s="48">
        <v>0</v>
      </c>
      <c r="H20" s="45">
        <v>1.6819727272727271E-2</v>
      </c>
      <c r="I20" s="48">
        <v>0</v>
      </c>
      <c r="J20" s="45">
        <v>1.0571363636363636E-2</v>
      </c>
      <c r="K20" s="48">
        <v>0</v>
      </c>
      <c r="L20" s="45">
        <v>1.042549830727062E-2</v>
      </c>
      <c r="M20" s="48">
        <v>0</v>
      </c>
      <c r="N20" s="48">
        <v>0</v>
      </c>
    </row>
    <row r="21" spans="2:14" ht="15.75" thickBot="1" x14ac:dyDescent="0.3">
      <c r="B21" s="44">
        <v>27</v>
      </c>
      <c r="C21" s="48">
        <v>0</v>
      </c>
      <c r="D21" s="45">
        <v>0</v>
      </c>
      <c r="E21" s="48">
        <v>0</v>
      </c>
      <c r="F21" s="45">
        <v>3.6952320848865454E-2</v>
      </c>
      <c r="G21" s="48">
        <v>0</v>
      </c>
      <c r="H21" s="45">
        <v>1.674720183407373E-2</v>
      </c>
      <c r="I21" s="48">
        <v>0</v>
      </c>
      <c r="J21" s="45">
        <v>0</v>
      </c>
      <c r="K21" s="48">
        <v>0</v>
      </c>
      <c r="L21" s="45">
        <v>1.5494269028456114E-2</v>
      </c>
      <c r="M21" s="48">
        <v>0</v>
      </c>
      <c r="N21" s="48">
        <v>0</v>
      </c>
    </row>
    <row r="22" spans="2:14" ht="15.75" thickBot="1" x14ac:dyDescent="0.3">
      <c r="B22" s="44">
        <v>28</v>
      </c>
      <c r="C22" s="48">
        <v>0</v>
      </c>
      <c r="D22" s="45">
        <v>0</v>
      </c>
      <c r="E22" s="48">
        <v>0</v>
      </c>
      <c r="F22" s="45">
        <v>4.1505891714470604E-2</v>
      </c>
      <c r="G22" s="48">
        <v>0</v>
      </c>
      <c r="H22" s="45">
        <v>0.10862553541853309</v>
      </c>
      <c r="I22" s="48">
        <v>0</v>
      </c>
      <c r="J22" s="45">
        <v>1.0008727272727273E-2</v>
      </c>
      <c r="K22" s="79">
        <v>3.9395529034558594E-3</v>
      </c>
      <c r="L22" s="45">
        <v>4.6556968064292416E-2</v>
      </c>
      <c r="M22" s="48">
        <v>0</v>
      </c>
      <c r="N22" s="48">
        <v>0.26664035143334586</v>
      </c>
    </row>
    <row r="23" spans="2:14" ht="15.75" thickBot="1" x14ac:dyDescent="0.3">
      <c r="B23" s="44">
        <v>29</v>
      </c>
      <c r="C23" s="48">
        <v>0</v>
      </c>
      <c r="D23" s="45">
        <v>0.11395730739110398</v>
      </c>
      <c r="E23" s="48">
        <v>0</v>
      </c>
      <c r="F23" s="45">
        <v>0.1452889565187768</v>
      </c>
      <c r="G23" s="79">
        <v>1.13778292608616E-3</v>
      </c>
      <c r="H23" s="45">
        <v>0.32459368575312425</v>
      </c>
      <c r="I23" s="48">
        <v>9.8841349014385654E-2</v>
      </c>
      <c r="J23" s="45">
        <v>3.3497909090909092E-2</v>
      </c>
      <c r="K23" s="48">
        <v>2.6193373852600926E-2</v>
      </c>
      <c r="L23" s="45">
        <v>0.17058423674891257</v>
      </c>
      <c r="M23" s="48">
        <v>0.16465111084294198</v>
      </c>
      <c r="N23" s="48">
        <v>0</v>
      </c>
    </row>
    <row r="24" spans="2:14" ht="15.75" thickBot="1" x14ac:dyDescent="0.3">
      <c r="B24" s="44">
        <v>30</v>
      </c>
      <c r="C24" s="48">
        <v>4.3274508069498341E-2</v>
      </c>
      <c r="D24" s="45">
        <v>0.11669779378976623</v>
      </c>
      <c r="E24" s="48">
        <v>0</v>
      </c>
      <c r="F24" s="45">
        <v>0.16916957982490655</v>
      </c>
      <c r="G24" s="48">
        <v>6.7566304613785017E-2</v>
      </c>
      <c r="H24" s="45">
        <v>0.32570781928008102</v>
      </c>
      <c r="I24" s="48">
        <v>0</v>
      </c>
      <c r="J24" s="45">
        <v>8.471118181818181E-2</v>
      </c>
      <c r="K24" s="48">
        <v>4.1142649945568238E-2</v>
      </c>
      <c r="L24" s="45">
        <v>0.19003109896348488</v>
      </c>
      <c r="M24" s="48">
        <v>0.13397553049266578</v>
      </c>
      <c r="N24" s="48">
        <v>0.25064525822111472</v>
      </c>
    </row>
    <row r="25" spans="2:14" ht="15.75" thickBot="1" x14ac:dyDescent="0.3">
      <c r="B25" s="44">
        <v>31</v>
      </c>
      <c r="C25" s="48">
        <v>6.7088200382025648E-2</v>
      </c>
      <c r="D25" s="45">
        <v>0.20111726592579454</v>
      </c>
      <c r="E25" s="48">
        <v>0</v>
      </c>
      <c r="F25" s="45">
        <v>0.20687539723018417</v>
      </c>
      <c r="G25" s="48">
        <v>0.28418535599535233</v>
      </c>
      <c r="H25" s="45">
        <v>0.22361204650177652</v>
      </c>
      <c r="I25" s="48">
        <v>2.3664142245825852E-2</v>
      </c>
      <c r="J25" s="45">
        <v>8.7961372960925197E-2</v>
      </c>
      <c r="K25" s="48">
        <v>0.14695023937636431</v>
      </c>
      <c r="L25" s="45">
        <v>0.20540601099307301</v>
      </c>
      <c r="M25" s="48">
        <v>0</v>
      </c>
      <c r="N25" s="48">
        <v>0.25098683020535029</v>
      </c>
    </row>
    <row r="26" spans="2:14" ht="15.75" thickBot="1" x14ac:dyDescent="0.3">
      <c r="B26" s="44">
        <v>32</v>
      </c>
      <c r="C26" s="48">
        <v>0.17500559706937938</v>
      </c>
      <c r="D26" s="45">
        <v>0.16419582370107011</v>
      </c>
      <c r="E26" s="48">
        <v>5.6134682575152375E-2</v>
      </c>
      <c r="F26" s="45">
        <v>0.3392002907861878</v>
      </c>
      <c r="G26" s="48">
        <v>0.19020210535043752</v>
      </c>
      <c r="H26" s="45">
        <v>0.38501867996340516</v>
      </c>
      <c r="I26" s="48">
        <v>5.1919123116306087E-2</v>
      </c>
      <c r="J26" s="45">
        <v>0.10833288252121927</v>
      </c>
      <c r="K26" s="48">
        <v>0.1379415943758201</v>
      </c>
      <c r="L26" s="45">
        <v>0.27324610630010632</v>
      </c>
      <c r="M26" s="48">
        <v>0.13474985871722711</v>
      </c>
      <c r="N26" s="48">
        <v>0.25300064326219351</v>
      </c>
    </row>
    <row r="27" spans="2:14" ht="15.75" thickBot="1" x14ac:dyDescent="0.3">
      <c r="B27" s="44">
        <v>33</v>
      </c>
      <c r="C27" s="48">
        <v>0.19748622170937422</v>
      </c>
      <c r="D27" s="45">
        <v>0.18870169887062208</v>
      </c>
      <c r="E27" s="48">
        <v>0.47093973998930327</v>
      </c>
      <c r="F27" s="45">
        <v>0.41065233450506566</v>
      </c>
      <c r="G27" s="48">
        <v>0.34284551739755731</v>
      </c>
      <c r="H27" s="45">
        <v>0.27401277989355188</v>
      </c>
      <c r="I27" s="48">
        <v>0.46267388377052215</v>
      </c>
      <c r="J27" s="45">
        <v>7.3000955770680748E-2</v>
      </c>
      <c r="K27" s="48">
        <v>0.40563017568942</v>
      </c>
      <c r="L27" s="45">
        <v>0.24745312771149272</v>
      </c>
      <c r="M27" s="48">
        <v>0.23584170143342184</v>
      </c>
      <c r="N27" s="48">
        <v>0</v>
      </c>
    </row>
    <row r="28" spans="2:14" ht="15.75" thickBot="1" x14ac:dyDescent="0.3">
      <c r="B28" s="44">
        <v>34</v>
      </c>
      <c r="C28" s="48">
        <v>0.15035114714996428</v>
      </c>
      <c r="D28" s="45">
        <v>0.13692864276036304</v>
      </c>
      <c r="E28" s="48">
        <v>0.24654371080880327</v>
      </c>
      <c r="F28" s="45">
        <v>0.15169533961757323</v>
      </c>
      <c r="G28" s="48">
        <v>0.19193926075918544</v>
      </c>
      <c r="H28" s="45">
        <v>0.31404464669536269</v>
      </c>
      <c r="I28" s="48">
        <v>1.7665645740714379E-2</v>
      </c>
      <c r="J28" s="45">
        <v>4.6096243556262927E-2</v>
      </c>
      <c r="K28" s="48">
        <v>0.17602230968709637</v>
      </c>
      <c r="L28" s="45">
        <v>0.17986247001610783</v>
      </c>
      <c r="M28" s="48">
        <v>0</v>
      </c>
      <c r="N28" s="48">
        <v>0</v>
      </c>
    </row>
    <row r="29" spans="2:14" ht="15.75" thickBot="1" x14ac:dyDescent="0.3">
      <c r="B29" s="44">
        <v>35</v>
      </c>
      <c r="C29" s="48">
        <v>7.556624822123012E-2</v>
      </c>
      <c r="D29" s="45">
        <v>4.7080788104326782E-2</v>
      </c>
      <c r="E29" s="48">
        <v>0.43245785880550353</v>
      </c>
      <c r="F29" s="45">
        <v>0.14215558173023635</v>
      </c>
      <c r="G29" s="48">
        <v>0.50745043985905058</v>
      </c>
      <c r="H29" s="45">
        <v>0.20826161691130313</v>
      </c>
      <c r="I29" s="48">
        <v>2.9567436415221304E-2</v>
      </c>
      <c r="J29" s="45">
        <v>0.13320948692011367</v>
      </c>
      <c r="K29" s="48">
        <v>0.30830704626560135</v>
      </c>
      <c r="L29" s="45">
        <v>0.1445229721667462</v>
      </c>
      <c r="M29" s="48">
        <v>0</v>
      </c>
      <c r="N29" s="48">
        <v>0</v>
      </c>
    </row>
    <row r="30" spans="2:14" ht="15.75" thickBot="1" x14ac:dyDescent="0.3">
      <c r="B30" s="44">
        <v>36</v>
      </c>
      <c r="C30" s="48"/>
      <c r="D30" s="47">
        <v>2.5861518752717968E-2</v>
      </c>
      <c r="E30" s="48"/>
      <c r="F30" s="47">
        <v>4.1776588079272772E-2</v>
      </c>
      <c r="G30" s="48"/>
      <c r="H30" s="47">
        <v>0</v>
      </c>
      <c r="I30" s="48"/>
      <c r="J30" s="47">
        <v>0</v>
      </c>
      <c r="K30" s="48"/>
      <c r="L30" s="47">
        <v>1.7958192604180613E-2</v>
      </c>
      <c r="M30" s="48"/>
      <c r="N30" s="46"/>
    </row>
    <row r="31" spans="2:14" ht="15.75" thickBot="1" x14ac:dyDescent="0.3">
      <c r="B31" s="44">
        <v>37</v>
      </c>
      <c r="C31" s="46"/>
      <c r="D31" s="48">
        <v>4.6546275256811681E-2</v>
      </c>
      <c r="E31" s="46"/>
      <c r="F31" s="48">
        <v>2.5208000000000001E-2</v>
      </c>
      <c r="G31" s="46"/>
      <c r="H31" s="48">
        <v>1.35E-2</v>
      </c>
      <c r="I31" s="46"/>
      <c r="J31" s="48">
        <v>0</v>
      </c>
      <c r="K31" s="46"/>
      <c r="L31" s="48">
        <v>2.0049168233544599E-2</v>
      </c>
      <c r="M31" s="46"/>
      <c r="N31" s="46"/>
    </row>
    <row r="32" spans="2:14" ht="15.75" thickBot="1" x14ac:dyDescent="0.3"/>
    <row r="33" spans="1:14" x14ac:dyDescent="0.25">
      <c r="A33" t="s">
        <v>49</v>
      </c>
      <c r="B33" s="4"/>
      <c r="C33" s="112" t="s">
        <v>25</v>
      </c>
      <c r="D33" s="113"/>
      <c r="E33" s="114"/>
      <c r="F33" s="15"/>
      <c r="G33" s="112" t="s">
        <v>28</v>
      </c>
      <c r="H33" s="113"/>
      <c r="I33" s="114"/>
    </row>
    <row r="34" spans="1:14" ht="38.25" x14ac:dyDescent="0.25">
      <c r="B34" s="5"/>
      <c r="C34" s="115" t="s">
        <v>26</v>
      </c>
      <c r="D34" s="116"/>
      <c r="E34" s="117"/>
      <c r="F34" s="14" t="s">
        <v>27</v>
      </c>
      <c r="G34" s="115"/>
      <c r="H34" s="118"/>
      <c r="I34" s="117"/>
    </row>
    <row r="35" spans="1:14" ht="15.75" thickBot="1" x14ac:dyDescent="0.3">
      <c r="B35" s="5"/>
      <c r="C35" s="109"/>
      <c r="D35" s="110"/>
      <c r="E35" s="111"/>
      <c r="F35" s="22"/>
      <c r="G35" s="119"/>
      <c r="H35" s="120"/>
      <c r="I35" s="121"/>
    </row>
    <row r="36" spans="1:14" x14ac:dyDescent="0.25">
      <c r="B36" s="5" t="s">
        <v>10</v>
      </c>
      <c r="C36" s="122" t="s">
        <v>15</v>
      </c>
      <c r="D36" s="122" t="s">
        <v>16</v>
      </c>
      <c r="E36" s="124" t="s">
        <v>29</v>
      </c>
      <c r="F36" s="22"/>
      <c r="G36" s="126" t="s">
        <v>30</v>
      </c>
      <c r="H36" s="126" t="s">
        <v>31</v>
      </c>
      <c r="I36" s="27" t="s">
        <v>20</v>
      </c>
    </row>
    <row r="37" spans="1:14" ht="15.75" thickBot="1" x14ac:dyDescent="0.3">
      <c r="B37" s="6"/>
      <c r="C37" s="123"/>
      <c r="D37" s="123"/>
      <c r="E37" s="125"/>
      <c r="F37" s="13"/>
      <c r="G37" s="127"/>
      <c r="H37" s="127"/>
      <c r="I37" s="28" t="s">
        <v>32</v>
      </c>
    </row>
    <row r="38" spans="1:14" ht="26.25" thickBot="1" x14ac:dyDescent="0.3">
      <c r="B38" s="11" t="s">
        <v>54</v>
      </c>
      <c r="C38" s="53">
        <f>'Total Number Of Ind'!H7</f>
        <v>72</v>
      </c>
      <c r="D38" s="53">
        <f>'Total Number Of Ind'!I7</f>
        <v>48</v>
      </c>
      <c r="E38" s="53">
        <f>C38+D38</f>
        <v>120</v>
      </c>
      <c r="F38" s="53">
        <v>9</v>
      </c>
      <c r="G38" s="26">
        <f>C38/F38</f>
        <v>8</v>
      </c>
      <c r="H38" s="26">
        <f>D38/F38</f>
        <v>5.333333333333333</v>
      </c>
      <c r="I38" s="26">
        <f>E38/F38</f>
        <v>13.333333333333334</v>
      </c>
    </row>
    <row r="39" spans="1:14" ht="26.25" thickBot="1" x14ac:dyDescent="0.3">
      <c r="B39" s="11" t="s">
        <v>55</v>
      </c>
      <c r="C39" s="53">
        <f>'Total Number Of Ind'!H6</f>
        <v>352</v>
      </c>
      <c r="D39" s="53">
        <f>'Total Number Of Ind'!I6</f>
        <v>142</v>
      </c>
      <c r="E39" s="53">
        <f>C39+D39</f>
        <v>494</v>
      </c>
      <c r="F39" s="53">
        <v>10</v>
      </c>
      <c r="G39" s="26">
        <f t="shared" ref="G39:G44" si="3">C39/F39</f>
        <v>35.200000000000003</v>
      </c>
      <c r="H39" s="26">
        <f>D39/F39</f>
        <v>14.2</v>
      </c>
      <c r="I39" s="26">
        <f>E39/F39</f>
        <v>49.4</v>
      </c>
    </row>
    <row r="40" spans="1:14" ht="26.25" thickBot="1" x14ac:dyDescent="0.3">
      <c r="B40" s="11" t="s">
        <v>57</v>
      </c>
      <c r="C40" s="53">
        <f>'Total Number Of Ind'!H8</f>
        <v>79</v>
      </c>
      <c r="D40" s="53">
        <f>'Total Number Of Ind'!I8</f>
        <v>150</v>
      </c>
      <c r="E40" s="53">
        <f>C40+D40</f>
        <v>229</v>
      </c>
      <c r="F40" s="53">
        <v>15</v>
      </c>
      <c r="G40" s="26">
        <f t="shared" si="3"/>
        <v>5.2666666666666666</v>
      </c>
      <c r="H40" s="26">
        <f>D40/F40</f>
        <v>10</v>
      </c>
      <c r="I40" s="26">
        <f>E40/F40</f>
        <v>15.266666666666667</v>
      </c>
    </row>
    <row r="41" spans="1:14" ht="26.25" thickBot="1" x14ac:dyDescent="0.3">
      <c r="B41" s="11" t="s">
        <v>56</v>
      </c>
      <c r="C41" s="53">
        <f>'Total Number Of Ind'!H9</f>
        <v>6</v>
      </c>
      <c r="D41" s="53">
        <f>'Total Number Of Ind'!I9</f>
        <v>17</v>
      </c>
      <c r="E41" s="53">
        <f>C41+D41</f>
        <v>23</v>
      </c>
      <c r="F41" s="53">
        <v>9</v>
      </c>
      <c r="G41" s="26">
        <f t="shared" si="3"/>
        <v>0.66666666666666663</v>
      </c>
      <c r="H41" s="26">
        <f>D41/F41</f>
        <v>1.8888888888888888</v>
      </c>
      <c r="I41" s="26">
        <f>E41/F41</f>
        <v>2.5555555555555554</v>
      </c>
    </row>
    <row r="42" spans="1:14" ht="26.25" thickBot="1" x14ac:dyDescent="0.3">
      <c r="B42" s="11" t="s">
        <v>22</v>
      </c>
      <c r="C42" s="53">
        <f>SUM(C38:C41)</f>
        <v>509</v>
      </c>
      <c r="D42" s="53">
        <f>SUM(D38:D41)</f>
        <v>357</v>
      </c>
      <c r="E42" s="53">
        <f>SUM(E38:E41)</f>
        <v>866</v>
      </c>
      <c r="F42" s="53">
        <f>SUM(F38:F41)</f>
        <v>43</v>
      </c>
      <c r="G42" s="26">
        <f t="shared" si="3"/>
        <v>11.837209302325581</v>
      </c>
      <c r="H42" s="26">
        <f>D42/F42</f>
        <v>8.3023255813953494</v>
      </c>
      <c r="I42" s="26">
        <f>E42/F42</f>
        <v>20.13953488372093</v>
      </c>
    </row>
    <row r="43" spans="1:14" ht="15.75" thickBot="1" x14ac:dyDescent="0.3">
      <c r="B43" s="11"/>
      <c r="C43" s="53"/>
      <c r="D43" s="53"/>
      <c r="E43" s="53"/>
      <c r="F43" s="53"/>
      <c r="G43" s="26"/>
      <c r="H43" s="26"/>
      <c r="I43" s="26"/>
    </row>
    <row r="44" spans="1:14" ht="15.75" thickBot="1" x14ac:dyDescent="0.3">
      <c r="B44" s="11" t="s">
        <v>9</v>
      </c>
      <c r="C44" s="53">
        <f>'Total Number Of Ind'!H5</f>
        <v>228</v>
      </c>
      <c r="D44" s="53">
        <f>'Total Number Of Ind'!I5</f>
        <v>283</v>
      </c>
      <c r="E44" s="53">
        <f>C44+D44</f>
        <v>511</v>
      </c>
      <c r="F44" s="53">
        <v>37</v>
      </c>
      <c r="G44" s="26">
        <f t="shared" si="3"/>
        <v>6.1621621621621623</v>
      </c>
      <c r="H44" s="26">
        <f>D44/F44</f>
        <v>7.6486486486486482</v>
      </c>
      <c r="I44" s="26">
        <f>E44/F44</f>
        <v>13.810810810810811</v>
      </c>
    </row>
    <row r="45" spans="1:14" ht="15.75" thickBot="1" x14ac:dyDescent="0.3">
      <c r="B45" s="11" t="s">
        <v>196</v>
      </c>
      <c r="C45" s="53">
        <f>'Total Number Of Ind'!H10</f>
        <v>15</v>
      </c>
      <c r="D45" s="53">
        <f>'Total Number Of Ind'!I10</f>
        <v>19</v>
      </c>
      <c r="E45" s="53">
        <f>C45+D45</f>
        <v>34</v>
      </c>
      <c r="F45" s="53">
        <v>4</v>
      </c>
      <c r="G45" s="26">
        <f>C45/F45</f>
        <v>3.75</v>
      </c>
      <c r="H45" s="26">
        <f>D45/F45</f>
        <v>4.75</v>
      </c>
      <c r="I45" s="26">
        <f>E45/F45</f>
        <v>8.5</v>
      </c>
    </row>
    <row r="46" spans="1:14" ht="15.75" thickBot="1" x14ac:dyDescent="0.3"/>
    <row r="47" spans="1:14" x14ac:dyDescent="0.25">
      <c r="A47" t="s">
        <v>50</v>
      </c>
      <c r="B47" s="16"/>
      <c r="C47" s="99" t="s">
        <v>54</v>
      </c>
      <c r="D47" s="101"/>
      <c r="E47" s="99" t="s">
        <v>55</v>
      </c>
      <c r="F47" s="101"/>
      <c r="G47" s="99" t="s">
        <v>57</v>
      </c>
      <c r="H47" s="101"/>
      <c r="I47" s="99" t="s">
        <v>56</v>
      </c>
      <c r="J47" s="101"/>
      <c r="K47" s="99" t="s">
        <v>22</v>
      </c>
      <c r="L47" s="101"/>
      <c r="M47" s="19"/>
      <c r="N47" s="57"/>
    </row>
    <row r="48" spans="1:14" ht="15.75" thickBot="1" x14ac:dyDescent="0.3">
      <c r="B48" s="17"/>
      <c r="C48" s="105"/>
      <c r="D48" s="107"/>
      <c r="E48" s="105"/>
      <c r="F48" s="107"/>
      <c r="G48" s="105"/>
      <c r="H48" s="107"/>
      <c r="I48" s="105"/>
      <c r="J48" s="107"/>
      <c r="K48" s="105"/>
      <c r="L48" s="107"/>
      <c r="M48" s="20"/>
      <c r="N48" s="58"/>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9" t="s">
        <v>196</v>
      </c>
    </row>
    <row r="50" spans="1:14" ht="15.75" thickBot="1" x14ac:dyDescent="0.3">
      <c r="B50" s="18">
        <v>24</v>
      </c>
      <c r="C50" s="30">
        <v>9</v>
      </c>
      <c r="D50" s="49">
        <v>2.1514141414141412</v>
      </c>
      <c r="E50" s="30">
        <v>6.5</v>
      </c>
      <c r="F50" s="49">
        <v>7.9838383838383837</v>
      </c>
      <c r="G50" s="30">
        <v>15.266666666666667</v>
      </c>
      <c r="H50" s="49">
        <v>10.06116883116883</v>
      </c>
      <c r="I50" s="30">
        <v>5.1111111111111107</v>
      </c>
      <c r="J50" s="49">
        <v>1.0841919191919192</v>
      </c>
      <c r="K50" s="30">
        <v>9.7906976744186043</v>
      </c>
      <c r="L50" s="49">
        <v>5.9814393264138008</v>
      </c>
      <c r="M50" s="30">
        <v>10.135135135135135</v>
      </c>
      <c r="N50" s="30">
        <v>23.25</v>
      </c>
    </row>
    <row r="51" spans="1:14" ht="15.75" thickBot="1" x14ac:dyDescent="0.3">
      <c r="B51" s="18">
        <v>25</v>
      </c>
      <c r="C51" s="30">
        <v>2.7777777777777777</v>
      </c>
      <c r="D51" s="49">
        <v>7.3908513708513706</v>
      </c>
      <c r="E51" s="30">
        <v>3.1</v>
      </c>
      <c r="F51" s="49">
        <v>21.990909090909089</v>
      </c>
      <c r="G51" s="30">
        <v>20.571428571428573</v>
      </c>
      <c r="H51" s="49">
        <v>24.705624375624371</v>
      </c>
      <c r="I51" s="30">
        <v>3.4444444444444446</v>
      </c>
      <c r="J51" s="49">
        <v>3.4179292929292928</v>
      </c>
      <c r="K51" s="30">
        <v>8.9285714285714288</v>
      </c>
      <c r="L51" s="49">
        <v>15.771647425857656</v>
      </c>
      <c r="M51" s="30">
        <v>6.0810810810810807</v>
      </c>
      <c r="N51" s="30">
        <v>6.25</v>
      </c>
    </row>
    <row r="52" spans="1:14" ht="15.75" thickBot="1" x14ac:dyDescent="0.3">
      <c r="B52" s="18">
        <v>26</v>
      </c>
      <c r="C52" s="30">
        <v>18.888888888888889</v>
      </c>
      <c r="D52" s="49">
        <v>13.07030303030303</v>
      </c>
      <c r="E52" s="30">
        <v>17.7</v>
      </c>
      <c r="F52" s="49">
        <v>38.63636363636364</v>
      </c>
      <c r="G52" s="30">
        <v>38.333333333333336</v>
      </c>
      <c r="H52" s="49">
        <v>35.935194805194811</v>
      </c>
      <c r="I52" s="30">
        <v>31.333333333333332</v>
      </c>
      <c r="J52" s="49">
        <v>6.2105555555555556</v>
      </c>
      <c r="K52" s="30">
        <v>28</v>
      </c>
      <c r="L52" s="49">
        <v>25.251311814485383</v>
      </c>
      <c r="M52" s="30">
        <v>24.657894736842106</v>
      </c>
      <c r="N52" s="30">
        <v>49</v>
      </c>
    </row>
    <row r="53" spans="1:14" ht="15.75" thickBot="1" x14ac:dyDescent="0.3">
      <c r="B53" s="18">
        <v>27</v>
      </c>
      <c r="C53" s="30">
        <v>37.333333333333336</v>
      </c>
      <c r="D53" s="49">
        <v>26.795454545454547</v>
      </c>
      <c r="E53" s="30">
        <v>75</v>
      </c>
      <c r="F53" s="49">
        <v>63.193939393939381</v>
      </c>
      <c r="G53" s="30">
        <v>64.400000000000006</v>
      </c>
      <c r="H53" s="49">
        <v>44.381415251415248</v>
      </c>
      <c r="I53" s="30">
        <v>28.555555555555557</v>
      </c>
      <c r="J53" s="49">
        <v>9.7791414141414137</v>
      </c>
      <c r="K53" s="30">
        <v>53.697674418604649</v>
      </c>
      <c r="L53" s="49">
        <v>39.892625101373234</v>
      </c>
      <c r="M53" s="30">
        <v>42.5</v>
      </c>
      <c r="N53" s="30">
        <v>91.25</v>
      </c>
    </row>
    <row r="54" spans="1:14" ht="15.75" thickBot="1" x14ac:dyDescent="0.3">
      <c r="B54" s="18">
        <v>28</v>
      </c>
      <c r="C54" s="30">
        <v>44.777777777777779</v>
      </c>
      <c r="D54" s="49">
        <v>46.919090909090912</v>
      </c>
      <c r="E54" s="30">
        <v>90.5</v>
      </c>
      <c r="F54" s="49">
        <v>85.525000000000006</v>
      </c>
      <c r="G54" s="30">
        <v>80.466666666666669</v>
      </c>
      <c r="H54" s="49">
        <v>71.439696969696968</v>
      </c>
      <c r="I54" s="30">
        <v>23.333333333333332</v>
      </c>
      <c r="J54" s="49">
        <v>13.046414141414141</v>
      </c>
      <c r="K54" s="30">
        <v>63.372093023255815</v>
      </c>
      <c r="L54" s="49">
        <v>57.367660142844485</v>
      </c>
      <c r="M54" s="30">
        <v>65.810810810810807</v>
      </c>
      <c r="N54" s="30">
        <v>268.25</v>
      </c>
    </row>
    <row r="55" spans="1:14" ht="15.75" thickBot="1" x14ac:dyDescent="0.3">
      <c r="B55" s="18">
        <v>29</v>
      </c>
      <c r="C55" s="30">
        <v>39.555555555555557</v>
      </c>
      <c r="D55" s="49">
        <v>54.639747474747473</v>
      </c>
      <c r="E55" s="30">
        <v>19.399999999999999</v>
      </c>
      <c r="F55" s="49">
        <v>84.6141414141414</v>
      </c>
      <c r="G55" s="30">
        <v>44.733333333333334</v>
      </c>
      <c r="H55" s="49">
        <v>69.598831168831168</v>
      </c>
      <c r="I55" s="30">
        <v>24.777777777777779</v>
      </c>
      <c r="J55" s="49">
        <v>21.603434343434344</v>
      </c>
      <c r="K55" s="30">
        <v>33.581395348837212</v>
      </c>
      <c r="L55" s="49">
        <v>60.597046963833684</v>
      </c>
      <c r="M55" s="30">
        <v>43.432432432432435</v>
      </c>
      <c r="N55" s="30">
        <v>51</v>
      </c>
    </row>
    <row r="56" spans="1:14" ht="15.75" thickBot="1" x14ac:dyDescent="0.3">
      <c r="B56" s="18">
        <v>30</v>
      </c>
      <c r="C56" s="30">
        <v>42.555555555555557</v>
      </c>
      <c r="D56" s="49">
        <v>51.957474747474748</v>
      </c>
      <c r="E56" s="30">
        <v>77.599999999999994</v>
      </c>
      <c r="F56" s="49">
        <v>122.24141414141414</v>
      </c>
      <c r="G56" s="30">
        <v>22.066666666666666</v>
      </c>
      <c r="H56" s="49">
        <v>82.01917748917748</v>
      </c>
      <c r="I56" s="30">
        <v>14.666666666666666</v>
      </c>
      <c r="J56" s="49">
        <v>18.65383838383838</v>
      </c>
      <c r="K56" s="30">
        <v>37.720930232558139</v>
      </c>
      <c r="L56" s="49">
        <v>72.325490284908881</v>
      </c>
      <c r="M56" s="30">
        <v>30.756756756756758</v>
      </c>
      <c r="N56" s="30">
        <v>83.25</v>
      </c>
    </row>
    <row r="57" spans="1:14" ht="15.75" thickBot="1" x14ac:dyDescent="0.3">
      <c r="B57" s="18">
        <v>31</v>
      </c>
      <c r="C57" s="30">
        <v>39.555555555555557</v>
      </c>
      <c r="D57" s="49">
        <v>66.090606060606078</v>
      </c>
      <c r="E57" s="30">
        <v>66.7</v>
      </c>
      <c r="F57" s="49">
        <v>98.826446280991732</v>
      </c>
      <c r="G57" s="30">
        <v>52.666666666666664</v>
      </c>
      <c r="H57" s="49">
        <v>59.888295038295034</v>
      </c>
      <c r="I57" s="30">
        <v>29.333333333333332</v>
      </c>
      <c r="J57" s="49">
        <v>17.796079365079368</v>
      </c>
      <c r="K57" s="30">
        <v>48.302325581395351</v>
      </c>
      <c r="L57" s="49">
        <v>65.300227970723697</v>
      </c>
      <c r="M57" s="30">
        <v>33</v>
      </c>
      <c r="N57" s="30">
        <v>83.75</v>
      </c>
    </row>
    <row r="58" spans="1:14" ht="15.75" thickBot="1" x14ac:dyDescent="0.3">
      <c r="B58" s="18">
        <v>32</v>
      </c>
      <c r="C58" s="30">
        <v>62.111111111111114</v>
      </c>
      <c r="D58" s="49">
        <v>43.194444444444436</v>
      </c>
      <c r="E58" s="30">
        <v>64.2</v>
      </c>
      <c r="F58" s="49">
        <v>70.397979797979801</v>
      </c>
      <c r="G58" s="30">
        <v>41.266666666666666</v>
      </c>
      <c r="H58" s="49">
        <v>52.874688644688646</v>
      </c>
      <c r="I58" s="30">
        <v>19.555555555555557</v>
      </c>
      <c r="J58" s="49">
        <v>15.110151515151516</v>
      </c>
      <c r="K58" s="30">
        <v>46.418604651162788</v>
      </c>
      <c r="L58" s="49">
        <v>47.38993817669293</v>
      </c>
      <c r="M58" s="30">
        <v>32.486486486486484</v>
      </c>
      <c r="N58" s="30">
        <v>39.5</v>
      </c>
    </row>
    <row r="59" spans="1:14" ht="15.75" thickBot="1" x14ac:dyDescent="0.3">
      <c r="A59" s="31"/>
      <c r="B59" s="18">
        <v>33</v>
      </c>
      <c r="C59" s="30">
        <v>34.222222222222221</v>
      </c>
      <c r="D59" s="49">
        <v>29.544</v>
      </c>
      <c r="E59" s="30">
        <v>143.6</v>
      </c>
      <c r="F59" s="49">
        <v>58.413131313131316</v>
      </c>
      <c r="G59" s="30">
        <v>38.133333333333333</v>
      </c>
      <c r="H59" s="49">
        <v>36.888614718614718</v>
      </c>
      <c r="I59" s="30">
        <v>23.888888888888889</v>
      </c>
      <c r="J59" s="49">
        <v>9.2335555555555562</v>
      </c>
      <c r="K59" s="30">
        <v>58.860465116279073</v>
      </c>
      <c r="L59" s="49">
        <v>36.261287111451601</v>
      </c>
      <c r="M59" s="30">
        <v>28.945945945945947</v>
      </c>
      <c r="N59" s="30">
        <v>23.25</v>
      </c>
    </row>
    <row r="60" spans="1:14" ht="15.75" thickBot="1" x14ac:dyDescent="0.3">
      <c r="B60" s="18">
        <v>34</v>
      </c>
      <c r="C60" s="30">
        <v>20.666666666666668</v>
      </c>
      <c r="D60" s="49">
        <v>19.157031746031741</v>
      </c>
      <c r="E60" s="30">
        <v>37.299999999999997</v>
      </c>
      <c r="F60" s="49">
        <v>41.746212121212125</v>
      </c>
      <c r="G60" s="30">
        <v>23</v>
      </c>
      <c r="H60" s="49">
        <v>24.611904761904761</v>
      </c>
      <c r="I60" s="30">
        <v>7.7777777777777777</v>
      </c>
      <c r="J60" s="49">
        <v>6.8003333333333327</v>
      </c>
      <c r="K60" s="30">
        <v>22.651162790697676</v>
      </c>
      <c r="L60" s="49">
        <v>25.011849640077763</v>
      </c>
      <c r="M60" s="30">
        <v>12.684210526315789</v>
      </c>
      <c r="N60" s="30">
        <v>10.25</v>
      </c>
    </row>
    <row r="61" spans="1:14" ht="15.75" thickBot="1" x14ac:dyDescent="0.3">
      <c r="B61" s="18">
        <v>35</v>
      </c>
      <c r="C61" s="30">
        <v>13.333333333333334</v>
      </c>
      <c r="D61" s="49">
        <v>8.7274444444444441</v>
      </c>
      <c r="E61" s="30">
        <v>49.4</v>
      </c>
      <c r="F61" s="49">
        <v>18.967388167388165</v>
      </c>
      <c r="G61" s="30">
        <v>15.266666666666667</v>
      </c>
      <c r="H61" s="49">
        <v>12.713290043290044</v>
      </c>
      <c r="I61" s="30">
        <v>2.5555555555555554</v>
      </c>
      <c r="J61" s="49">
        <v>3.7185396825396828</v>
      </c>
      <c r="K61" s="30">
        <v>20.13953488372093</v>
      </c>
      <c r="L61" s="49">
        <v>11.601285362462235</v>
      </c>
      <c r="M61" s="30">
        <v>13.810810810810811</v>
      </c>
      <c r="N61" s="30">
        <v>8.5</v>
      </c>
    </row>
    <row r="62" spans="1:14" ht="15.75" thickBot="1" x14ac:dyDescent="0.3">
      <c r="B62" s="18">
        <v>36</v>
      </c>
      <c r="C62" s="30"/>
      <c r="D62" s="50">
        <v>11.002222222222221</v>
      </c>
      <c r="E62" s="30"/>
      <c r="F62" s="50">
        <v>22.15</v>
      </c>
      <c r="G62" s="30"/>
      <c r="H62" s="50">
        <v>6.7316666666666665</v>
      </c>
      <c r="I62" s="30"/>
      <c r="J62" s="50">
        <v>3.1111111111111112</v>
      </c>
      <c r="K62" s="30"/>
      <c r="L62" s="50">
        <v>10.453837209302325</v>
      </c>
      <c r="M62" s="30"/>
      <c r="N62" s="59"/>
    </row>
    <row r="63" spans="1:14" ht="15.75" thickBot="1" x14ac:dyDescent="0.3">
      <c r="B63" s="18">
        <v>37</v>
      </c>
      <c r="C63" s="21"/>
      <c r="D63" s="50">
        <v>12.057777777777778</v>
      </c>
      <c r="E63" s="21"/>
      <c r="F63" s="50">
        <v>10.600000000000001</v>
      </c>
      <c r="G63" s="21"/>
      <c r="H63" s="50">
        <v>4.8016666666666667</v>
      </c>
      <c r="I63" s="21"/>
      <c r="J63" s="50">
        <v>1.5572222222222223</v>
      </c>
      <c r="K63" s="21"/>
      <c r="L63" s="50">
        <v>6.9883720930232558</v>
      </c>
      <c r="M63" s="21"/>
      <c r="N63" s="59"/>
    </row>
    <row r="64" spans="1:14" ht="15.75" thickBot="1" x14ac:dyDescent="0.3"/>
    <row r="65" spans="1:20" x14ac:dyDescent="0.25">
      <c r="A65" t="s">
        <v>51</v>
      </c>
      <c r="B65" s="16"/>
      <c r="C65" s="99" t="s">
        <v>34</v>
      </c>
      <c r="D65" s="100"/>
      <c r="E65" s="101"/>
      <c r="F65" s="99" t="s">
        <v>35</v>
      </c>
      <c r="G65" s="100"/>
      <c r="H65" s="101"/>
      <c r="I65" s="99" t="s">
        <v>33</v>
      </c>
      <c r="J65" s="100"/>
      <c r="K65" s="101"/>
      <c r="L65" s="99" t="s">
        <v>37</v>
      </c>
      <c r="M65" s="100"/>
      <c r="N65" s="101"/>
      <c r="Q65" s="55"/>
      <c r="R65" s="65"/>
    </row>
    <row r="66" spans="1:20" x14ac:dyDescent="0.25">
      <c r="B66" s="17"/>
      <c r="C66" s="102"/>
      <c r="D66" s="103"/>
      <c r="E66" s="104"/>
      <c r="F66" s="102"/>
      <c r="G66" s="103"/>
      <c r="H66" s="104"/>
      <c r="I66" s="102" t="s">
        <v>36</v>
      </c>
      <c r="J66" s="108"/>
      <c r="K66" s="104"/>
      <c r="L66" s="102"/>
      <c r="M66" s="103"/>
      <c r="N66" s="104"/>
      <c r="Q66" s="55"/>
      <c r="R66" s="65"/>
    </row>
    <row r="67" spans="1:20" ht="15.75" thickBot="1" x14ac:dyDescent="0.3">
      <c r="B67" s="17"/>
      <c r="C67" s="105"/>
      <c r="D67" s="106"/>
      <c r="E67" s="107"/>
      <c r="F67" s="105"/>
      <c r="G67" s="106"/>
      <c r="H67" s="107"/>
      <c r="I67" s="109"/>
      <c r="J67" s="110"/>
      <c r="K67" s="111"/>
      <c r="L67" s="105"/>
      <c r="M67" s="106"/>
      <c r="N67" s="107"/>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3">
        <f>'Total Number Ind Examined '!I8</f>
        <v>113</v>
      </c>
      <c r="D69" s="53">
        <f>'Total Number Ind Examined '!J8</f>
        <v>48</v>
      </c>
      <c r="E69" s="53">
        <f>C69+D69</f>
        <v>161</v>
      </c>
      <c r="F69" s="54">
        <f>'Total Number of Pools Examined'!H8</f>
        <v>10</v>
      </c>
      <c r="G69" s="54">
        <f>'Total Number of Pools Examined'!I8</f>
        <v>9</v>
      </c>
      <c r="H69" s="54">
        <f>F69+G69</f>
        <v>19</v>
      </c>
      <c r="I69" s="54">
        <f>'Total Number of WNV + Pools'!G7</f>
        <v>1</v>
      </c>
      <c r="J69" s="54">
        <f>'Total Number of WNV + Pools'!H7</f>
        <v>0</v>
      </c>
      <c r="K69" s="54">
        <f>'Total Number of WNV + Pools'!I7</f>
        <v>1</v>
      </c>
      <c r="L69" s="30">
        <f>ZONEINFRATE!C2</f>
        <v>9.4457810276537657</v>
      </c>
      <c r="M69" s="30">
        <f>ZONEINFRATE!C3</f>
        <v>0</v>
      </c>
      <c r="N69" s="30">
        <v>6.6192941061907513</v>
      </c>
      <c r="P69" t="s">
        <v>191</v>
      </c>
      <c r="R69" s="31"/>
      <c r="S69" s="31"/>
      <c r="T69" s="31"/>
    </row>
    <row r="70" spans="1:20" ht="24.75" thickBot="1" x14ac:dyDescent="0.3">
      <c r="B70" s="18" t="s">
        <v>55</v>
      </c>
      <c r="C70" s="53">
        <f>'Total Number Ind Examined '!I7</f>
        <v>453</v>
      </c>
      <c r="D70" s="53">
        <f>'Total Number Ind Examined '!J7</f>
        <v>142</v>
      </c>
      <c r="E70" s="53">
        <f>C70+D70</f>
        <v>595</v>
      </c>
      <c r="F70" s="54">
        <f>'Total Number of Pools Examined'!H7</f>
        <v>17</v>
      </c>
      <c r="G70" s="54">
        <f>'Total Number of Pools Examined'!I7</f>
        <v>10</v>
      </c>
      <c r="H70" s="54">
        <f>F70+G70</f>
        <v>27</v>
      </c>
      <c r="I70" s="54">
        <f>'Total Number of WNV + Pools'!G8</f>
        <v>4</v>
      </c>
      <c r="J70" s="54">
        <f>'Total Number of WNV + Pools'!H8</f>
        <v>1</v>
      </c>
      <c r="K70" s="54">
        <f>'Total Number of WNV + Pools'!I8</f>
        <v>5</v>
      </c>
      <c r="L70" s="30">
        <f>ZONEINFRATE!C4</f>
        <v>9.1646092103112959</v>
      </c>
      <c r="M70" s="30">
        <f>ZONEINFRATE!C5</f>
        <v>7.7368742677849198</v>
      </c>
      <c r="N70" s="30">
        <v>9.094878647414701</v>
      </c>
      <c r="R70" s="31"/>
      <c r="S70" s="31"/>
      <c r="T70" s="31"/>
    </row>
    <row r="71" spans="1:20" ht="24.75" thickBot="1" x14ac:dyDescent="0.3">
      <c r="B71" s="18" t="s">
        <v>57</v>
      </c>
      <c r="C71" s="53">
        <f>'Total Number Ind Examined '!I9</f>
        <v>189</v>
      </c>
      <c r="D71" s="53">
        <f>'Total Number Ind Examined '!J9</f>
        <v>150</v>
      </c>
      <c r="E71" s="53">
        <f>C71+D71</f>
        <v>339</v>
      </c>
      <c r="F71" s="54">
        <f>'Total Number of Pools Examined'!H9</f>
        <v>12</v>
      </c>
      <c r="G71" s="54">
        <f>'Total Number of Pools Examined'!I9</f>
        <v>13</v>
      </c>
      <c r="H71" s="54">
        <f>F71+G71</f>
        <v>25</v>
      </c>
      <c r="I71" s="54">
        <f>'Total Number of WNV + Pools'!G9</f>
        <v>5</v>
      </c>
      <c r="J71" s="54">
        <f>'Total Number of WNV + Pools'!H9</f>
        <v>3</v>
      </c>
      <c r="K71" s="54">
        <f>'Total Number of WNV + Pools'!I9</f>
        <v>8</v>
      </c>
      <c r="L71" s="30">
        <f>ZONEINFRATE!C6</f>
        <v>53.050611256864251</v>
      </c>
      <c r="M71" s="30">
        <f>ZONEINFRATE!C7</f>
        <v>22.80505539062322</v>
      </c>
      <c r="N71" s="30">
        <v>35.778171873396154</v>
      </c>
      <c r="R71" s="31"/>
      <c r="S71" s="31"/>
      <c r="T71" s="31"/>
    </row>
    <row r="72" spans="1:20" ht="24.75" thickBot="1" x14ac:dyDescent="0.3">
      <c r="B72" s="18" t="s">
        <v>56</v>
      </c>
      <c r="C72" s="53">
        <f>'Total Number Ind Examined '!I10</f>
        <v>25</v>
      </c>
      <c r="D72" s="53">
        <f>'Total Number Ind Examined '!J10</f>
        <v>17</v>
      </c>
      <c r="E72" s="53">
        <f>C72+D72</f>
        <v>42</v>
      </c>
      <c r="F72" s="54">
        <f>'Total Number of Pools Examined'!H10</f>
        <v>5</v>
      </c>
      <c r="G72" s="54">
        <f>'Total Number of Pools Examined'!I10</f>
        <v>7</v>
      </c>
      <c r="H72" s="54">
        <f>F72+G72</f>
        <v>12</v>
      </c>
      <c r="I72" s="54">
        <f>'Total Number of WNV + Pools'!G10</f>
        <v>1</v>
      </c>
      <c r="J72" s="54">
        <f>'Total Number of WNV + Pools'!H10</f>
        <v>0</v>
      </c>
      <c r="K72" s="54">
        <f>'Total Number of WNV + Pools'!I10</f>
        <v>1</v>
      </c>
      <c r="L72" s="30">
        <f>ZONEINFRATE!C8</f>
        <v>44.351154622831956</v>
      </c>
      <c r="M72" s="30">
        <f>ZONEINFRATE!C9</f>
        <v>0</v>
      </c>
      <c r="N72" s="30">
        <v>25.861259992026199</v>
      </c>
      <c r="R72" s="31"/>
      <c r="S72" s="31"/>
      <c r="T72" s="31"/>
    </row>
    <row r="73" spans="1:20" ht="24.75" thickBot="1" x14ac:dyDescent="0.3">
      <c r="B73" s="18" t="s">
        <v>22</v>
      </c>
      <c r="C73" s="53">
        <f>SUM(C69:C72)</f>
        <v>780</v>
      </c>
      <c r="D73" s="53">
        <f>SUM(D69:D72)</f>
        <v>357</v>
      </c>
      <c r="E73" s="53">
        <f>C73+D73</f>
        <v>1137</v>
      </c>
      <c r="F73" s="54">
        <f t="shared" ref="F73:K73" si="4">SUM(F69:F72)</f>
        <v>44</v>
      </c>
      <c r="G73" s="54">
        <f t="shared" si="4"/>
        <v>39</v>
      </c>
      <c r="H73" s="54">
        <f>F73+G73</f>
        <v>83</v>
      </c>
      <c r="I73" s="54">
        <f t="shared" si="4"/>
        <v>11</v>
      </c>
      <c r="J73" s="54">
        <f t="shared" si="4"/>
        <v>4</v>
      </c>
      <c r="K73" s="54">
        <f t="shared" si="4"/>
        <v>15</v>
      </c>
      <c r="L73" s="30">
        <f>CITYINFRATE!C2</f>
        <v>17.05583449729993</v>
      </c>
      <c r="M73" s="30">
        <f>CITYINFRATE!C3</f>
        <v>12.817319972815671</v>
      </c>
      <c r="N73" s="30">
        <v>15.870961480433085</v>
      </c>
      <c r="P73" s="31" t="s">
        <v>190</v>
      </c>
      <c r="Q73" s="55"/>
      <c r="R73" s="65"/>
      <c r="S73" s="31"/>
      <c r="T73" s="31"/>
    </row>
    <row r="74" spans="1:20" ht="15.75" thickBot="1" x14ac:dyDescent="0.3">
      <c r="B74" s="18"/>
      <c r="C74" s="54"/>
      <c r="D74" s="54"/>
      <c r="E74" s="54"/>
      <c r="F74" s="54"/>
      <c r="G74" s="54"/>
      <c r="H74" s="54"/>
      <c r="I74" s="54"/>
      <c r="J74" s="54"/>
      <c r="K74" s="54"/>
      <c r="L74" s="30"/>
      <c r="M74" s="30"/>
      <c r="N74" s="30"/>
      <c r="P74" s="31"/>
      <c r="R74" s="31"/>
      <c r="S74" s="31"/>
    </row>
    <row r="75" spans="1:20" ht="15.75" thickBot="1" x14ac:dyDescent="0.3">
      <c r="B75" s="18" t="s">
        <v>9</v>
      </c>
      <c r="C75" s="54">
        <f>'Total Number Ind Examined '!I6</f>
        <v>23</v>
      </c>
      <c r="D75" s="54">
        <f>'Total Number Ind Examined '!J6</f>
        <v>86</v>
      </c>
      <c r="E75" s="54">
        <f>C75+D75</f>
        <v>109</v>
      </c>
      <c r="F75" s="54">
        <f>'Total Number of Pools Examined'!H6</f>
        <v>5</v>
      </c>
      <c r="G75" s="54">
        <f>'Total Number of Pools Examined'!I6</f>
        <v>5</v>
      </c>
      <c r="H75" s="54">
        <f>F75+G75</f>
        <v>10</v>
      </c>
      <c r="I75" s="54">
        <f>'Total Number of WNV + Pools'!G11</f>
        <v>0</v>
      </c>
      <c r="J75" s="54">
        <f>'Total Number of WNV + Pools'!H11</f>
        <v>0</v>
      </c>
      <c r="K75" s="54">
        <f>I75+J75</f>
        <v>0</v>
      </c>
      <c r="L75" s="30">
        <f>CITYINFRATE!C4</f>
        <v>0</v>
      </c>
      <c r="M75" s="30">
        <f>CITYINFRATE!C5</f>
        <v>0</v>
      </c>
      <c r="N75" s="30">
        <v>0</v>
      </c>
      <c r="R75" s="31"/>
      <c r="S75" s="31"/>
      <c r="T75" s="31"/>
    </row>
    <row r="76" spans="1:20" ht="15.75" thickBot="1" x14ac:dyDescent="0.3">
      <c r="B76" s="18" t="s">
        <v>196</v>
      </c>
      <c r="C76" s="54">
        <f>'Total Number Ind Examined '!I11</f>
        <v>15</v>
      </c>
      <c r="D76" s="54">
        <f>'Total Number Ind Examined '!J11</f>
        <v>19</v>
      </c>
      <c r="E76" s="54">
        <f>C76+D76</f>
        <v>34</v>
      </c>
      <c r="F76" s="54">
        <f>'Total Number of Pools Examined'!H11</f>
        <v>2</v>
      </c>
      <c r="G76" s="54">
        <f>'Total Number of Pools Examined'!I11</f>
        <v>3</v>
      </c>
      <c r="H76" s="54">
        <f>F76+G76</f>
        <v>5</v>
      </c>
      <c r="I76" s="54">
        <f>'Total Number of WNV + Pools'!G12</f>
        <v>0</v>
      </c>
      <c r="J76" s="54">
        <f>'Total Number of WNV + Pools'!H12</f>
        <v>0</v>
      </c>
      <c r="K76" s="54">
        <f>I76+J76</f>
        <v>0</v>
      </c>
      <c r="L76" s="30">
        <f>CITYINFRATE!C6</f>
        <v>0</v>
      </c>
      <c r="M76" s="30">
        <f>CITYINFRATE!C7</f>
        <v>0</v>
      </c>
      <c r="N76" s="30">
        <v>0</v>
      </c>
      <c r="R76" s="31"/>
      <c r="S76" s="31"/>
      <c r="T76" s="31"/>
    </row>
    <row r="77" spans="1:20" ht="15.75" thickBot="1" x14ac:dyDescent="0.3">
      <c r="R77" s="31"/>
      <c r="S77" s="65"/>
      <c r="T77" s="31"/>
    </row>
    <row r="78" spans="1:20" x14ac:dyDescent="0.25">
      <c r="A78" t="s">
        <v>52</v>
      </c>
      <c r="B78" s="16"/>
      <c r="C78" s="99" t="s">
        <v>54</v>
      </c>
      <c r="D78" s="101"/>
      <c r="E78" s="99" t="s">
        <v>55</v>
      </c>
      <c r="F78" s="101"/>
      <c r="G78" s="99" t="s">
        <v>57</v>
      </c>
      <c r="H78" s="101"/>
      <c r="I78" s="99" t="s">
        <v>56</v>
      </c>
      <c r="J78" s="101"/>
      <c r="K78" s="99" t="s">
        <v>22</v>
      </c>
      <c r="L78" s="101"/>
      <c r="M78" s="19"/>
      <c r="N78" s="57"/>
      <c r="S78" s="31"/>
    </row>
    <row r="79" spans="1:20" ht="15.75" thickBot="1" x14ac:dyDescent="0.3">
      <c r="B79" s="17"/>
      <c r="C79" s="105"/>
      <c r="D79" s="107"/>
      <c r="E79" s="105"/>
      <c r="F79" s="107"/>
      <c r="G79" s="105"/>
      <c r="H79" s="107"/>
      <c r="I79" s="105"/>
      <c r="J79" s="107"/>
      <c r="K79" s="105"/>
      <c r="L79" s="107"/>
      <c r="M79" s="20"/>
      <c r="N79" s="58"/>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9" t="s">
        <v>196</v>
      </c>
      <c r="S80" s="31"/>
    </row>
    <row r="81" spans="2:16" ht="15.75" thickBot="1" x14ac:dyDescent="0.3">
      <c r="B81" s="18">
        <v>24</v>
      </c>
      <c r="C81" s="30">
        <v>0</v>
      </c>
      <c r="D81" s="51">
        <v>0</v>
      </c>
      <c r="E81" s="30">
        <v>0</v>
      </c>
      <c r="F81" s="51">
        <v>0</v>
      </c>
      <c r="G81" s="30">
        <v>0</v>
      </c>
      <c r="H81" s="51">
        <v>1.2472072858905063</v>
      </c>
      <c r="I81" s="30">
        <v>0</v>
      </c>
      <c r="J81" s="51">
        <v>0</v>
      </c>
      <c r="K81" s="30">
        <v>0</v>
      </c>
      <c r="L81" s="51">
        <v>0.47670567439784933</v>
      </c>
      <c r="M81" s="30">
        <v>0</v>
      </c>
      <c r="N81" s="30">
        <v>0</v>
      </c>
    </row>
    <row r="82" spans="2:16" ht="15.75" thickBot="1" x14ac:dyDescent="0.3">
      <c r="B82" s="18">
        <v>25</v>
      </c>
      <c r="C82" s="30">
        <v>0</v>
      </c>
      <c r="D82" s="51">
        <v>0</v>
      </c>
      <c r="E82" s="30">
        <v>0</v>
      </c>
      <c r="F82" s="51">
        <v>0.62229589194158752</v>
      </c>
      <c r="G82" s="30">
        <v>0</v>
      </c>
      <c r="H82" s="51">
        <v>0</v>
      </c>
      <c r="I82" s="30">
        <v>0</v>
      </c>
      <c r="J82" s="51">
        <v>0</v>
      </c>
      <c r="K82" s="30">
        <v>0</v>
      </c>
      <c r="L82" s="51">
        <v>7.4522340113698571E-2</v>
      </c>
      <c r="M82" s="30">
        <v>0</v>
      </c>
      <c r="N82" s="30">
        <v>0</v>
      </c>
    </row>
    <row r="83" spans="2:16" ht="15.75" thickBot="1" x14ac:dyDescent="0.3">
      <c r="B83" s="18">
        <v>26</v>
      </c>
      <c r="C83" s="30">
        <v>0</v>
      </c>
      <c r="D83" s="51">
        <v>0</v>
      </c>
      <c r="E83" s="30">
        <v>0</v>
      </c>
      <c r="F83" s="51">
        <v>0.10800000000000001</v>
      </c>
      <c r="G83" s="30">
        <v>0</v>
      </c>
      <c r="H83" s="51">
        <v>0.42885071798523788</v>
      </c>
      <c r="I83" s="30">
        <v>0</v>
      </c>
      <c r="J83" s="51">
        <v>0.43829700185629189</v>
      </c>
      <c r="K83" s="30">
        <v>0</v>
      </c>
      <c r="L83" s="51">
        <v>0.26639604526763649</v>
      </c>
      <c r="M83" s="30">
        <v>0</v>
      </c>
      <c r="N83" s="30">
        <v>0</v>
      </c>
    </row>
    <row r="84" spans="2:16" ht="15.75" thickBot="1" x14ac:dyDescent="0.3">
      <c r="B84" s="18">
        <v>27</v>
      </c>
      <c r="C84" s="30">
        <v>0</v>
      </c>
      <c r="D84" s="51">
        <v>0</v>
      </c>
      <c r="E84" s="30">
        <v>0</v>
      </c>
      <c r="F84" s="51">
        <v>0.242731298767248</v>
      </c>
      <c r="G84" s="30">
        <v>0</v>
      </c>
      <c r="H84" s="51">
        <v>0.43733714662671264</v>
      </c>
      <c r="I84" s="30">
        <v>0</v>
      </c>
      <c r="J84" s="51">
        <v>0</v>
      </c>
      <c r="K84" s="30">
        <v>0</v>
      </c>
      <c r="L84" s="51">
        <v>0.31429587936381637</v>
      </c>
      <c r="M84" s="30">
        <v>0</v>
      </c>
      <c r="N84" s="30">
        <v>0</v>
      </c>
    </row>
    <row r="85" spans="2:16" ht="15.75" thickBot="1" x14ac:dyDescent="0.3">
      <c r="B85" s="18">
        <v>28</v>
      </c>
      <c r="C85" s="30">
        <v>0</v>
      </c>
      <c r="D85" s="51">
        <v>0</v>
      </c>
      <c r="E85" s="30">
        <v>0</v>
      </c>
      <c r="F85" s="51">
        <v>0.50461428450807877</v>
      </c>
      <c r="G85" s="30">
        <v>0</v>
      </c>
      <c r="H85" s="51">
        <v>0.86992134315787484</v>
      </c>
      <c r="I85" s="30">
        <v>3.83</v>
      </c>
      <c r="J85" s="51">
        <v>0.39808970183474474</v>
      </c>
      <c r="K85" s="30">
        <v>0.28000000000000003</v>
      </c>
      <c r="L85" s="51">
        <v>0.56073485321216832</v>
      </c>
      <c r="M85" s="30">
        <v>0</v>
      </c>
      <c r="N85" s="30">
        <v>0.99</v>
      </c>
    </row>
    <row r="86" spans="2:16" ht="15.75" thickBot="1" x14ac:dyDescent="0.3">
      <c r="B86" s="18">
        <v>29</v>
      </c>
      <c r="C86" s="30">
        <v>0</v>
      </c>
      <c r="D86" s="51">
        <v>1.6687095307346815</v>
      </c>
      <c r="E86" s="30">
        <v>0</v>
      </c>
      <c r="F86" s="51">
        <v>1.2507548575258618</v>
      </c>
      <c r="G86" s="30">
        <v>0.75681825759270993</v>
      </c>
      <c r="H86" s="51">
        <v>2.8111980103345364</v>
      </c>
      <c r="I86" s="30">
        <v>3.7314182578420474</v>
      </c>
      <c r="J86" s="51">
        <v>0.95553120782386325</v>
      </c>
      <c r="K86" s="30">
        <v>0.89184172423275587</v>
      </c>
      <c r="L86" s="51">
        <v>1.8253162555598748</v>
      </c>
      <c r="M86" s="30">
        <v>4.3829069901003246</v>
      </c>
      <c r="N86" s="30">
        <v>0</v>
      </c>
    </row>
    <row r="87" spans="2:16" ht="15.75" thickBot="1" x14ac:dyDescent="0.3">
      <c r="B87" s="18">
        <v>30</v>
      </c>
      <c r="C87" s="30">
        <v>3.5233797392502408</v>
      </c>
      <c r="D87" s="51">
        <v>2.5322173403673207</v>
      </c>
      <c r="E87" s="30">
        <v>0</v>
      </c>
      <c r="F87" s="51">
        <v>1.8860481685571775</v>
      </c>
      <c r="G87" s="30">
        <v>1.7534030013403099</v>
      </c>
      <c r="H87" s="51">
        <v>4.4741714440776486</v>
      </c>
      <c r="I87" s="30">
        <v>0</v>
      </c>
      <c r="J87" s="51">
        <v>2.9442672357644679</v>
      </c>
      <c r="K87" s="30">
        <v>1.6462307931908777</v>
      </c>
      <c r="L87" s="51">
        <v>2.9927162013616315</v>
      </c>
      <c r="M87" s="30">
        <v>4.9770026387837687</v>
      </c>
      <c r="N87" s="30">
        <v>3.0203333588803107</v>
      </c>
    </row>
    <row r="88" spans="2:16" ht="15.75" thickBot="1" x14ac:dyDescent="0.3">
      <c r="B88" s="18">
        <v>31</v>
      </c>
      <c r="C88" s="30">
        <v>3.1424183514348791</v>
      </c>
      <c r="D88" s="51">
        <v>4.0287896661990432</v>
      </c>
      <c r="E88" s="30">
        <v>0</v>
      </c>
      <c r="F88" s="51">
        <v>2.1836936507916049</v>
      </c>
      <c r="G88" s="30">
        <v>7.857168953083856</v>
      </c>
      <c r="H88" s="51">
        <v>4.6416948205161583</v>
      </c>
      <c r="I88" s="30">
        <v>3.6607672969966893</v>
      </c>
      <c r="J88" s="51">
        <v>3.3338616711096623</v>
      </c>
      <c r="K88" s="30">
        <v>4.2271818577353413</v>
      </c>
      <c r="L88" s="51">
        <v>3.4216226302893888</v>
      </c>
      <c r="M88" s="30">
        <v>0</v>
      </c>
      <c r="N88" s="30">
        <v>3.009427781635293</v>
      </c>
    </row>
    <row r="89" spans="2:16" ht="15.75" thickBot="1" x14ac:dyDescent="0.3">
      <c r="B89" s="18">
        <v>32</v>
      </c>
      <c r="C89" s="30">
        <v>3.1524928692965983</v>
      </c>
      <c r="D89" s="51">
        <v>4.2052013030789741</v>
      </c>
      <c r="E89" s="30">
        <v>1.0549178031357553</v>
      </c>
      <c r="F89" s="51">
        <v>6.0876753776149366</v>
      </c>
      <c r="G89" s="30">
        <v>6.7186468418170033</v>
      </c>
      <c r="H89" s="51">
        <v>8.1450216800139241</v>
      </c>
      <c r="I89" s="30">
        <v>4.0820409574351517</v>
      </c>
      <c r="J89" s="51">
        <v>10.168546857553956</v>
      </c>
      <c r="K89" s="30">
        <v>3.7447004156879609</v>
      </c>
      <c r="L89" s="51">
        <v>6.2576537019252463</v>
      </c>
      <c r="M89" s="30">
        <v>7.5743493552644772</v>
      </c>
      <c r="N89" s="30">
        <v>6.4530480942392687</v>
      </c>
    </row>
    <row r="90" spans="2:16" ht="15.75" thickBot="1" x14ac:dyDescent="0.3">
      <c r="B90" s="18">
        <v>33</v>
      </c>
      <c r="C90" s="30">
        <v>6.1668561206649883</v>
      </c>
      <c r="D90" s="51">
        <v>7.5557559654764654</v>
      </c>
      <c r="E90" s="30">
        <v>3.3524466232059451</v>
      </c>
      <c r="F90" s="51">
        <v>7.1160569117854493</v>
      </c>
      <c r="G90" s="30">
        <v>10.869750236936875</v>
      </c>
      <c r="H90" s="51">
        <v>10.125551421735697</v>
      </c>
      <c r="I90" s="30">
        <v>21.50359749747448</v>
      </c>
      <c r="J90" s="51">
        <v>5.5014284829638518</v>
      </c>
      <c r="K90" s="30">
        <v>7.1726274814192772</v>
      </c>
      <c r="L90" s="51">
        <v>8.2891179480654991</v>
      </c>
      <c r="M90" s="30">
        <v>9.9535029031816702</v>
      </c>
      <c r="N90" s="30">
        <v>0</v>
      </c>
    </row>
    <row r="91" spans="2:16" ht="15.75" thickBot="1" x14ac:dyDescent="0.3">
      <c r="B91" s="18">
        <v>34</v>
      </c>
      <c r="C91" s="30">
        <v>10.145778845320248</v>
      </c>
      <c r="D91" s="51">
        <v>7.5146654315554207</v>
      </c>
      <c r="E91" s="30">
        <v>7.107480568477933</v>
      </c>
      <c r="F91" s="51">
        <v>4.2534614243031124</v>
      </c>
      <c r="G91" s="30">
        <v>10.540728375665005</v>
      </c>
      <c r="H91" s="51">
        <v>11.553235928058379</v>
      </c>
      <c r="I91" s="30">
        <v>7.5275706228040251</v>
      </c>
      <c r="J91" s="51">
        <v>10.434117019439311</v>
      </c>
      <c r="K91" s="30">
        <v>9.3654447012597473</v>
      </c>
      <c r="L91" s="51">
        <v>7.9367037472016841</v>
      </c>
      <c r="M91" s="30">
        <v>0</v>
      </c>
      <c r="N91" s="30">
        <v>0</v>
      </c>
      <c r="P91" s="31"/>
    </row>
    <row r="92" spans="2:16" ht="15.75" thickBot="1" x14ac:dyDescent="0.3">
      <c r="B92" s="18">
        <v>35</v>
      </c>
      <c r="C92" s="30">
        <v>6.6192941061907513</v>
      </c>
      <c r="D92" s="51">
        <v>9.6979924998127061</v>
      </c>
      <c r="E92" s="30">
        <v>9.094878647414701</v>
      </c>
      <c r="F92" s="51">
        <v>5.9920261646490811</v>
      </c>
      <c r="G92" s="30">
        <v>35.778171873396154</v>
      </c>
      <c r="H92" s="51">
        <v>15.630470474373897</v>
      </c>
      <c r="I92" s="30">
        <v>25.861259992026199</v>
      </c>
      <c r="J92" s="51">
        <v>45.885908436928389</v>
      </c>
      <c r="K92" s="30">
        <v>15.870961480433085</v>
      </c>
      <c r="L92" s="51">
        <v>11.121404412424742</v>
      </c>
      <c r="M92" s="30">
        <v>0</v>
      </c>
      <c r="N92" s="30">
        <v>0</v>
      </c>
    </row>
    <row r="93" spans="2:16" ht="15.75" thickBot="1" x14ac:dyDescent="0.3">
      <c r="B93" s="18">
        <v>36</v>
      </c>
      <c r="C93" s="30"/>
      <c r="D93" s="52">
        <v>10.96</v>
      </c>
      <c r="E93" s="30"/>
      <c r="F93" s="52">
        <v>2.4300000000000002</v>
      </c>
      <c r="G93" s="30"/>
      <c r="H93" s="52">
        <v>0</v>
      </c>
      <c r="I93" s="30"/>
      <c r="J93" s="52">
        <v>0</v>
      </c>
      <c r="K93" s="30"/>
      <c r="L93" s="52">
        <v>1.68</v>
      </c>
      <c r="M93" s="30"/>
      <c r="N93" s="96"/>
    </row>
    <row r="94" spans="2:16" ht="15.75" thickBot="1" x14ac:dyDescent="0.3">
      <c r="B94" s="18">
        <v>37</v>
      </c>
      <c r="C94" s="96"/>
      <c r="D94" s="50">
        <v>2.2112860453990315</v>
      </c>
      <c r="E94" s="96"/>
      <c r="F94" s="50">
        <v>2.52</v>
      </c>
      <c r="G94" s="96"/>
      <c r="H94" s="50">
        <v>1.85</v>
      </c>
      <c r="I94" s="96"/>
      <c r="J94" s="50">
        <v>0</v>
      </c>
      <c r="K94" s="96"/>
      <c r="L94" s="50">
        <v>3.0122452035621778</v>
      </c>
      <c r="M94" s="96"/>
      <c r="N94" s="96"/>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25" right="0.25" top="0.75" bottom="0.75" header="0.3" footer="0.3"/>
  <pageSetup scale="7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opLeftCell="A60" zoomScaleNormal="100" workbookViewId="0">
      <selection activeCell="W7" sqref="W7"/>
    </sheetView>
  </sheetViews>
  <sheetFormatPr defaultRowHeight="11.25" x14ac:dyDescent="0.25"/>
  <cols>
    <col min="1" max="1" width="11.28515625" style="78" customWidth="1"/>
    <col min="2" max="2" width="14.5703125" style="36" customWidth="1"/>
    <col min="3" max="3" width="9.42578125" style="36" bestFit="1" customWidth="1"/>
    <col min="4" max="4" width="6.5703125" style="70" bestFit="1" customWidth="1"/>
    <col min="5" max="5" width="13" style="68"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4" customWidth="1"/>
    <col min="15" max="15" width="7.42578125" style="74" customWidth="1"/>
    <col min="16" max="16" width="7.140625" style="74" customWidth="1"/>
    <col min="17" max="17" width="11.140625" style="36" customWidth="1"/>
    <col min="18" max="18" width="10.7109375" style="36" customWidth="1"/>
    <col min="19" max="19" width="13.7109375" style="36" customWidth="1"/>
    <col min="20" max="21" width="9.140625" style="36"/>
    <col min="22" max="22" width="9.140625" style="56"/>
    <col min="23" max="23" width="9.140625" style="36"/>
    <col min="24" max="26" width="9.140625" style="56"/>
    <col min="27" max="27" width="9.140625" style="56" customWidth="1"/>
    <col min="28" max="28" width="9.140625" style="56"/>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5" t="s">
        <v>39</v>
      </c>
      <c r="B1" s="37" t="s">
        <v>78</v>
      </c>
      <c r="C1" s="37" t="s">
        <v>79</v>
      </c>
      <c r="D1" s="69" t="s">
        <v>8</v>
      </c>
      <c r="E1" s="66" t="s">
        <v>0</v>
      </c>
      <c r="F1" s="38" t="s">
        <v>40</v>
      </c>
      <c r="G1" s="38" t="s">
        <v>41</v>
      </c>
      <c r="H1" s="37" t="s">
        <v>80</v>
      </c>
      <c r="I1" s="37" t="s">
        <v>46</v>
      </c>
      <c r="J1" s="37" t="s">
        <v>81</v>
      </c>
      <c r="K1" s="37" t="s">
        <v>42</v>
      </c>
      <c r="L1" s="37" t="s">
        <v>82</v>
      </c>
      <c r="M1" s="37" t="s">
        <v>43</v>
      </c>
      <c r="N1" s="71" t="s">
        <v>83</v>
      </c>
      <c r="O1" s="71" t="s">
        <v>84</v>
      </c>
      <c r="P1" s="71" t="s">
        <v>44</v>
      </c>
      <c r="Q1" s="69" t="s">
        <v>85</v>
      </c>
      <c r="R1" s="37" t="s">
        <v>86</v>
      </c>
      <c r="S1" s="37" t="s">
        <v>45</v>
      </c>
      <c r="T1" s="39" t="s">
        <v>91</v>
      </c>
      <c r="U1" s="39" t="s">
        <v>92</v>
      </c>
      <c r="V1" s="81"/>
      <c r="X1" s="81"/>
      <c r="Y1" s="81"/>
      <c r="Z1" s="81"/>
      <c r="AA1" s="81"/>
      <c r="AB1" s="81"/>
    </row>
    <row r="2" spans="1:28" s="56" customFormat="1" x14ac:dyDescent="0.2">
      <c r="A2" s="72">
        <v>2018</v>
      </c>
      <c r="B2" s="60" t="s">
        <v>350</v>
      </c>
      <c r="C2" s="60">
        <v>22297</v>
      </c>
      <c r="D2" s="61">
        <v>35</v>
      </c>
      <c r="E2" s="80">
        <v>43339</v>
      </c>
      <c r="F2" s="60" t="s">
        <v>103</v>
      </c>
      <c r="G2" s="60" t="s">
        <v>9</v>
      </c>
      <c r="H2" s="60" t="s">
        <v>118</v>
      </c>
      <c r="I2" s="56" t="s">
        <v>9</v>
      </c>
      <c r="J2" s="60" t="s">
        <v>105</v>
      </c>
      <c r="K2" s="60" t="s">
        <v>106</v>
      </c>
      <c r="L2" s="60" t="s">
        <v>217</v>
      </c>
      <c r="M2" s="60" t="s">
        <v>107</v>
      </c>
      <c r="N2" s="72"/>
      <c r="O2" s="72">
        <v>4</v>
      </c>
      <c r="P2" s="72">
        <v>4</v>
      </c>
      <c r="Q2" s="62">
        <v>0</v>
      </c>
      <c r="R2" s="56" t="s">
        <v>311</v>
      </c>
      <c r="T2" s="56" t="s">
        <v>313</v>
      </c>
      <c r="U2" s="56" t="s">
        <v>313</v>
      </c>
    </row>
    <row r="3" spans="1:28" s="56" customFormat="1" x14ac:dyDescent="0.2">
      <c r="A3" s="72">
        <v>2018</v>
      </c>
      <c r="B3" s="60" t="s">
        <v>351</v>
      </c>
      <c r="C3" s="60">
        <v>22298</v>
      </c>
      <c r="D3" s="61">
        <v>35</v>
      </c>
      <c r="E3" s="80">
        <v>43339</v>
      </c>
      <c r="F3" s="60" t="s">
        <v>103</v>
      </c>
      <c r="G3" s="60" t="s">
        <v>9</v>
      </c>
      <c r="H3" s="60" t="s">
        <v>118</v>
      </c>
      <c r="I3" s="56" t="s">
        <v>9</v>
      </c>
      <c r="J3" s="60" t="s">
        <v>105</v>
      </c>
      <c r="K3" s="60" t="s">
        <v>106</v>
      </c>
      <c r="L3" s="60" t="s">
        <v>218</v>
      </c>
      <c r="M3" s="60" t="s">
        <v>107</v>
      </c>
      <c r="N3" s="72"/>
      <c r="O3" s="72">
        <v>3</v>
      </c>
      <c r="P3" s="72">
        <v>3</v>
      </c>
      <c r="Q3" s="62">
        <v>0</v>
      </c>
      <c r="R3" s="56" t="s">
        <v>311</v>
      </c>
      <c r="T3" s="56" t="s">
        <v>338</v>
      </c>
      <c r="U3" s="56" t="s">
        <v>338</v>
      </c>
    </row>
    <row r="4" spans="1:28" s="56" customFormat="1" x14ac:dyDescent="0.2">
      <c r="A4" s="72">
        <v>2018</v>
      </c>
      <c r="B4" s="60" t="s">
        <v>344</v>
      </c>
      <c r="C4" s="60">
        <v>22291</v>
      </c>
      <c r="D4" s="61">
        <v>35</v>
      </c>
      <c r="E4" s="80">
        <v>43339</v>
      </c>
      <c r="F4" s="60" t="s">
        <v>103</v>
      </c>
      <c r="G4" s="60" t="s">
        <v>9</v>
      </c>
      <c r="H4" s="60" t="s">
        <v>126</v>
      </c>
      <c r="I4" s="56" t="s">
        <v>9</v>
      </c>
      <c r="J4" s="60" t="s">
        <v>105</v>
      </c>
      <c r="K4" s="60" t="s">
        <v>106</v>
      </c>
      <c r="L4" s="60" t="s">
        <v>218</v>
      </c>
      <c r="M4" s="60" t="s">
        <v>107</v>
      </c>
      <c r="N4" s="72"/>
      <c r="O4" s="72">
        <v>2</v>
      </c>
      <c r="P4" s="72">
        <v>2</v>
      </c>
      <c r="Q4" s="62">
        <v>0</v>
      </c>
      <c r="R4" s="56" t="s">
        <v>311</v>
      </c>
      <c r="T4" s="56" t="s">
        <v>338</v>
      </c>
      <c r="U4" s="56" t="s">
        <v>338</v>
      </c>
    </row>
    <row r="5" spans="1:28" s="56" customFormat="1" x14ac:dyDescent="0.2">
      <c r="A5" s="72">
        <v>2018</v>
      </c>
      <c r="B5" s="60" t="s">
        <v>348</v>
      </c>
      <c r="C5" s="60">
        <v>22295</v>
      </c>
      <c r="D5" s="61">
        <v>35</v>
      </c>
      <c r="E5" s="80">
        <v>43339</v>
      </c>
      <c r="F5" s="60" t="s">
        <v>103</v>
      </c>
      <c r="G5" s="60" t="s">
        <v>9</v>
      </c>
      <c r="H5" s="60" t="s">
        <v>117</v>
      </c>
      <c r="I5" s="56" t="s">
        <v>9</v>
      </c>
      <c r="J5" s="60" t="s">
        <v>105</v>
      </c>
      <c r="K5" s="60" t="s">
        <v>106</v>
      </c>
      <c r="L5" s="60" t="s">
        <v>217</v>
      </c>
      <c r="M5" s="60" t="s">
        <v>107</v>
      </c>
      <c r="N5" s="72"/>
      <c r="O5" s="72">
        <v>16</v>
      </c>
      <c r="P5" s="72">
        <v>16</v>
      </c>
      <c r="Q5" s="62">
        <v>0</v>
      </c>
      <c r="R5" s="56" t="s">
        <v>311</v>
      </c>
      <c r="T5" s="56" t="s">
        <v>313</v>
      </c>
      <c r="U5" s="56" t="s">
        <v>313</v>
      </c>
    </row>
    <row r="6" spans="1:28" s="56" customFormat="1" x14ac:dyDescent="0.2">
      <c r="A6" s="72">
        <v>2018</v>
      </c>
      <c r="B6" s="60" t="s">
        <v>349</v>
      </c>
      <c r="C6" s="60">
        <v>22296</v>
      </c>
      <c r="D6" s="61">
        <v>35</v>
      </c>
      <c r="E6" s="80">
        <v>43339</v>
      </c>
      <c r="F6" s="60" t="s">
        <v>103</v>
      </c>
      <c r="G6" s="60" t="s">
        <v>9</v>
      </c>
      <c r="H6" s="60" t="s">
        <v>117</v>
      </c>
      <c r="I6" s="56" t="s">
        <v>9</v>
      </c>
      <c r="J6" s="60" t="s">
        <v>105</v>
      </c>
      <c r="K6" s="60" t="s">
        <v>106</v>
      </c>
      <c r="L6" s="60" t="s">
        <v>218</v>
      </c>
      <c r="M6" s="60" t="s">
        <v>107</v>
      </c>
      <c r="N6" s="72"/>
      <c r="O6" s="72">
        <v>2</v>
      </c>
      <c r="P6" s="72">
        <v>2</v>
      </c>
      <c r="Q6" s="62">
        <v>0</v>
      </c>
      <c r="R6" s="56" t="s">
        <v>311</v>
      </c>
      <c r="T6" s="56" t="s">
        <v>338</v>
      </c>
      <c r="U6" s="56" t="s">
        <v>338</v>
      </c>
    </row>
    <row r="7" spans="1:28" s="56" customFormat="1" x14ac:dyDescent="0.2">
      <c r="A7" s="72">
        <v>2018</v>
      </c>
      <c r="B7" s="60" t="s">
        <v>345</v>
      </c>
      <c r="C7" s="60">
        <v>22292</v>
      </c>
      <c r="D7" s="61">
        <v>35</v>
      </c>
      <c r="E7" s="80">
        <v>43339</v>
      </c>
      <c r="F7" s="60" t="s">
        <v>103</v>
      </c>
      <c r="G7" s="60" t="s">
        <v>9</v>
      </c>
      <c r="H7" s="60" t="s">
        <v>120</v>
      </c>
      <c r="I7" s="56" t="s">
        <v>9</v>
      </c>
      <c r="J7" s="60" t="s">
        <v>105</v>
      </c>
      <c r="K7" s="60" t="s">
        <v>106</v>
      </c>
      <c r="L7" s="60" t="s">
        <v>217</v>
      </c>
      <c r="M7" s="60" t="s">
        <v>107</v>
      </c>
      <c r="N7" s="72"/>
      <c r="O7" s="72">
        <v>15</v>
      </c>
      <c r="P7" s="72">
        <v>15</v>
      </c>
      <c r="Q7" s="62">
        <v>0</v>
      </c>
      <c r="R7" s="56" t="s">
        <v>311</v>
      </c>
      <c r="T7" s="56" t="s">
        <v>313</v>
      </c>
      <c r="U7" s="56" t="s">
        <v>313</v>
      </c>
    </row>
    <row r="8" spans="1:28" s="56" customFormat="1" x14ac:dyDescent="0.2">
      <c r="A8" s="72">
        <v>2018</v>
      </c>
      <c r="B8" s="60" t="s">
        <v>346</v>
      </c>
      <c r="C8" s="60">
        <v>22293</v>
      </c>
      <c r="D8" s="61">
        <v>35</v>
      </c>
      <c r="E8" s="80">
        <v>43339</v>
      </c>
      <c r="F8" s="60" t="s">
        <v>103</v>
      </c>
      <c r="G8" s="60" t="s">
        <v>9</v>
      </c>
      <c r="H8" s="60" t="s">
        <v>120</v>
      </c>
      <c r="I8" s="56" t="s">
        <v>9</v>
      </c>
      <c r="J8" s="60" t="s">
        <v>105</v>
      </c>
      <c r="K8" s="60" t="s">
        <v>106</v>
      </c>
      <c r="L8" s="60" t="s">
        <v>218</v>
      </c>
      <c r="M8" s="60" t="s">
        <v>107</v>
      </c>
      <c r="N8" s="72"/>
      <c r="O8" s="72">
        <v>8</v>
      </c>
      <c r="P8" s="72">
        <v>8</v>
      </c>
      <c r="Q8" s="62">
        <v>0</v>
      </c>
      <c r="R8" s="56" t="s">
        <v>311</v>
      </c>
      <c r="T8" s="56" t="s">
        <v>338</v>
      </c>
      <c r="U8" s="56" t="s">
        <v>338</v>
      </c>
    </row>
    <row r="9" spans="1:28" s="56" customFormat="1" x14ac:dyDescent="0.2">
      <c r="A9" s="72">
        <v>2018</v>
      </c>
      <c r="B9" s="60" t="s">
        <v>347</v>
      </c>
      <c r="C9" s="60">
        <v>22294</v>
      </c>
      <c r="D9" s="61">
        <v>35</v>
      </c>
      <c r="E9" s="80">
        <v>43339</v>
      </c>
      <c r="F9" s="60" t="s">
        <v>103</v>
      </c>
      <c r="G9" s="60" t="s">
        <v>9</v>
      </c>
      <c r="H9" s="60" t="s">
        <v>123</v>
      </c>
      <c r="I9" s="56" t="s">
        <v>9</v>
      </c>
      <c r="J9" s="60" t="s">
        <v>105</v>
      </c>
      <c r="K9" s="60" t="s">
        <v>106</v>
      </c>
      <c r="L9" s="60" t="s">
        <v>217</v>
      </c>
      <c r="M9" s="60" t="s">
        <v>107</v>
      </c>
      <c r="N9" s="72"/>
      <c r="O9" s="72">
        <v>3</v>
      </c>
      <c r="P9" s="72">
        <v>3</v>
      </c>
      <c r="Q9" s="62">
        <v>0</v>
      </c>
      <c r="R9" s="56" t="s">
        <v>311</v>
      </c>
      <c r="T9" s="56" t="s">
        <v>313</v>
      </c>
      <c r="U9" s="56" t="s">
        <v>313</v>
      </c>
    </row>
    <row r="10" spans="1:28" s="56" customFormat="1" x14ac:dyDescent="0.2">
      <c r="A10" s="72">
        <v>2018</v>
      </c>
      <c r="B10" s="60" t="s">
        <v>357</v>
      </c>
      <c r="C10" s="60">
        <v>22304</v>
      </c>
      <c r="D10" s="61">
        <v>35</v>
      </c>
      <c r="E10" s="80">
        <v>43340</v>
      </c>
      <c r="F10" s="60" t="s">
        <v>103</v>
      </c>
      <c r="G10" s="60" t="s">
        <v>9</v>
      </c>
      <c r="H10" s="60" t="s">
        <v>133</v>
      </c>
      <c r="I10" s="56" t="s">
        <v>9</v>
      </c>
      <c r="J10" s="60" t="s">
        <v>105</v>
      </c>
      <c r="K10" s="60" t="s">
        <v>106</v>
      </c>
      <c r="L10" s="60" t="s">
        <v>217</v>
      </c>
      <c r="M10" s="60" t="s">
        <v>107</v>
      </c>
      <c r="N10" s="72"/>
      <c r="O10" s="72">
        <v>48</v>
      </c>
      <c r="P10" s="72">
        <v>48</v>
      </c>
      <c r="Q10" s="62">
        <v>0</v>
      </c>
      <c r="R10" s="56" t="s">
        <v>311</v>
      </c>
      <c r="T10" s="56" t="s">
        <v>313</v>
      </c>
      <c r="U10" s="56" t="s">
        <v>313</v>
      </c>
    </row>
    <row r="11" spans="1:28" s="56" customFormat="1" x14ac:dyDescent="0.2">
      <c r="A11" s="72">
        <v>2018</v>
      </c>
      <c r="B11" s="60" t="s">
        <v>358</v>
      </c>
      <c r="C11" s="60">
        <v>22305</v>
      </c>
      <c r="D11" s="61">
        <v>35</v>
      </c>
      <c r="E11" s="80">
        <v>43340</v>
      </c>
      <c r="F11" s="60" t="s">
        <v>103</v>
      </c>
      <c r="G11" s="60" t="s">
        <v>9</v>
      </c>
      <c r="H11" s="60" t="s">
        <v>133</v>
      </c>
      <c r="I11" s="56" t="s">
        <v>9</v>
      </c>
      <c r="J11" s="60" t="s">
        <v>105</v>
      </c>
      <c r="K11" s="60" t="s">
        <v>106</v>
      </c>
      <c r="L11" s="60" t="s">
        <v>218</v>
      </c>
      <c r="M11" s="60" t="s">
        <v>107</v>
      </c>
      <c r="N11" s="72"/>
      <c r="O11" s="72">
        <v>8</v>
      </c>
      <c r="P11" s="72">
        <v>8</v>
      </c>
      <c r="Q11" s="62">
        <v>0</v>
      </c>
      <c r="R11" s="56" t="s">
        <v>311</v>
      </c>
      <c r="T11" s="56" t="s">
        <v>338</v>
      </c>
      <c r="U11" s="56" t="s">
        <v>338</v>
      </c>
    </row>
    <row r="12" spans="1:28" s="56" customFormat="1" x14ac:dyDescent="0.2">
      <c r="A12" s="72">
        <v>2018</v>
      </c>
      <c r="B12" s="60" t="s">
        <v>355</v>
      </c>
      <c r="C12" s="60">
        <v>22302</v>
      </c>
      <c r="D12" s="61">
        <v>35</v>
      </c>
      <c r="E12" s="80">
        <v>43340</v>
      </c>
      <c r="F12" s="60" t="s">
        <v>103</v>
      </c>
      <c r="G12" s="60" t="s">
        <v>196</v>
      </c>
      <c r="H12" s="60" t="s">
        <v>219</v>
      </c>
      <c r="I12" s="56" t="s">
        <v>196</v>
      </c>
      <c r="J12" s="60" t="s">
        <v>105</v>
      </c>
      <c r="K12" s="60" t="s">
        <v>106</v>
      </c>
      <c r="L12" s="60" t="s">
        <v>217</v>
      </c>
      <c r="M12" s="60" t="s">
        <v>107</v>
      </c>
      <c r="N12" s="72"/>
      <c r="O12" s="72">
        <v>12</v>
      </c>
      <c r="P12" s="72">
        <v>12</v>
      </c>
      <c r="Q12" s="62">
        <v>0</v>
      </c>
      <c r="R12" s="56" t="s">
        <v>311</v>
      </c>
      <c r="T12" s="56" t="s">
        <v>316</v>
      </c>
      <c r="U12" s="56" t="s">
        <v>316</v>
      </c>
    </row>
    <row r="13" spans="1:28" s="56" customFormat="1" x14ac:dyDescent="0.2">
      <c r="A13" s="72">
        <v>2018</v>
      </c>
      <c r="B13" s="60" t="s">
        <v>356</v>
      </c>
      <c r="C13" s="60">
        <v>22303</v>
      </c>
      <c r="D13" s="61">
        <v>35</v>
      </c>
      <c r="E13" s="80">
        <v>43340</v>
      </c>
      <c r="F13" s="60" t="s">
        <v>103</v>
      </c>
      <c r="G13" s="60" t="s">
        <v>196</v>
      </c>
      <c r="H13" s="60" t="s">
        <v>219</v>
      </c>
      <c r="I13" s="56" t="s">
        <v>196</v>
      </c>
      <c r="J13" s="60" t="s">
        <v>105</v>
      </c>
      <c r="K13" s="60" t="s">
        <v>106</v>
      </c>
      <c r="L13" s="60" t="s">
        <v>218</v>
      </c>
      <c r="M13" s="60" t="s">
        <v>107</v>
      </c>
      <c r="N13" s="72"/>
      <c r="O13" s="72">
        <v>13</v>
      </c>
      <c r="P13" s="72">
        <v>13</v>
      </c>
      <c r="Q13" s="62">
        <v>0</v>
      </c>
      <c r="R13" s="56" t="s">
        <v>311</v>
      </c>
      <c r="T13" s="56" t="s">
        <v>317</v>
      </c>
      <c r="U13" s="56" t="s">
        <v>317</v>
      </c>
    </row>
    <row r="14" spans="1:28" s="56" customFormat="1" x14ac:dyDescent="0.2">
      <c r="A14" s="72">
        <v>2018</v>
      </c>
      <c r="B14" s="60" t="s">
        <v>359</v>
      </c>
      <c r="C14" s="60">
        <v>22306</v>
      </c>
      <c r="D14" s="61">
        <v>35</v>
      </c>
      <c r="E14" s="80">
        <v>43340</v>
      </c>
      <c r="F14" s="60" t="s">
        <v>103</v>
      </c>
      <c r="G14" s="60" t="s">
        <v>196</v>
      </c>
      <c r="H14" s="60" t="s">
        <v>221</v>
      </c>
      <c r="I14" s="56" t="s">
        <v>196</v>
      </c>
      <c r="J14" s="60" t="s">
        <v>105</v>
      </c>
      <c r="K14" s="60" t="s">
        <v>106</v>
      </c>
      <c r="L14" s="60" t="s">
        <v>217</v>
      </c>
      <c r="M14" s="60" t="s">
        <v>107</v>
      </c>
      <c r="N14" s="72"/>
      <c r="O14" s="72">
        <v>2</v>
      </c>
      <c r="P14" s="72">
        <v>2</v>
      </c>
      <c r="Q14" s="62">
        <v>0</v>
      </c>
      <c r="R14" s="56" t="s">
        <v>311</v>
      </c>
      <c r="T14" s="56" t="s">
        <v>316</v>
      </c>
      <c r="U14" s="56" t="s">
        <v>316</v>
      </c>
    </row>
    <row r="15" spans="1:28" s="56" customFormat="1" x14ac:dyDescent="0.2">
      <c r="A15" s="72">
        <v>2018</v>
      </c>
      <c r="B15" s="60" t="s">
        <v>360</v>
      </c>
      <c r="C15" s="60">
        <v>22307</v>
      </c>
      <c r="D15" s="61">
        <v>35</v>
      </c>
      <c r="E15" s="80">
        <v>43340</v>
      </c>
      <c r="F15" s="60" t="s">
        <v>103</v>
      </c>
      <c r="G15" s="60" t="s">
        <v>196</v>
      </c>
      <c r="H15" s="60" t="s">
        <v>221</v>
      </c>
      <c r="I15" s="56" t="s">
        <v>196</v>
      </c>
      <c r="J15" s="60" t="s">
        <v>105</v>
      </c>
      <c r="K15" s="60" t="s">
        <v>106</v>
      </c>
      <c r="L15" s="60" t="s">
        <v>218</v>
      </c>
      <c r="M15" s="60" t="s">
        <v>107</v>
      </c>
      <c r="N15" s="72"/>
      <c r="O15" s="72">
        <v>2</v>
      </c>
      <c r="P15" s="72">
        <v>2</v>
      </c>
      <c r="Q15" s="62">
        <v>0</v>
      </c>
      <c r="R15" s="56" t="s">
        <v>311</v>
      </c>
      <c r="T15" s="56" t="s">
        <v>317</v>
      </c>
      <c r="U15" s="56" t="s">
        <v>317</v>
      </c>
    </row>
    <row r="16" spans="1:28" s="56" customFormat="1" x14ac:dyDescent="0.2">
      <c r="A16" s="72">
        <v>2018</v>
      </c>
      <c r="B16" s="60" t="s">
        <v>361</v>
      </c>
      <c r="C16" s="60">
        <v>22308</v>
      </c>
      <c r="D16" s="61">
        <v>35</v>
      </c>
      <c r="E16" s="80">
        <v>43340</v>
      </c>
      <c r="F16" s="60" t="s">
        <v>103</v>
      </c>
      <c r="G16" s="60" t="s">
        <v>196</v>
      </c>
      <c r="H16" s="60" t="s">
        <v>222</v>
      </c>
      <c r="I16" s="56" t="s">
        <v>196</v>
      </c>
      <c r="J16" s="60" t="s">
        <v>105</v>
      </c>
      <c r="K16" s="60" t="s">
        <v>106</v>
      </c>
      <c r="L16" s="60" t="s">
        <v>217</v>
      </c>
      <c r="M16" s="60" t="s">
        <v>107</v>
      </c>
      <c r="N16" s="72"/>
      <c r="O16" s="72">
        <v>5</v>
      </c>
      <c r="P16" s="72">
        <v>5</v>
      </c>
      <c r="Q16" s="62">
        <v>0</v>
      </c>
      <c r="R16" s="56" t="s">
        <v>311</v>
      </c>
      <c r="T16" s="56" t="s">
        <v>316</v>
      </c>
      <c r="U16" s="56" t="s">
        <v>316</v>
      </c>
    </row>
    <row r="17" spans="1:21" s="56" customFormat="1" x14ac:dyDescent="0.2">
      <c r="A17" s="73">
        <v>2018</v>
      </c>
      <c r="B17" s="56" t="s">
        <v>413</v>
      </c>
      <c r="C17" s="60">
        <v>22360</v>
      </c>
      <c r="D17" s="62">
        <v>35</v>
      </c>
      <c r="E17" s="80">
        <v>43342</v>
      </c>
      <c r="F17" s="56" t="s">
        <v>103</v>
      </c>
      <c r="G17" s="60" t="s">
        <v>47</v>
      </c>
      <c r="H17" s="56" t="s">
        <v>163</v>
      </c>
      <c r="I17" s="60" t="s">
        <v>59</v>
      </c>
      <c r="J17" s="56" t="s">
        <v>105</v>
      </c>
      <c r="K17" s="56" t="s">
        <v>106</v>
      </c>
      <c r="L17" s="56" t="s">
        <v>217</v>
      </c>
      <c r="M17" s="56" t="s">
        <v>107</v>
      </c>
      <c r="N17" s="73"/>
      <c r="O17" s="73">
        <v>7</v>
      </c>
      <c r="P17" s="73">
        <v>7</v>
      </c>
      <c r="Q17" s="62">
        <v>0</v>
      </c>
      <c r="R17" s="56" t="s">
        <v>311</v>
      </c>
      <c r="T17" s="56" t="s">
        <v>315</v>
      </c>
      <c r="U17" s="56" t="s">
        <v>319</v>
      </c>
    </row>
    <row r="18" spans="1:21" s="56" customFormat="1" x14ac:dyDescent="0.2">
      <c r="A18" s="93">
        <v>2018</v>
      </c>
      <c r="B18" s="91" t="s">
        <v>414</v>
      </c>
      <c r="C18" s="88">
        <v>22361</v>
      </c>
      <c r="D18" s="92">
        <v>35</v>
      </c>
      <c r="E18" s="90">
        <v>43342</v>
      </c>
      <c r="F18" s="91" t="s">
        <v>103</v>
      </c>
      <c r="G18" s="88" t="s">
        <v>47</v>
      </c>
      <c r="H18" s="91" t="s">
        <v>163</v>
      </c>
      <c r="I18" s="88" t="s">
        <v>59</v>
      </c>
      <c r="J18" s="91" t="s">
        <v>105</v>
      </c>
      <c r="K18" s="91" t="s">
        <v>106</v>
      </c>
      <c r="L18" s="91" t="s">
        <v>218</v>
      </c>
      <c r="M18" s="91" t="s">
        <v>107</v>
      </c>
      <c r="N18" s="93"/>
      <c r="O18" s="93">
        <v>3</v>
      </c>
      <c r="P18" s="93">
        <v>3</v>
      </c>
      <c r="Q18" s="92">
        <v>1</v>
      </c>
      <c r="R18" s="91" t="s">
        <v>312</v>
      </c>
      <c r="S18" s="91"/>
      <c r="T18" s="91" t="s">
        <v>314</v>
      </c>
      <c r="U18" s="91" t="s">
        <v>318</v>
      </c>
    </row>
    <row r="19" spans="1:21" s="56" customFormat="1" x14ac:dyDescent="0.2">
      <c r="A19" s="73">
        <v>2018</v>
      </c>
      <c r="B19" s="56" t="s">
        <v>415</v>
      </c>
      <c r="C19" s="60">
        <v>22362</v>
      </c>
      <c r="D19" s="62">
        <v>35</v>
      </c>
      <c r="E19" s="80">
        <v>43342</v>
      </c>
      <c r="F19" s="56" t="s">
        <v>103</v>
      </c>
      <c r="G19" s="56" t="s">
        <v>47</v>
      </c>
      <c r="H19" s="56" t="s">
        <v>151</v>
      </c>
      <c r="I19" s="60" t="s">
        <v>59</v>
      </c>
      <c r="J19" s="56" t="s">
        <v>105</v>
      </c>
      <c r="K19" s="56" t="s">
        <v>106</v>
      </c>
      <c r="L19" s="56" t="s">
        <v>217</v>
      </c>
      <c r="M19" s="56" t="s">
        <v>107</v>
      </c>
      <c r="N19" s="73"/>
      <c r="O19" s="73">
        <v>16</v>
      </c>
      <c r="P19" s="73">
        <v>16</v>
      </c>
      <c r="Q19" s="62">
        <v>0</v>
      </c>
      <c r="R19" s="56" t="s">
        <v>311</v>
      </c>
      <c r="T19" s="56" t="s">
        <v>315</v>
      </c>
      <c r="U19" s="56" t="s">
        <v>319</v>
      </c>
    </row>
    <row r="20" spans="1:21" s="56" customFormat="1" x14ac:dyDescent="0.2">
      <c r="A20" s="73">
        <v>2018</v>
      </c>
      <c r="B20" s="56" t="s">
        <v>416</v>
      </c>
      <c r="C20" s="60">
        <v>22363</v>
      </c>
      <c r="D20" s="62">
        <v>35</v>
      </c>
      <c r="E20" s="80">
        <v>43342</v>
      </c>
      <c r="F20" s="56" t="s">
        <v>103</v>
      </c>
      <c r="G20" s="56" t="s">
        <v>47</v>
      </c>
      <c r="H20" s="56" t="s">
        <v>151</v>
      </c>
      <c r="I20" s="60" t="s">
        <v>59</v>
      </c>
      <c r="J20" s="56" t="s">
        <v>105</v>
      </c>
      <c r="K20" s="56" t="s">
        <v>106</v>
      </c>
      <c r="L20" s="56" t="s">
        <v>218</v>
      </c>
      <c r="M20" s="56" t="s">
        <v>107</v>
      </c>
      <c r="N20" s="73"/>
      <c r="O20" s="73">
        <v>8</v>
      </c>
      <c r="P20" s="73">
        <v>8</v>
      </c>
      <c r="Q20" s="62">
        <v>0</v>
      </c>
      <c r="R20" s="56" t="s">
        <v>311</v>
      </c>
      <c r="T20" s="56" t="s">
        <v>314</v>
      </c>
      <c r="U20" s="56" t="s">
        <v>318</v>
      </c>
    </row>
    <row r="21" spans="1:21" s="56" customFormat="1" x14ac:dyDescent="0.2">
      <c r="A21" s="73">
        <v>2018</v>
      </c>
      <c r="B21" s="56" t="s">
        <v>417</v>
      </c>
      <c r="C21" s="60">
        <v>22364</v>
      </c>
      <c r="D21" s="62">
        <v>35</v>
      </c>
      <c r="E21" s="80">
        <v>43342</v>
      </c>
      <c r="F21" s="56" t="s">
        <v>103</v>
      </c>
      <c r="G21" s="56" t="s">
        <v>47</v>
      </c>
      <c r="H21" s="56" t="s">
        <v>152</v>
      </c>
      <c r="I21" s="60" t="s">
        <v>59</v>
      </c>
      <c r="J21" s="56" t="s">
        <v>105</v>
      </c>
      <c r="K21" s="56" t="s">
        <v>106</v>
      </c>
      <c r="L21" s="56" t="s">
        <v>217</v>
      </c>
      <c r="M21" s="56" t="s">
        <v>107</v>
      </c>
      <c r="N21" s="73"/>
      <c r="O21" s="73">
        <v>16</v>
      </c>
      <c r="P21" s="73">
        <v>16</v>
      </c>
      <c r="Q21" s="62">
        <v>0</v>
      </c>
      <c r="R21" s="56" t="s">
        <v>311</v>
      </c>
      <c r="T21" s="56" t="s">
        <v>315</v>
      </c>
      <c r="U21" s="56" t="s">
        <v>319</v>
      </c>
    </row>
    <row r="22" spans="1:21" s="56" customFormat="1" x14ac:dyDescent="0.2">
      <c r="A22" s="73">
        <v>2018</v>
      </c>
      <c r="B22" s="56" t="s">
        <v>418</v>
      </c>
      <c r="C22" s="60">
        <v>22365</v>
      </c>
      <c r="D22" s="62">
        <v>35</v>
      </c>
      <c r="E22" s="80">
        <v>43342</v>
      </c>
      <c r="F22" s="56" t="s">
        <v>103</v>
      </c>
      <c r="G22" s="56" t="s">
        <v>47</v>
      </c>
      <c r="H22" s="56" t="s">
        <v>152</v>
      </c>
      <c r="I22" s="60" t="s">
        <v>59</v>
      </c>
      <c r="J22" s="56" t="s">
        <v>105</v>
      </c>
      <c r="K22" s="56" t="s">
        <v>106</v>
      </c>
      <c r="L22" s="56" t="s">
        <v>218</v>
      </c>
      <c r="M22" s="56" t="s">
        <v>107</v>
      </c>
      <c r="N22" s="73"/>
      <c r="O22" s="73">
        <v>50</v>
      </c>
      <c r="P22" s="73">
        <v>50</v>
      </c>
      <c r="Q22" s="62">
        <v>0</v>
      </c>
      <c r="R22" s="56" t="s">
        <v>311</v>
      </c>
      <c r="T22" s="56" t="s">
        <v>314</v>
      </c>
      <c r="U22" s="56" t="s">
        <v>318</v>
      </c>
    </row>
    <row r="23" spans="1:21" s="56" customFormat="1" x14ac:dyDescent="0.2">
      <c r="A23" s="73">
        <v>2018</v>
      </c>
      <c r="B23" s="56" t="s">
        <v>419</v>
      </c>
      <c r="C23" s="60">
        <v>22366</v>
      </c>
      <c r="D23" s="62">
        <v>35</v>
      </c>
      <c r="E23" s="80">
        <v>43342</v>
      </c>
      <c r="F23" s="56" t="s">
        <v>103</v>
      </c>
      <c r="G23" s="60" t="s">
        <v>47</v>
      </c>
      <c r="H23" s="56" t="s">
        <v>152</v>
      </c>
      <c r="I23" s="60" t="s">
        <v>59</v>
      </c>
      <c r="J23" s="56" t="s">
        <v>105</v>
      </c>
      <c r="K23" s="56" t="s">
        <v>106</v>
      </c>
      <c r="L23" s="56" t="s">
        <v>218</v>
      </c>
      <c r="M23" s="56" t="s">
        <v>107</v>
      </c>
      <c r="N23" s="73"/>
      <c r="O23" s="73">
        <v>35</v>
      </c>
      <c r="P23" s="73">
        <v>35</v>
      </c>
      <c r="Q23" s="62">
        <v>0</v>
      </c>
      <c r="R23" s="56" t="s">
        <v>311</v>
      </c>
      <c r="T23" s="56" t="s">
        <v>314</v>
      </c>
      <c r="U23" s="56" t="s">
        <v>318</v>
      </c>
    </row>
    <row r="24" spans="1:21" s="56" customFormat="1" x14ac:dyDescent="0.2">
      <c r="A24" s="73">
        <v>2018</v>
      </c>
      <c r="B24" s="56" t="s">
        <v>420</v>
      </c>
      <c r="C24" s="60">
        <v>22367</v>
      </c>
      <c r="D24" s="62">
        <v>35</v>
      </c>
      <c r="E24" s="80">
        <v>43342</v>
      </c>
      <c r="F24" s="56" t="s">
        <v>103</v>
      </c>
      <c r="G24" s="60" t="s">
        <v>47</v>
      </c>
      <c r="H24" s="56" t="s">
        <v>153</v>
      </c>
      <c r="I24" s="60" t="s">
        <v>59</v>
      </c>
      <c r="J24" s="56" t="s">
        <v>105</v>
      </c>
      <c r="K24" s="56" t="s">
        <v>106</v>
      </c>
      <c r="L24" s="56" t="s">
        <v>217</v>
      </c>
      <c r="M24" s="56" t="s">
        <v>107</v>
      </c>
      <c r="N24" s="73"/>
      <c r="O24" s="73">
        <v>4</v>
      </c>
      <c r="P24" s="73">
        <v>4</v>
      </c>
      <c r="Q24" s="62">
        <v>0</v>
      </c>
      <c r="R24" s="56" t="s">
        <v>311</v>
      </c>
      <c r="T24" s="56" t="s">
        <v>315</v>
      </c>
      <c r="U24" s="56" t="s">
        <v>319</v>
      </c>
    </row>
    <row r="25" spans="1:21" s="56" customFormat="1" x14ac:dyDescent="0.2">
      <c r="A25" s="73">
        <v>2018</v>
      </c>
      <c r="B25" s="56" t="s">
        <v>421</v>
      </c>
      <c r="C25" s="60">
        <v>22368</v>
      </c>
      <c r="D25" s="62">
        <v>35</v>
      </c>
      <c r="E25" s="80">
        <v>43342</v>
      </c>
      <c r="F25" s="56" t="s">
        <v>103</v>
      </c>
      <c r="G25" s="56" t="s">
        <v>47</v>
      </c>
      <c r="H25" s="56" t="s">
        <v>153</v>
      </c>
      <c r="I25" s="60" t="s">
        <v>59</v>
      </c>
      <c r="J25" s="56" t="s">
        <v>105</v>
      </c>
      <c r="K25" s="56" t="s">
        <v>106</v>
      </c>
      <c r="L25" s="56" t="s">
        <v>218</v>
      </c>
      <c r="M25" s="56" t="s">
        <v>107</v>
      </c>
      <c r="N25" s="73"/>
      <c r="O25" s="73">
        <v>30</v>
      </c>
      <c r="P25" s="73">
        <v>30</v>
      </c>
      <c r="Q25" s="62">
        <v>0</v>
      </c>
      <c r="R25" s="56" t="s">
        <v>311</v>
      </c>
      <c r="T25" s="56" t="s">
        <v>314</v>
      </c>
      <c r="U25" s="56" t="s">
        <v>318</v>
      </c>
    </row>
    <row r="26" spans="1:21" s="56" customFormat="1" x14ac:dyDescent="0.2">
      <c r="A26" s="73">
        <v>2018</v>
      </c>
      <c r="B26" s="56" t="s">
        <v>422</v>
      </c>
      <c r="C26" s="60">
        <v>22369</v>
      </c>
      <c r="D26" s="62">
        <v>35</v>
      </c>
      <c r="E26" s="80">
        <v>43342</v>
      </c>
      <c r="F26" s="56" t="s">
        <v>103</v>
      </c>
      <c r="G26" s="60" t="s">
        <v>47</v>
      </c>
      <c r="H26" s="56" t="s">
        <v>310</v>
      </c>
      <c r="I26" s="60" t="s">
        <v>59</v>
      </c>
      <c r="J26" s="56" t="s">
        <v>111</v>
      </c>
      <c r="K26" s="56" t="s">
        <v>106</v>
      </c>
      <c r="L26" s="56" t="s">
        <v>218</v>
      </c>
      <c r="M26" s="56" t="s">
        <v>107</v>
      </c>
      <c r="N26" s="73">
        <v>30</v>
      </c>
      <c r="O26" s="73"/>
      <c r="P26" s="73">
        <v>30</v>
      </c>
      <c r="Q26" s="62">
        <v>0</v>
      </c>
      <c r="R26" s="56" t="s">
        <v>311</v>
      </c>
      <c r="T26" s="56" t="s">
        <v>314</v>
      </c>
      <c r="U26" s="56" t="s">
        <v>318</v>
      </c>
    </row>
    <row r="27" spans="1:21" s="56" customFormat="1" x14ac:dyDescent="0.2">
      <c r="A27" s="73">
        <v>2018</v>
      </c>
      <c r="B27" s="56" t="s">
        <v>423</v>
      </c>
      <c r="C27" s="60">
        <v>22370</v>
      </c>
      <c r="D27" s="62">
        <v>35</v>
      </c>
      <c r="E27" s="80">
        <v>43342</v>
      </c>
      <c r="F27" s="56" t="s">
        <v>103</v>
      </c>
      <c r="G27" s="60" t="s">
        <v>47</v>
      </c>
      <c r="H27" s="56" t="s">
        <v>146</v>
      </c>
      <c r="I27" s="60" t="s">
        <v>59</v>
      </c>
      <c r="J27" s="56" t="s">
        <v>105</v>
      </c>
      <c r="K27" s="56" t="s">
        <v>106</v>
      </c>
      <c r="L27" s="56" t="s">
        <v>217</v>
      </c>
      <c r="M27" s="56" t="s">
        <v>107</v>
      </c>
      <c r="N27" s="73"/>
      <c r="O27" s="73">
        <v>2</v>
      </c>
      <c r="P27" s="73">
        <v>2</v>
      </c>
      <c r="Q27" s="62">
        <v>0</v>
      </c>
      <c r="R27" s="56" t="s">
        <v>311</v>
      </c>
      <c r="T27" s="56" t="s">
        <v>315</v>
      </c>
      <c r="U27" s="56" t="s">
        <v>319</v>
      </c>
    </row>
    <row r="28" spans="1:21" s="56" customFormat="1" x14ac:dyDescent="0.2">
      <c r="A28" s="73">
        <v>2018</v>
      </c>
      <c r="B28" s="56" t="s">
        <v>424</v>
      </c>
      <c r="C28" s="60">
        <v>22371</v>
      </c>
      <c r="D28" s="62">
        <v>35</v>
      </c>
      <c r="E28" s="80">
        <v>43342</v>
      </c>
      <c r="F28" s="56" t="s">
        <v>103</v>
      </c>
      <c r="G28" s="60" t="s">
        <v>47</v>
      </c>
      <c r="H28" s="56" t="s">
        <v>146</v>
      </c>
      <c r="I28" s="60" t="s">
        <v>59</v>
      </c>
      <c r="J28" s="56" t="s">
        <v>105</v>
      </c>
      <c r="K28" s="56" t="s">
        <v>106</v>
      </c>
      <c r="L28" s="56" t="s">
        <v>218</v>
      </c>
      <c r="M28" s="56" t="s">
        <v>107</v>
      </c>
      <c r="N28" s="73"/>
      <c r="O28" s="73">
        <v>10</v>
      </c>
      <c r="P28" s="73">
        <v>10</v>
      </c>
      <c r="Q28" s="62">
        <v>0</v>
      </c>
      <c r="R28" s="56" t="s">
        <v>311</v>
      </c>
      <c r="T28" s="56" t="s">
        <v>314</v>
      </c>
      <c r="U28" s="56" t="s">
        <v>318</v>
      </c>
    </row>
    <row r="29" spans="1:21" s="56" customFormat="1" x14ac:dyDescent="0.2">
      <c r="A29" s="73">
        <v>2018</v>
      </c>
      <c r="B29" s="56" t="s">
        <v>425</v>
      </c>
      <c r="C29" s="60">
        <v>22372</v>
      </c>
      <c r="D29" s="62">
        <v>35</v>
      </c>
      <c r="E29" s="80">
        <v>43342</v>
      </c>
      <c r="F29" s="56" t="s">
        <v>103</v>
      </c>
      <c r="G29" s="60" t="s">
        <v>47</v>
      </c>
      <c r="H29" s="56" t="s">
        <v>149</v>
      </c>
      <c r="I29" s="60" t="s">
        <v>59</v>
      </c>
      <c r="J29" s="56" t="s">
        <v>105</v>
      </c>
      <c r="K29" s="56" t="s">
        <v>106</v>
      </c>
      <c r="L29" s="56" t="s">
        <v>217</v>
      </c>
      <c r="M29" s="56" t="s">
        <v>107</v>
      </c>
      <c r="N29" s="73"/>
      <c r="O29" s="73">
        <v>30</v>
      </c>
      <c r="P29" s="73">
        <v>30</v>
      </c>
      <c r="Q29" s="62">
        <v>0</v>
      </c>
      <c r="R29" s="56" t="s">
        <v>311</v>
      </c>
      <c r="T29" s="56" t="s">
        <v>315</v>
      </c>
      <c r="U29" s="56" t="s">
        <v>319</v>
      </c>
    </row>
    <row r="30" spans="1:21" s="56" customFormat="1" x14ac:dyDescent="0.2">
      <c r="A30" s="73">
        <v>2018</v>
      </c>
      <c r="B30" s="56" t="s">
        <v>426</v>
      </c>
      <c r="C30" s="60">
        <v>22373</v>
      </c>
      <c r="D30" s="62">
        <v>35</v>
      </c>
      <c r="E30" s="80">
        <v>43342</v>
      </c>
      <c r="F30" s="56" t="s">
        <v>103</v>
      </c>
      <c r="G30" s="60" t="s">
        <v>47</v>
      </c>
      <c r="H30" s="56" t="s">
        <v>149</v>
      </c>
      <c r="I30" s="60" t="s">
        <v>59</v>
      </c>
      <c r="J30" s="56" t="s">
        <v>105</v>
      </c>
      <c r="K30" s="56" t="s">
        <v>106</v>
      </c>
      <c r="L30" s="56" t="s">
        <v>218</v>
      </c>
      <c r="M30" s="56" t="s">
        <v>107</v>
      </c>
      <c r="N30" s="73"/>
      <c r="O30" s="73">
        <v>16</v>
      </c>
      <c r="P30" s="73">
        <v>16</v>
      </c>
      <c r="Q30" s="62">
        <v>0</v>
      </c>
      <c r="R30" s="56" t="s">
        <v>311</v>
      </c>
      <c r="T30" s="56" t="s">
        <v>314</v>
      </c>
      <c r="U30" s="56" t="s">
        <v>318</v>
      </c>
    </row>
    <row r="31" spans="1:21" s="56" customFormat="1" x14ac:dyDescent="0.2">
      <c r="A31" s="93">
        <v>2018</v>
      </c>
      <c r="B31" s="91" t="s">
        <v>427</v>
      </c>
      <c r="C31" s="88">
        <v>22374</v>
      </c>
      <c r="D31" s="92">
        <v>35</v>
      </c>
      <c r="E31" s="90">
        <v>43342</v>
      </c>
      <c r="F31" s="91" t="s">
        <v>103</v>
      </c>
      <c r="G31" s="88" t="s">
        <v>47</v>
      </c>
      <c r="H31" s="91" t="s">
        <v>337</v>
      </c>
      <c r="I31" s="88" t="s">
        <v>59</v>
      </c>
      <c r="J31" s="91" t="s">
        <v>111</v>
      </c>
      <c r="K31" s="91" t="s">
        <v>106</v>
      </c>
      <c r="L31" s="91" t="s">
        <v>218</v>
      </c>
      <c r="M31" s="91" t="s">
        <v>107</v>
      </c>
      <c r="N31" s="93">
        <v>7</v>
      </c>
      <c r="O31" s="93"/>
      <c r="P31" s="93">
        <v>7</v>
      </c>
      <c r="Q31" s="92">
        <v>1</v>
      </c>
      <c r="R31" s="91" t="s">
        <v>312</v>
      </c>
      <c r="S31" s="91"/>
      <c r="T31" s="91" t="s">
        <v>314</v>
      </c>
      <c r="U31" s="91" t="s">
        <v>318</v>
      </c>
    </row>
    <row r="32" spans="1:21" s="56" customFormat="1" x14ac:dyDescent="0.2">
      <c r="A32" s="73">
        <v>2018</v>
      </c>
      <c r="B32" s="56" t="s">
        <v>428</v>
      </c>
      <c r="C32" s="60">
        <v>22375</v>
      </c>
      <c r="D32" s="62">
        <v>35</v>
      </c>
      <c r="E32" s="80">
        <v>43342</v>
      </c>
      <c r="F32" s="56" t="s">
        <v>103</v>
      </c>
      <c r="G32" s="60" t="s">
        <v>47</v>
      </c>
      <c r="H32" s="56" t="s">
        <v>194</v>
      </c>
      <c r="I32" s="60" t="s">
        <v>59</v>
      </c>
      <c r="J32" s="56" t="s">
        <v>105</v>
      </c>
      <c r="K32" s="56" t="s">
        <v>106</v>
      </c>
      <c r="L32" s="56" t="s">
        <v>217</v>
      </c>
      <c r="M32" s="56" t="s">
        <v>107</v>
      </c>
      <c r="N32" s="73"/>
      <c r="O32" s="73">
        <v>4</v>
      </c>
      <c r="P32" s="73">
        <v>4</v>
      </c>
      <c r="Q32" s="62">
        <v>0</v>
      </c>
      <c r="R32" s="56" t="s">
        <v>311</v>
      </c>
      <c r="T32" s="56" t="s">
        <v>315</v>
      </c>
      <c r="U32" s="56" t="s">
        <v>319</v>
      </c>
    </row>
    <row r="33" spans="1:21" s="56" customFormat="1" x14ac:dyDescent="0.2">
      <c r="A33" s="73">
        <v>2018</v>
      </c>
      <c r="B33" s="56" t="s">
        <v>429</v>
      </c>
      <c r="C33" s="60">
        <v>22376</v>
      </c>
      <c r="D33" s="62">
        <v>35</v>
      </c>
      <c r="E33" s="80">
        <v>43342</v>
      </c>
      <c r="F33" s="56" t="s">
        <v>103</v>
      </c>
      <c r="G33" s="60" t="s">
        <v>47</v>
      </c>
      <c r="H33" s="56" t="s">
        <v>194</v>
      </c>
      <c r="I33" s="60" t="s">
        <v>59</v>
      </c>
      <c r="J33" s="56" t="s">
        <v>105</v>
      </c>
      <c r="K33" s="56" t="s">
        <v>106</v>
      </c>
      <c r="L33" s="56" t="s">
        <v>218</v>
      </c>
      <c r="M33" s="56" t="s">
        <v>107</v>
      </c>
      <c r="N33" s="73"/>
      <c r="O33" s="73">
        <v>4</v>
      </c>
      <c r="P33" s="73">
        <v>4</v>
      </c>
      <c r="Q33" s="62">
        <v>0</v>
      </c>
      <c r="R33" s="56" t="s">
        <v>311</v>
      </c>
      <c r="T33" s="56" t="s">
        <v>314</v>
      </c>
      <c r="U33" s="56" t="s">
        <v>318</v>
      </c>
    </row>
    <row r="34" spans="1:21" s="56" customFormat="1" x14ac:dyDescent="0.2">
      <c r="A34" s="73">
        <v>2018</v>
      </c>
      <c r="B34" s="56" t="s">
        <v>430</v>
      </c>
      <c r="C34" s="60">
        <v>22377</v>
      </c>
      <c r="D34" s="62">
        <v>35</v>
      </c>
      <c r="E34" s="80">
        <v>43342</v>
      </c>
      <c r="F34" s="56" t="s">
        <v>103</v>
      </c>
      <c r="G34" s="60" t="s">
        <v>47</v>
      </c>
      <c r="H34" s="56" t="s">
        <v>145</v>
      </c>
      <c r="I34" s="60" t="s">
        <v>59</v>
      </c>
      <c r="J34" s="56" t="s">
        <v>105</v>
      </c>
      <c r="K34" s="56" t="s">
        <v>106</v>
      </c>
      <c r="L34" s="56" t="s">
        <v>217</v>
      </c>
      <c r="M34" s="56" t="s">
        <v>107</v>
      </c>
      <c r="N34" s="73"/>
      <c r="O34" s="73">
        <v>5</v>
      </c>
      <c r="P34" s="73">
        <v>5</v>
      </c>
      <c r="Q34" s="62">
        <v>0</v>
      </c>
      <c r="R34" s="56" t="s">
        <v>311</v>
      </c>
      <c r="T34" s="56" t="s">
        <v>315</v>
      </c>
      <c r="U34" s="56" t="s">
        <v>319</v>
      </c>
    </row>
    <row r="35" spans="1:21" s="56" customFormat="1" x14ac:dyDescent="0.2">
      <c r="A35" s="73">
        <v>2018</v>
      </c>
      <c r="B35" s="56" t="s">
        <v>431</v>
      </c>
      <c r="C35" s="60">
        <v>22378</v>
      </c>
      <c r="D35" s="62">
        <v>35</v>
      </c>
      <c r="E35" s="80">
        <v>43342</v>
      </c>
      <c r="F35" s="56" t="s">
        <v>103</v>
      </c>
      <c r="G35" s="60" t="s">
        <v>47</v>
      </c>
      <c r="H35" s="56" t="s">
        <v>145</v>
      </c>
      <c r="I35" s="60" t="s">
        <v>59</v>
      </c>
      <c r="J35" s="56" t="s">
        <v>105</v>
      </c>
      <c r="K35" s="56" t="s">
        <v>106</v>
      </c>
      <c r="L35" s="56" t="s">
        <v>218</v>
      </c>
      <c r="M35" s="56" t="s">
        <v>107</v>
      </c>
      <c r="N35" s="73"/>
      <c r="O35" s="73">
        <v>50</v>
      </c>
      <c r="P35" s="73">
        <v>50</v>
      </c>
      <c r="Q35" s="62">
        <v>0</v>
      </c>
      <c r="R35" s="56" t="s">
        <v>311</v>
      </c>
      <c r="T35" s="56" t="s">
        <v>314</v>
      </c>
      <c r="U35" s="56" t="s">
        <v>318</v>
      </c>
    </row>
    <row r="36" spans="1:21" s="56" customFormat="1" x14ac:dyDescent="0.2">
      <c r="A36" s="73">
        <v>2018</v>
      </c>
      <c r="B36" s="56" t="s">
        <v>432</v>
      </c>
      <c r="C36" s="60">
        <v>22379</v>
      </c>
      <c r="D36" s="62">
        <v>35</v>
      </c>
      <c r="E36" s="80">
        <v>43342</v>
      </c>
      <c r="F36" s="56" t="s">
        <v>103</v>
      </c>
      <c r="G36" s="60" t="s">
        <v>47</v>
      </c>
      <c r="H36" s="56" t="s">
        <v>145</v>
      </c>
      <c r="I36" s="60" t="s">
        <v>59</v>
      </c>
      <c r="J36" s="56" t="s">
        <v>105</v>
      </c>
      <c r="K36" s="56" t="s">
        <v>106</v>
      </c>
      <c r="L36" s="56" t="s">
        <v>218</v>
      </c>
      <c r="M36" s="56" t="s">
        <v>107</v>
      </c>
      <c r="N36" s="73"/>
      <c r="O36" s="73">
        <v>50</v>
      </c>
      <c r="P36" s="73">
        <v>50</v>
      </c>
      <c r="Q36" s="62">
        <v>0</v>
      </c>
      <c r="R36" s="56" t="s">
        <v>311</v>
      </c>
      <c r="T36" s="56" t="s">
        <v>314</v>
      </c>
      <c r="U36" s="56" t="s">
        <v>318</v>
      </c>
    </row>
    <row r="37" spans="1:21" s="56" customFormat="1" x14ac:dyDescent="0.2">
      <c r="A37" s="73">
        <v>2018</v>
      </c>
      <c r="B37" s="56" t="s">
        <v>433</v>
      </c>
      <c r="C37" s="60">
        <v>22380</v>
      </c>
      <c r="D37" s="62">
        <v>35</v>
      </c>
      <c r="E37" s="80">
        <v>43342</v>
      </c>
      <c r="F37" s="56" t="s">
        <v>103</v>
      </c>
      <c r="G37" s="60" t="s">
        <v>47</v>
      </c>
      <c r="H37" s="56" t="s">
        <v>145</v>
      </c>
      <c r="I37" s="60" t="s">
        <v>59</v>
      </c>
      <c r="J37" s="56" t="s">
        <v>105</v>
      </c>
      <c r="K37" s="56" t="s">
        <v>106</v>
      </c>
      <c r="L37" s="56" t="s">
        <v>218</v>
      </c>
      <c r="M37" s="56" t="s">
        <v>107</v>
      </c>
      <c r="N37" s="73"/>
      <c r="O37" s="73">
        <v>50</v>
      </c>
      <c r="P37" s="73">
        <v>50</v>
      </c>
      <c r="Q37" s="62">
        <v>0</v>
      </c>
      <c r="R37" s="56" t="s">
        <v>311</v>
      </c>
      <c r="T37" s="56" t="s">
        <v>314</v>
      </c>
      <c r="U37" s="56" t="s">
        <v>318</v>
      </c>
    </row>
    <row r="38" spans="1:21" s="56" customFormat="1" x14ac:dyDescent="0.2">
      <c r="A38" s="73">
        <v>2018</v>
      </c>
      <c r="B38" s="56" t="s">
        <v>434</v>
      </c>
      <c r="C38" s="60">
        <v>22381</v>
      </c>
      <c r="D38" s="62">
        <v>35</v>
      </c>
      <c r="E38" s="80">
        <v>43342</v>
      </c>
      <c r="F38" s="56" t="s">
        <v>103</v>
      </c>
      <c r="G38" s="60" t="s">
        <v>47</v>
      </c>
      <c r="H38" s="56" t="s">
        <v>145</v>
      </c>
      <c r="I38" s="60" t="s">
        <v>59</v>
      </c>
      <c r="J38" s="56" t="s">
        <v>105</v>
      </c>
      <c r="K38" s="56" t="s">
        <v>106</v>
      </c>
      <c r="L38" s="56" t="s">
        <v>218</v>
      </c>
      <c r="M38" s="56" t="s">
        <v>107</v>
      </c>
      <c r="N38" s="73"/>
      <c r="O38" s="73">
        <v>30</v>
      </c>
      <c r="P38" s="73">
        <v>30</v>
      </c>
      <c r="Q38" s="62">
        <v>0</v>
      </c>
      <c r="R38" s="56" t="s">
        <v>311</v>
      </c>
      <c r="T38" s="56" t="s">
        <v>314</v>
      </c>
      <c r="U38" s="56" t="s">
        <v>318</v>
      </c>
    </row>
    <row r="39" spans="1:21" s="56" customFormat="1" x14ac:dyDescent="0.2">
      <c r="A39" s="93">
        <v>2018</v>
      </c>
      <c r="B39" s="91" t="s">
        <v>435</v>
      </c>
      <c r="C39" s="88">
        <v>22382</v>
      </c>
      <c r="D39" s="92">
        <v>35</v>
      </c>
      <c r="E39" s="90">
        <v>43342</v>
      </c>
      <c r="F39" s="91" t="s">
        <v>103</v>
      </c>
      <c r="G39" s="88" t="s">
        <v>47</v>
      </c>
      <c r="H39" s="91" t="s">
        <v>339</v>
      </c>
      <c r="I39" s="88" t="s">
        <v>59</v>
      </c>
      <c r="J39" s="91" t="s">
        <v>111</v>
      </c>
      <c r="K39" s="91" t="s">
        <v>106</v>
      </c>
      <c r="L39" s="91" t="s">
        <v>218</v>
      </c>
      <c r="M39" s="91" t="s">
        <v>107</v>
      </c>
      <c r="N39" s="93">
        <v>26</v>
      </c>
      <c r="O39" s="93"/>
      <c r="P39" s="93">
        <v>26</v>
      </c>
      <c r="Q39" s="92">
        <v>1</v>
      </c>
      <c r="R39" s="91" t="s">
        <v>312</v>
      </c>
      <c r="S39" s="91"/>
      <c r="T39" s="91" t="s">
        <v>314</v>
      </c>
      <c r="U39" s="91" t="s">
        <v>318</v>
      </c>
    </row>
    <row r="40" spans="1:21" s="56" customFormat="1" x14ac:dyDescent="0.2">
      <c r="A40" s="93">
        <v>2018</v>
      </c>
      <c r="B40" s="91" t="s">
        <v>438</v>
      </c>
      <c r="C40" s="88">
        <v>22385</v>
      </c>
      <c r="D40" s="92">
        <v>35</v>
      </c>
      <c r="E40" s="90">
        <v>43342</v>
      </c>
      <c r="F40" s="91" t="s">
        <v>103</v>
      </c>
      <c r="G40" s="88" t="s">
        <v>47</v>
      </c>
      <c r="H40" s="91" t="s">
        <v>147</v>
      </c>
      <c r="I40" s="88" t="s">
        <v>59</v>
      </c>
      <c r="J40" s="91" t="s">
        <v>105</v>
      </c>
      <c r="K40" s="91" t="s">
        <v>106</v>
      </c>
      <c r="L40" s="91" t="s">
        <v>217</v>
      </c>
      <c r="M40" s="91" t="s">
        <v>107</v>
      </c>
      <c r="N40" s="93"/>
      <c r="O40" s="93">
        <v>50</v>
      </c>
      <c r="P40" s="93">
        <v>50</v>
      </c>
      <c r="Q40" s="92">
        <v>1</v>
      </c>
      <c r="R40" s="91" t="s">
        <v>312</v>
      </c>
      <c r="S40" s="91"/>
      <c r="T40" s="91" t="s">
        <v>315</v>
      </c>
      <c r="U40" s="91" t="s">
        <v>319</v>
      </c>
    </row>
    <row r="41" spans="1:21" s="56" customFormat="1" x14ac:dyDescent="0.2">
      <c r="A41" s="73">
        <v>2018</v>
      </c>
      <c r="B41" s="56" t="s">
        <v>439</v>
      </c>
      <c r="C41" s="60">
        <v>22386</v>
      </c>
      <c r="D41" s="62">
        <v>35</v>
      </c>
      <c r="E41" s="80">
        <v>43342</v>
      </c>
      <c r="F41" s="56" t="s">
        <v>103</v>
      </c>
      <c r="G41" s="60" t="s">
        <v>47</v>
      </c>
      <c r="H41" s="56" t="s">
        <v>147</v>
      </c>
      <c r="I41" s="60" t="s">
        <v>59</v>
      </c>
      <c r="J41" s="56" t="s">
        <v>105</v>
      </c>
      <c r="K41" s="56" t="s">
        <v>106</v>
      </c>
      <c r="L41" s="56" t="s">
        <v>217</v>
      </c>
      <c r="M41" s="56" t="s">
        <v>107</v>
      </c>
      <c r="N41" s="73"/>
      <c r="O41" s="73">
        <v>8</v>
      </c>
      <c r="P41" s="73">
        <v>8</v>
      </c>
      <c r="Q41" s="62">
        <v>0</v>
      </c>
      <c r="R41" s="56" t="s">
        <v>311</v>
      </c>
      <c r="T41" s="56" t="s">
        <v>315</v>
      </c>
      <c r="U41" s="56" t="s">
        <v>319</v>
      </c>
    </row>
    <row r="42" spans="1:21" s="56" customFormat="1" x14ac:dyDescent="0.2">
      <c r="A42" s="73">
        <v>2018</v>
      </c>
      <c r="B42" s="56" t="s">
        <v>440</v>
      </c>
      <c r="C42" s="60">
        <v>22387</v>
      </c>
      <c r="D42" s="62">
        <v>35</v>
      </c>
      <c r="E42" s="80">
        <v>43342</v>
      </c>
      <c r="F42" s="56" t="s">
        <v>103</v>
      </c>
      <c r="G42" s="60" t="s">
        <v>47</v>
      </c>
      <c r="H42" s="56" t="s">
        <v>147</v>
      </c>
      <c r="I42" s="60" t="s">
        <v>59</v>
      </c>
      <c r="J42" s="56" t="s">
        <v>105</v>
      </c>
      <c r="K42" s="56" t="s">
        <v>106</v>
      </c>
      <c r="L42" s="56" t="s">
        <v>218</v>
      </c>
      <c r="M42" s="56" t="s">
        <v>107</v>
      </c>
      <c r="N42" s="73"/>
      <c r="O42" s="73">
        <v>16</v>
      </c>
      <c r="P42" s="73">
        <v>16</v>
      </c>
      <c r="Q42" s="62">
        <v>0</v>
      </c>
      <c r="R42" s="56" t="s">
        <v>311</v>
      </c>
      <c r="T42" s="56" t="s">
        <v>314</v>
      </c>
      <c r="U42" s="56" t="s">
        <v>318</v>
      </c>
    </row>
    <row r="43" spans="1:21" s="56" customFormat="1" x14ac:dyDescent="0.2">
      <c r="A43" s="93">
        <v>2018</v>
      </c>
      <c r="B43" s="91" t="s">
        <v>441</v>
      </c>
      <c r="C43" s="88">
        <v>22388</v>
      </c>
      <c r="D43" s="92">
        <v>35</v>
      </c>
      <c r="E43" s="90">
        <v>43342</v>
      </c>
      <c r="F43" s="91" t="s">
        <v>103</v>
      </c>
      <c r="G43" s="88" t="s">
        <v>47</v>
      </c>
      <c r="H43" s="91" t="s">
        <v>292</v>
      </c>
      <c r="I43" s="88" t="s">
        <v>59</v>
      </c>
      <c r="J43" s="91" t="s">
        <v>111</v>
      </c>
      <c r="K43" s="91" t="s">
        <v>106</v>
      </c>
      <c r="L43" s="91" t="s">
        <v>218</v>
      </c>
      <c r="M43" s="91" t="s">
        <v>107</v>
      </c>
      <c r="N43" s="93">
        <v>38</v>
      </c>
      <c r="O43" s="93"/>
      <c r="P43" s="93">
        <v>38</v>
      </c>
      <c r="Q43" s="92">
        <v>1</v>
      </c>
      <c r="R43" s="91" t="s">
        <v>312</v>
      </c>
      <c r="S43" s="91"/>
      <c r="T43" s="91" t="s">
        <v>314</v>
      </c>
      <c r="U43" s="91" t="s">
        <v>318</v>
      </c>
    </row>
    <row r="44" spans="1:21" s="56" customFormat="1" x14ac:dyDescent="0.2">
      <c r="A44" s="72">
        <v>2018</v>
      </c>
      <c r="B44" s="60" t="s">
        <v>352</v>
      </c>
      <c r="C44" s="60">
        <v>22299</v>
      </c>
      <c r="D44" s="61">
        <v>35</v>
      </c>
      <c r="E44" s="80">
        <v>43340</v>
      </c>
      <c r="F44" s="60" t="s">
        <v>103</v>
      </c>
      <c r="G44" s="60" t="s">
        <v>47</v>
      </c>
      <c r="H44" s="60" t="s">
        <v>139</v>
      </c>
      <c r="I44" s="56" t="s">
        <v>58</v>
      </c>
      <c r="J44" s="60" t="s">
        <v>105</v>
      </c>
      <c r="K44" s="60" t="s">
        <v>106</v>
      </c>
      <c r="L44" s="60" t="s">
        <v>217</v>
      </c>
      <c r="M44" s="60" t="s">
        <v>107</v>
      </c>
      <c r="N44" s="72"/>
      <c r="O44" s="72">
        <v>2</v>
      </c>
      <c r="P44" s="72">
        <v>2</v>
      </c>
      <c r="Q44" s="62">
        <v>0</v>
      </c>
      <c r="R44" s="56" t="s">
        <v>311</v>
      </c>
      <c r="T44" s="56" t="s">
        <v>315</v>
      </c>
      <c r="U44" s="56" t="s">
        <v>320</v>
      </c>
    </row>
    <row r="45" spans="1:21" s="56" customFormat="1" x14ac:dyDescent="0.2">
      <c r="A45" s="72">
        <v>2018</v>
      </c>
      <c r="B45" s="60" t="s">
        <v>353</v>
      </c>
      <c r="C45" s="60">
        <v>22300</v>
      </c>
      <c r="D45" s="61">
        <v>35</v>
      </c>
      <c r="E45" s="80">
        <v>43340</v>
      </c>
      <c r="F45" s="60" t="s">
        <v>103</v>
      </c>
      <c r="G45" s="60" t="s">
        <v>47</v>
      </c>
      <c r="H45" s="60" t="s">
        <v>139</v>
      </c>
      <c r="I45" s="56" t="s">
        <v>58</v>
      </c>
      <c r="J45" s="60" t="s">
        <v>105</v>
      </c>
      <c r="K45" s="60" t="s">
        <v>106</v>
      </c>
      <c r="L45" s="60" t="s">
        <v>218</v>
      </c>
      <c r="M45" s="60" t="s">
        <v>107</v>
      </c>
      <c r="N45" s="72"/>
      <c r="O45" s="72">
        <v>5</v>
      </c>
      <c r="P45" s="72">
        <v>5</v>
      </c>
      <c r="Q45" s="62">
        <v>0</v>
      </c>
      <c r="R45" s="56" t="s">
        <v>311</v>
      </c>
      <c r="T45" s="56" t="s">
        <v>314</v>
      </c>
      <c r="U45" s="56" t="s">
        <v>321</v>
      </c>
    </row>
    <row r="46" spans="1:21" s="56" customFormat="1" x14ac:dyDescent="0.2">
      <c r="A46" s="72">
        <v>2018</v>
      </c>
      <c r="B46" s="60" t="s">
        <v>362</v>
      </c>
      <c r="C46" s="60">
        <v>22309</v>
      </c>
      <c r="D46" s="61">
        <v>35</v>
      </c>
      <c r="E46" s="80">
        <v>43340</v>
      </c>
      <c r="F46" s="60" t="s">
        <v>103</v>
      </c>
      <c r="G46" s="60" t="s">
        <v>47</v>
      </c>
      <c r="H46" s="60" t="s">
        <v>138</v>
      </c>
      <c r="I46" s="56" t="s">
        <v>58</v>
      </c>
      <c r="J46" s="60" t="s">
        <v>105</v>
      </c>
      <c r="K46" s="60" t="s">
        <v>106</v>
      </c>
      <c r="L46" s="60" t="s">
        <v>217</v>
      </c>
      <c r="M46" s="60" t="s">
        <v>107</v>
      </c>
      <c r="N46" s="72"/>
      <c r="O46" s="72">
        <v>15</v>
      </c>
      <c r="P46" s="72">
        <v>15</v>
      </c>
      <c r="Q46" s="62">
        <v>0</v>
      </c>
      <c r="R46" s="56" t="s">
        <v>311</v>
      </c>
      <c r="T46" s="56" t="s">
        <v>315</v>
      </c>
      <c r="U46" s="56" t="s">
        <v>320</v>
      </c>
    </row>
    <row r="47" spans="1:21" s="56" customFormat="1" x14ac:dyDescent="0.2">
      <c r="A47" s="72">
        <v>2018</v>
      </c>
      <c r="B47" s="60" t="s">
        <v>363</v>
      </c>
      <c r="C47" s="60">
        <v>22310</v>
      </c>
      <c r="D47" s="61">
        <v>35</v>
      </c>
      <c r="E47" s="80">
        <v>43340</v>
      </c>
      <c r="F47" s="60" t="s">
        <v>103</v>
      </c>
      <c r="G47" s="60" t="s">
        <v>47</v>
      </c>
      <c r="H47" s="60" t="s">
        <v>138</v>
      </c>
      <c r="I47" s="56" t="s">
        <v>58</v>
      </c>
      <c r="J47" s="60" t="s">
        <v>105</v>
      </c>
      <c r="K47" s="60" t="s">
        <v>106</v>
      </c>
      <c r="L47" s="60" t="s">
        <v>218</v>
      </c>
      <c r="M47" s="60" t="s">
        <v>107</v>
      </c>
      <c r="N47" s="72"/>
      <c r="O47" s="72">
        <v>12</v>
      </c>
      <c r="P47" s="72">
        <v>12</v>
      </c>
      <c r="Q47" s="62">
        <v>0</v>
      </c>
      <c r="R47" s="56" t="s">
        <v>311</v>
      </c>
      <c r="T47" s="56" t="s">
        <v>314</v>
      </c>
      <c r="U47" s="56" t="s">
        <v>321</v>
      </c>
    </row>
    <row r="48" spans="1:21" s="56" customFormat="1" x14ac:dyDescent="0.2">
      <c r="A48" s="72">
        <v>2018</v>
      </c>
      <c r="B48" s="60" t="s">
        <v>364</v>
      </c>
      <c r="C48" s="60">
        <v>22311</v>
      </c>
      <c r="D48" s="61">
        <v>35</v>
      </c>
      <c r="E48" s="80">
        <v>43340</v>
      </c>
      <c r="F48" s="60" t="s">
        <v>103</v>
      </c>
      <c r="G48" s="60" t="s">
        <v>47</v>
      </c>
      <c r="H48" s="60" t="s">
        <v>140</v>
      </c>
      <c r="I48" s="56" t="s">
        <v>58</v>
      </c>
      <c r="J48" s="60" t="s">
        <v>105</v>
      </c>
      <c r="K48" s="60" t="s">
        <v>106</v>
      </c>
      <c r="L48" s="60" t="s">
        <v>217</v>
      </c>
      <c r="M48" s="60" t="s">
        <v>107</v>
      </c>
      <c r="N48" s="72"/>
      <c r="O48" s="72">
        <v>5</v>
      </c>
      <c r="P48" s="72">
        <v>5</v>
      </c>
      <c r="Q48" s="62">
        <v>0</v>
      </c>
      <c r="R48" s="56" t="s">
        <v>311</v>
      </c>
      <c r="T48" s="56" t="s">
        <v>315</v>
      </c>
      <c r="U48" s="56" t="s">
        <v>320</v>
      </c>
    </row>
    <row r="49" spans="1:21" s="56" customFormat="1" x14ac:dyDescent="0.2">
      <c r="A49" s="87">
        <v>2018</v>
      </c>
      <c r="B49" s="88" t="s">
        <v>365</v>
      </c>
      <c r="C49" s="88">
        <v>22312</v>
      </c>
      <c r="D49" s="89">
        <v>35</v>
      </c>
      <c r="E49" s="90">
        <v>43340</v>
      </c>
      <c r="F49" s="88" t="s">
        <v>103</v>
      </c>
      <c r="G49" s="88" t="s">
        <v>47</v>
      </c>
      <c r="H49" s="88" t="s">
        <v>140</v>
      </c>
      <c r="I49" s="91" t="s">
        <v>58</v>
      </c>
      <c r="J49" s="88" t="s">
        <v>105</v>
      </c>
      <c r="K49" s="88" t="s">
        <v>106</v>
      </c>
      <c r="L49" s="88" t="s">
        <v>218</v>
      </c>
      <c r="M49" s="88" t="s">
        <v>107</v>
      </c>
      <c r="N49" s="87"/>
      <c r="O49" s="87">
        <v>38</v>
      </c>
      <c r="P49" s="87">
        <v>38</v>
      </c>
      <c r="Q49" s="92">
        <v>1</v>
      </c>
      <c r="R49" s="91" t="s">
        <v>312</v>
      </c>
      <c r="S49" s="91"/>
      <c r="T49" s="91" t="s">
        <v>314</v>
      </c>
      <c r="U49" s="91" t="s">
        <v>321</v>
      </c>
    </row>
    <row r="50" spans="1:21" s="56" customFormat="1" x14ac:dyDescent="0.2">
      <c r="A50" s="72">
        <v>2018</v>
      </c>
      <c r="B50" s="60" t="s">
        <v>366</v>
      </c>
      <c r="C50" s="60">
        <v>22313</v>
      </c>
      <c r="D50" s="61">
        <v>35</v>
      </c>
      <c r="E50" s="80">
        <v>43340</v>
      </c>
      <c r="F50" s="60" t="s">
        <v>103</v>
      </c>
      <c r="G50" s="60" t="s">
        <v>47</v>
      </c>
      <c r="H50" s="60" t="s">
        <v>142</v>
      </c>
      <c r="I50" s="56" t="s">
        <v>58</v>
      </c>
      <c r="J50" s="60" t="s">
        <v>105</v>
      </c>
      <c r="K50" s="60" t="s">
        <v>106</v>
      </c>
      <c r="L50" s="60" t="s">
        <v>217</v>
      </c>
      <c r="M50" s="60" t="s">
        <v>107</v>
      </c>
      <c r="N50" s="72"/>
      <c r="O50" s="72">
        <v>2</v>
      </c>
      <c r="P50" s="72">
        <v>2</v>
      </c>
      <c r="Q50" s="62">
        <v>0</v>
      </c>
      <c r="R50" s="56" t="s">
        <v>311</v>
      </c>
      <c r="T50" s="56" t="s">
        <v>315</v>
      </c>
      <c r="U50" s="56" t="s">
        <v>320</v>
      </c>
    </row>
    <row r="51" spans="1:21" s="56" customFormat="1" x14ac:dyDescent="0.2">
      <c r="A51" s="136">
        <v>2018</v>
      </c>
      <c r="B51" s="60" t="s">
        <v>367</v>
      </c>
      <c r="C51" s="60">
        <v>22314</v>
      </c>
      <c r="D51" s="61">
        <v>35</v>
      </c>
      <c r="E51" s="80">
        <v>43340</v>
      </c>
      <c r="F51" s="60" t="s">
        <v>103</v>
      </c>
      <c r="G51" s="60" t="s">
        <v>47</v>
      </c>
      <c r="H51" s="60" t="s">
        <v>137</v>
      </c>
      <c r="I51" s="56" t="s">
        <v>58</v>
      </c>
      <c r="J51" s="60" t="s">
        <v>105</v>
      </c>
      <c r="K51" s="60" t="s">
        <v>106</v>
      </c>
      <c r="L51" s="60" t="s">
        <v>217</v>
      </c>
      <c r="M51" s="60" t="s">
        <v>107</v>
      </c>
      <c r="N51" s="72"/>
      <c r="O51" s="72">
        <v>3</v>
      </c>
      <c r="P51" s="72">
        <v>3</v>
      </c>
      <c r="Q51" s="62">
        <v>0</v>
      </c>
      <c r="R51" s="56" t="s">
        <v>311</v>
      </c>
      <c r="T51" s="56" t="s">
        <v>315</v>
      </c>
      <c r="U51" s="56" t="s">
        <v>320</v>
      </c>
    </row>
    <row r="52" spans="1:21" s="56" customFormat="1" x14ac:dyDescent="0.2">
      <c r="A52" s="136">
        <v>2018</v>
      </c>
      <c r="B52" s="60" t="s">
        <v>368</v>
      </c>
      <c r="C52" s="60">
        <v>22315</v>
      </c>
      <c r="D52" s="61">
        <v>35</v>
      </c>
      <c r="E52" s="80">
        <v>43340</v>
      </c>
      <c r="F52" s="60" t="s">
        <v>103</v>
      </c>
      <c r="G52" s="60" t="s">
        <v>47</v>
      </c>
      <c r="H52" s="60" t="s">
        <v>137</v>
      </c>
      <c r="I52" s="56" t="s">
        <v>58</v>
      </c>
      <c r="J52" s="60" t="s">
        <v>105</v>
      </c>
      <c r="K52" s="60" t="s">
        <v>106</v>
      </c>
      <c r="L52" s="60" t="s">
        <v>218</v>
      </c>
      <c r="M52" s="60" t="s">
        <v>107</v>
      </c>
      <c r="N52" s="72"/>
      <c r="O52" s="72">
        <v>6</v>
      </c>
      <c r="P52" s="72">
        <v>6</v>
      </c>
      <c r="Q52" s="62">
        <v>0</v>
      </c>
      <c r="R52" s="56" t="s">
        <v>311</v>
      </c>
      <c r="T52" s="56" t="s">
        <v>314</v>
      </c>
      <c r="U52" s="56" t="s">
        <v>321</v>
      </c>
    </row>
    <row r="53" spans="1:21" s="56" customFormat="1" x14ac:dyDescent="0.2">
      <c r="A53" s="136">
        <v>2018</v>
      </c>
      <c r="B53" s="60" t="s">
        <v>369</v>
      </c>
      <c r="C53" s="60">
        <v>22316</v>
      </c>
      <c r="D53" s="61">
        <v>35</v>
      </c>
      <c r="E53" s="80">
        <v>43340</v>
      </c>
      <c r="F53" s="60" t="s">
        <v>103</v>
      </c>
      <c r="G53" s="60" t="s">
        <v>47</v>
      </c>
      <c r="H53" s="60" t="s">
        <v>135</v>
      </c>
      <c r="I53" s="56" t="s">
        <v>58</v>
      </c>
      <c r="J53" s="60" t="s">
        <v>105</v>
      </c>
      <c r="K53" s="60" t="s">
        <v>106</v>
      </c>
      <c r="L53" s="60" t="s">
        <v>217</v>
      </c>
      <c r="M53" s="60" t="s">
        <v>107</v>
      </c>
      <c r="N53" s="72"/>
      <c r="O53" s="72">
        <v>8</v>
      </c>
      <c r="P53" s="72">
        <v>8</v>
      </c>
      <c r="Q53" s="62">
        <v>0</v>
      </c>
      <c r="R53" s="56" t="s">
        <v>311</v>
      </c>
      <c r="T53" s="56" t="s">
        <v>315</v>
      </c>
      <c r="U53" s="56" t="s">
        <v>320</v>
      </c>
    </row>
    <row r="54" spans="1:21" s="56" customFormat="1" x14ac:dyDescent="0.2">
      <c r="A54" s="136">
        <v>2018</v>
      </c>
      <c r="B54" s="60" t="s">
        <v>370</v>
      </c>
      <c r="C54" s="60">
        <v>22317</v>
      </c>
      <c r="D54" s="61">
        <v>35</v>
      </c>
      <c r="E54" s="80">
        <v>43340</v>
      </c>
      <c r="F54" s="60" t="s">
        <v>103</v>
      </c>
      <c r="G54" s="60" t="s">
        <v>47</v>
      </c>
      <c r="H54" s="60" t="s">
        <v>135</v>
      </c>
      <c r="I54" s="56" t="s">
        <v>58</v>
      </c>
      <c r="J54" s="60" t="s">
        <v>105</v>
      </c>
      <c r="K54" s="60" t="s">
        <v>106</v>
      </c>
      <c r="L54" s="60" t="s">
        <v>218</v>
      </c>
      <c r="M54" s="60" t="s">
        <v>107</v>
      </c>
      <c r="N54" s="72"/>
      <c r="O54" s="72">
        <v>1</v>
      </c>
      <c r="P54" s="72">
        <v>1</v>
      </c>
      <c r="Q54" s="62">
        <v>0</v>
      </c>
      <c r="R54" s="56" t="s">
        <v>311</v>
      </c>
      <c r="T54" s="56" t="s">
        <v>314</v>
      </c>
      <c r="U54" s="56" t="s">
        <v>321</v>
      </c>
    </row>
    <row r="55" spans="1:21" s="56" customFormat="1" x14ac:dyDescent="0.2">
      <c r="A55" s="136">
        <v>2018</v>
      </c>
      <c r="B55" s="60" t="s">
        <v>371</v>
      </c>
      <c r="C55" s="60">
        <v>22318</v>
      </c>
      <c r="D55" s="61">
        <v>35</v>
      </c>
      <c r="E55" s="80">
        <v>43340</v>
      </c>
      <c r="F55" s="60" t="s">
        <v>103</v>
      </c>
      <c r="G55" s="60" t="s">
        <v>47</v>
      </c>
      <c r="H55" s="60" t="s">
        <v>141</v>
      </c>
      <c r="I55" s="56" t="s">
        <v>58</v>
      </c>
      <c r="J55" s="60" t="s">
        <v>105</v>
      </c>
      <c r="K55" s="60" t="s">
        <v>106</v>
      </c>
      <c r="L55" s="60" t="s">
        <v>217</v>
      </c>
      <c r="M55" s="60" t="s">
        <v>107</v>
      </c>
      <c r="N55" s="72"/>
      <c r="O55" s="72">
        <v>3</v>
      </c>
      <c r="P55" s="72">
        <v>3</v>
      </c>
      <c r="Q55" s="62">
        <v>0</v>
      </c>
      <c r="R55" s="56" t="s">
        <v>311</v>
      </c>
      <c r="T55" s="56" t="s">
        <v>315</v>
      </c>
      <c r="U55" s="56" t="s">
        <v>320</v>
      </c>
    </row>
    <row r="56" spans="1:21" s="56" customFormat="1" x14ac:dyDescent="0.2">
      <c r="A56" s="136">
        <v>2018</v>
      </c>
      <c r="B56" s="60" t="s">
        <v>372</v>
      </c>
      <c r="C56" s="60">
        <v>22319</v>
      </c>
      <c r="D56" s="61">
        <v>35</v>
      </c>
      <c r="E56" s="80">
        <v>43340</v>
      </c>
      <c r="F56" s="60" t="s">
        <v>103</v>
      </c>
      <c r="G56" s="60" t="s">
        <v>47</v>
      </c>
      <c r="H56" s="60" t="s">
        <v>141</v>
      </c>
      <c r="I56" s="56" t="s">
        <v>58</v>
      </c>
      <c r="J56" s="60" t="s">
        <v>105</v>
      </c>
      <c r="K56" s="60" t="s">
        <v>106</v>
      </c>
      <c r="L56" s="60" t="s">
        <v>218</v>
      </c>
      <c r="M56" s="60" t="s">
        <v>107</v>
      </c>
      <c r="N56" s="72"/>
      <c r="O56" s="72">
        <v>2</v>
      </c>
      <c r="P56" s="72">
        <v>2</v>
      </c>
      <c r="Q56" s="62">
        <v>0</v>
      </c>
      <c r="R56" s="56" t="s">
        <v>311</v>
      </c>
      <c r="T56" s="56" t="s">
        <v>314</v>
      </c>
      <c r="U56" s="56" t="s">
        <v>321</v>
      </c>
    </row>
    <row r="57" spans="1:21" s="56" customFormat="1" x14ac:dyDescent="0.2">
      <c r="A57" s="136">
        <v>2018</v>
      </c>
      <c r="B57" s="60" t="s">
        <v>373</v>
      </c>
      <c r="C57" s="60">
        <v>22320</v>
      </c>
      <c r="D57" s="61">
        <v>35</v>
      </c>
      <c r="E57" s="80">
        <v>43340</v>
      </c>
      <c r="F57" s="60" t="s">
        <v>103</v>
      </c>
      <c r="G57" s="60" t="s">
        <v>47</v>
      </c>
      <c r="H57" s="60" t="s">
        <v>223</v>
      </c>
      <c r="I57" s="56" t="s">
        <v>58</v>
      </c>
      <c r="J57" s="60" t="s">
        <v>111</v>
      </c>
      <c r="K57" s="60" t="s">
        <v>106</v>
      </c>
      <c r="L57" s="60" t="s">
        <v>218</v>
      </c>
      <c r="M57" s="60" t="s">
        <v>107</v>
      </c>
      <c r="N57" s="72">
        <v>34</v>
      </c>
      <c r="O57" s="72"/>
      <c r="P57" s="72">
        <v>34</v>
      </c>
      <c r="Q57" s="62">
        <v>0</v>
      </c>
      <c r="R57" s="56" t="s">
        <v>311</v>
      </c>
      <c r="T57" s="56" t="s">
        <v>314</v>
      </c>
      <c r="U57" s="56" t="s">
        <v>321</v>
      </c>
    </row>
    <row r="58" spans="1:21" s="56" customFormat="1" x14ac:dyDescent="0.2">
      <c r="A58" s="136">
        <v>2018</v>
      </c>
      <c r="B58" s="60" t="s">
        <v>375</v>
      </c>
      <c r="C58" s="60">
        <v>22322</v>
      </c>
      <c r="D58" s="61">
        <v>35</v>
      </c>
      <c r="E58" s="80">
        <v>43340</v>
      </c>
      <c r="F58" s="60" t="s">
        <v>103</v>
      </c>
      <c r="G58" s="60" t="s">
        <v>47</v>
      </c>
      <c r="H58" s="60" t="s">
        <v>295</v>
      </c>
      <c r="I58" s="56" t="s">
        <v>58</v>
      </c>
      <c r="J58" s="60" t="s">
        <v>111</v>
      </c>
      <c r="K58" s="60" t="s">
        <v>106</v>
      </c>
      <c r="L58" s="60" t="s">
        <v>218</v>
      </c>
      <c r="M58" s="60" t="s">
        <v>107</v>
      </c>
      <c r="N58" s="72">
        <v>7</v>
      </c>
      <c r="O58" s="72"/>
      <c r="P58" s="72">
        <v>7</v>
      </c>
      <c r="Q58" s="62">
        <v>0</v>
      </c>
      <c r="R58" s="56" t="s">
        <v>311</v>
      </c>
      <c r="T58" s="56" t="s">
        <v>314</v>
      </c>
      <c r="U58" s="56" t="s">
        <v>321</v>
      </c>
    </row>
    <row r="59" spans="1:21" s="56" customFormat="1" x14ac:dyDescent="0.2">
      <c r="A59" s="136">
        <v>2018</v>
      </c>
      <c r="B59" s="60" t="s">
        <v>376</v>
      </c>
      <c r="C59" s="60">
        <v>22323</v>
      </c>
      <c r="D59" s="61">
        <v>35</v>
      </c>
      <c r="E59" s="80">
        <v>43340</v>
      </c>
      <c r="F59" s="60" t="s">
        <v>103</v>
      </c>
      <c r="G59" s="60" t="s">
        <v>47</v>
      </c>
      <c r="H59" s="60" t="s">
        <v>134</v>
      </c>
      <c r="I59" s="56" t="s">
        <v>58</v>
      </c>
      <c r="J59" s="60" t="s">
        <v>105</v>
      </c>
      <c r="K59" s="60" t="s">
        <v>106</v>
      </c>
      <c r="L59" s="60" t="s">
        <v>217</v>
      </c>
      <c r="M59" s="60" t="s">
        <v>107</v>
      </c>
      <c r="N59" s="72"/>
      <c r="O59" s="72">
        <v>4</v>
      </c>
      <c r="P59" s="72">
        <v>4</v>
      </c>
      <c r="Q59" s="62">
        <v>0</v>
      </c>
      <c r="R59" s="56" t="s">
        <v>311</v>
      </c>
      <c r="T59" s="56" t="s">
        <v>315</v>
      </c>
      <c r="U59" s="56" t="s">
        <v>320</v>
      </c>
    </row>
    <row r="60" spans="1:21" s="56" customFormat="1" x14ac:dyDescent="0.2">
      <c r="A60" s="136">
        <v>2018</v>
      </c>
      <c r="B60" s="60" t="s">
        <v>377</v>
      </c>
      <c r="C60" s="60">
        <v>22324</v>
      </c>
      <c r="D60" s="61">
        <v>35</v>
      </c>
      <c r="E60" s="80">
        <v>43340</v>
      </c>
      <c r="F60" s="60" t="s">
        <v>103</v>
      </c>
      <c r="G60" s="60" t="s">
        <v>47</v>
      </c>
      <c r="H60" s="60" t="s">
        <v>134</v>
      </c>
      <c r="I60" s="60" t="s">
        <v>58</v>
      </c>
      <c r="J60" s="60" t="s">
        <v>105</v>
      </c>
      <c r="K60" s="60" t="s">
        <v>106</v>
      </c>
      <c r="L60" s="60" t="s">
        <v>218</v>
      </c>
      <c r="M60" s="60" t="s">
        <v>107</v>
      </c>
      <c r="N60" s="72"/>
      <c r="O60" s="72">
        <v>1</v>
      </c>
      <c r="P60" s="72">
        <v>1</v>
      </c>
      <c r="Q60" s="62">
        <v>0</v>
      </c>
      <c r="R60" s="56" t="s">
        <v>311</v>
      </c>
      <c r="T60" s="56" t="s">
        <v>314</v>
      </c>
      <c r="U60" s="56" t="s">
        <v>321</v>
      </c>
    </row>
    <row r="61" spans="1:21" s="56" customFormat="1" x14ac:dyDescent="0.2">
      <c r="A61" s="76">
        <v>2018</v>
      </c>
      <c r="B61" s="56" t="s">
        <v>436</v>
      </c>
      <c r="C61" s="60">
        <v>22383</v>
      </c>
      <c r="D61" s="62">
        <v>35</v>
      </c>
      <c r="E61" s="80">
        <v>43342</v>
      </c>
      <c r="F61" s="56" t="s">
        <v>103</v>
      </c>
      <c r="G61" s="60" t="s">
        <v>47</v>
      </c>
      <c r="H61" s="56" t="s">
        <v>148</v>
      </c>
      <c r="I61" s="60" t="s">
        <v>58</v>
      </c>
      <c r="J61" s="56" t="s">
        <v>105</v>
      </c>
      <c r="K61" s="56" t="s">
        <v>106</v>
      </c>
      <c r="L61" s="56" t="s">
        <v>217</v>
      </c>
      <c r="M61" s="56" t="s">
        <v>107</v>
      </c>
      <c r="N61" s="73"/>
      <c r="O61" s="73">
        <v>6</v>
      </c>
      <c r="P61" s="73">
        <v>6</v>
      </c>
      <c r="Q61" s="62">
        <v>0</v>
      </c>
      <c r="R61" s="56" t="s">
        <v>311</v>
      </c>
      <c r="T61" s="56" t="s">
        <v>315</v>
      </c>
      <c r="U61" s="56" t="s">
        <v>320</v>
      </c>
    </row>
    <row r="62" spans="1:21" s="56" customFormat="1" x14ac:dyDescent="0.2">
      <c r="A62" s="76">
        <v>2018</v>
      </c>
      <c r="B62" s="56" t="s">
        <v>437</v>
      </c>
      <c r="C62" s="60">
        <v>22384</v>
      </c>
      <c r="D62" s="62">
        <v>35</v>
      </c>
      <c r="E62" s="80">
        <v>43342</v>
      </c>
      <c r="F62" s="56" t="s">
        <v>103</v>
      </c>
      <c r="G62" s="60" t="s">
        <v>47</v>
      </c>
      <c r="H62" s="56" t="s">
        <v>148</v>
      </c>
      <c r="I62" s="60" t="s">
        <v>58</v>
      </c>
      <c r="J62" s="56" t="s">
        <v>105</v>
      </c>
      <c r="K62" s="56" t="s">
        <v>106</v>
      </c>
      <c r="L62" s="56" t="s">
        <v>218</v>
      </c>
      <c r="M62" s="56" t="s">
        <v>107</v>
      </c>
      <c r="N62" s="73"/>
      <c r="O62" s="73">
        <v>7</v>
      </c>
      <c r="P62" s="73">
        <v>7</v>
      </c>
      <c r="Q62" s="62">
        <v>0</v>
      </c>
      <c r="R62" s="56" t="s">
        <v>311</v>
      </c>
      <c r="T62" s="56" t="s">
        <v>314</v>
      </c>
      <c r="U62" s="56" t="s">
        <v>321</v>
      </c>
    </row>
    <row r="63" spans="1:21" s="56" customFormat="1" x14ac:dyDescent="0.2">
      <c r="A63" s="136">
        <v>2018</v>
      </c>
      <c r="B63" s="60" t="s">
        <v>388</v>
      </c>
      <c r="C63" s="60">
        <v>22335</v>
      </c>
      <c r="D63" s="61">
        <v>35</v>
      </c>
      <c r="E63" s="80">
        <v>43341</v>
      </c>
      <c r="F63" s="60" t="s">
        <v>103</v>
      </c>
      <c r="G63" s="60" t="s">
        <v>47</v>
      </c>
      <c r="H63" s="60" t="s">
        <v>119</v>
      </c>
      <c r="I63" s="60" t="s">
        <v>60</v>
      </c>
      <c r="J63" s="60" t="s">
        <v>105</v>
      </c>
      <c r="K63" s="60" t="s">
        <v>106</v>
      </c>
      <c r="L63" s="60" t="s">
        <v>217</v>
      </c>
      <c r="M63" s="60" t="s">
        <v>107</v>
      </c>
      <c r="N63" s="72"/>
      <c r="O63" s="72">
        <v>4</v>
      </c>
      <c r="P63" s="72">
        <v>4</v>
      </c>
      <c r="Q63" s="62">
        <v>0</v>
      </c>
      <c r="R63" s="56" t="s">
        <v>311</v>
      </c>
      <c r="T63" s="56" t="s">
        <v>315</v>
      </c>
      <c r="U63" s="56" t="s">
        <v>322</v>
      </c>
    </row>
    <row r="64" spans="1:21" s="56" customFormat="1" x14ac:dyDescent="0.2">
      <c r="A64" s="137">
        <v>2018</v>
      </c>
      <c r="B64" s="88" t="s">
        <v>389</v>
      </c>
      <c r="C64" s="88">
        <v>22336</v>
      </c>
      <c r="D64" s="89">
        <v>35</v>
      </c>
      <c r="E64" s="90">
        <v>43341</v>
      </c>
      <c r="F64" s="88" t="s">
        <v>103</v>
      </c>
      <c r="G64" s="88" t="s">
        <v>47</v>
      </c>
      <c r="H64" s="88" t="s">
        <v>131</v>
      </c>
      <c r="I64" s="88" t="s">
        <v>60</v>
      </c>
      <c r="J64" s="88" t="s">
        <v>105</v>
      </c>
      <c r="K64" s="88" t="s">
        <v>106</v>
      </c>
      <c r="L64" s="88" t="s">
        <v>217</v>
      </c>
      <c r="M64" s="88" t="s">
        <v>107</v>
      </c>
      <c r="N64" s="87"/>
      <c r="O64" s="87">
        <v>17</v>
      </c>
      <c r="P64" s="87">
        <v>17</v>
      </c>
      <c r="Q64" s="92">
        <v>1</v>
      </c>
      <c r="R64" s="91" t="s">
        <v>312</v>
      </c>
      <c r="S64" s="91"/>
      <c r="T64" s="91" t="s">
        <v>315</v>
      </c>
      <c r="U64" s="91" t="s">
        <v>322</v>
      </c>
    </row>
    <row r="65" spans="1:21" s="56" customFormat="1" x14ac:dyDescent="0.2">
      <c r="A65" s="137">
        <v>2018</v>
      </c>
      <c r="B65" s="88" t="s">
        <v>390</v>
      </c>
      <c r="C65" s="88">
        <v>22337</v>
      </c>
      <c r="D65" s="89">
        <v>35</v>
      </c>
      <c r="E65" s="90">
        <v>43341</v>
      </c>
      <c r="F65" s="88" t="s">
        <v>103</v>
      </c>
      <c r="G65" s="88" t="s">
        <v>47</v>
      </c>
      <c r="H65" s="88" t="s">
        <v>132</v>
      </c>
      <c r="I65" s="91" t="s">
        <v>60</v>
      </c>
      <c r="J65" s="88" t="s">
        <v>105</v>
      </c>
      <c r="K65" s="88" t="s">
        <v>106</v>
      </c>
      <c r="L65" s="88" t="s">
        <v>217</v>
      </c>
      <c r="M65" s="88" t="s">
        <v>107</v>
      </c>
      <c r="N65" s="87"/>
      <c r="O65" s="87">
        <v>26</v>
      </c>
      <c r="P65" s="87">
        <v>26</v>
      </c>
      <c r="Q65" s="92">
        <v>1</v>
      </c>
      <c r="R65" s="91" t="s">
        <v>312</v>
      </c>
      <c r="S65" s="91"/>
      <c r="T65" s="91" t="s">
        <v>315</v>
      </c>
      <c r="U65" s="91" t="s">
        <v>322</v>
      </c>
    </row>
    <row r="66" spans="1:21" s="56" customFormat="1" x14ac:dyDescent="0.2">
      <c r="A66" s="136">
        <v>2018</v>
      </c>
      <c r="B66" s="60" t="s">
        <v>391</v>
      </c>
      <c r="C66" s="60">
        <v>22338</v>
      </c>
      <c r="D66" s="61">
        <v>35</v>
      </c>
      <c r="E66" s="80">
        <v>43341</v>
      </c>
      <c r="F66" s="60" t="s">
        <v>103</v>
      </c>
      <c r="G66" s="60" t="s">
        <v>47</v>
      </c>
      <c r="H66" s="60" t="s">
        <v>132</v>
      </c>
      <c r="I66" s="56" t="s">
        <v>60</v>
      </c>
      <c r="J66" s="60" t="s">
        <v>105</v>
      </c>
      <c r="K66" s="60" t="s">
        <v>106</v>
      </c>
      <c r="L66" s="60" t="s">
        <v>218</v>
      </c>
      <c r="M66" s="60" t="s">
        <v>107</v>
      </c>
      <c r="N66" s="72"/>
      <c r="O66" s="72">
        <v>3</v>
      </c>
      <c r="P66" s="72">
        <v>3</v>
      </c>
      <c r="Q66" s="62">
        <v>0</v>
      </c>
      <c r="R66" s="56" t="s">
        <v>311</v>
      </c>
      <c r="T66" s="56" t="s">
        <v>314</v>
      </c>
      <c r="U66" s="56" t="s">
        <v>323</v>
      </c>
    </row>
    <row r="67" spans="1:21" s="56" customFormat="1" x14ac:dyDescent="0.2">
      <c r="A67" s="136">
        <v>2018</v>
      </c>
      <c r="B67" s="60" t="s">
        <v>392</v>
      </c>
      <c r="C67" s="60">
        <v>22339</v>
      </c>
      <c r="D67" s="61">
        <v>35</v>
      </c>
      <c r="E67" s="80">
        <v>43341</v>
      </c>
      <c r="F67" s="60" t="s">
        <v>103</v>
      </c>
      <c r="G67" s="60" t="s">
        <v>47</v>
      </c>
      <c r="H67" s="60" t="s">
        <v>130</v>
      </c>
      <c r="I67" s="56" t="s">
        <v>60</v>
      </c>
      <c r="J67" s="60" t="s">
        <v>105</v>
      </c>
      <c r="K67" s="60" t="s">
        <v>106</v>
      </c>
      <c r="L67" s="60" t="s">
        <v>217</v>
      </c>
      <c r="M67" s="60" t="s">
        <v>107</v>
      </c>
      <c r="N67" s="72"/>
      <c r="O67" s="72">
        <v>12</v>
      </c>
      <c r="P67" s="72">
        <v>12</v>
      </c>
      <c r="Q67" s="62">
        <v>0</v>
      </c>
      <c r="R67" s="56" t="s">
        <v>311</v>
      </c>
      <c r="T67" s="56" t="s">
        <v>315</v>
      </c>
      <c r="U67" s="56" t="s">
        <v>322</v>
      </c>
    </row>
    <row r="68" spans="1:21" s="56" customFormat="1" x14ac:dyDescent="0.2">
      <c r="A68" s="76">
        <v>2018</v>
      </c>
      <c r="B68" s="56" t="s">
        <v>393</v>
      </c>
      <c r="C68" s="60">
        <v>22340</v>
      </c>
      <c r="D68" s="62">
        <v>35</v>
      </c>
      <c r="E68" s="80">
        <v>43341</v>
      </c>
      <c r="F68" s="56" t="s">
        <v>103</v>
      </c>
      <c r="G68" s="60" t="s">
        <v>47</v>
      </c>
      <c r="H68" s="56" t="s">
        <v>130</v>
      </c>
      <c r="I68" s="56" t="s">
        <v>60</v>
      </c>
      <c r="J68" s="56" t="s">
        <v>105</v>
      </c>
      <c r="K68" s="56" t="s">
        <v>106</v>
      </c>
      <c r="L68" s="56" t="s">
        <v>218</v>
      </c>
      <c r="M68" s="56" t="s">
        <v>107</v>
      </c>
      <c r="N68" s="73"/>
      <c r="O68" s="73">
        <v>4</v>
      </c>
      <c r="P68" s="73">
        <v>4</v>
      </c>
      <c r="Q68" s="62">
        <v>0</v>
      </c>
      <c r="R68" s="56" t="s">
        <v>311</v>
      </c>
      <c r="T68" s="56" t="s">
        <v>314</v>
      </c>
      <c r="U68" s="56" t="s">
        <v>323</v>
      </c>
    </row>
    <row r="69" spans="1:21" s="56" customFormat="1" x14ac:dyDescent="0.2">
      <c r="A69" s="97">
        <v>2018</v>
      </c>
      <c r="B69" s="91" t="s">
        <v>394</v>
      </c>
      <c r="C69" s="88">
        <v>22341</v>
      </c>
      <c r="D69" s="92">
        <v>35</v>
      </c>
      <c r="E69" s="90">
        <v>43341</v>
      </c>
      <c r="F69" s="91" t="s">
        <v>103</v>
      </c>
      <c r="G69" s="88" t="s">
        <v>47</v>
      </c>
      <c r="H69" s="91" t="s">
        <v>136</v>
      </c>
      <c r="I69" s="91" t="s">
        <v>60</v>
      </c>
      <c r="J69" s="91" t="s">
        <v>105</v>
      </c>
      <c r="K69" s="91" t="s">
        <v>106</v>
      </c>
      <c r="L69" s="91" t="s">
        <v>217</v>
      </c>
      <c r="M69" s="91" t="s">
        <v>107</v>
      </c>
      <c r="N69" s="93"/>
      <c r="O69" s="93">
        <v>11</v>
      </c>
      <c r="P69" s="93">
        <v>11</v>
      </c>
      <c r="Q69" s="92">
        <v>1</v>
      </c>
      <c r="R69" s="91" t="s">
        <v>312</v>
      </c>
      <c r="S69" s="91"/>
      <c r="T69" s="91" t="s">
        <v>315</v>
      </c>
      <c r="U69" s="91" t="s">
        <v>322</v>
      </c>
    </row>
    <row r="70" spans="1:21" s="56" customFormat="1" x14ac:dyDescent="0.2">
      <c r="A70" s="76">
        <v>2018</v>
      </c>
      <c r="B70" s="56" t="s">
        <v>395</v>
      </c>
      <c r="C70" s="60">
        <v>22342</v>
      </c>
      <c r="D70" s="62">
        <v>35</v>
      </c>
      <c r="E70" s="80">
        <v>43341</v>
      </c>
      <c r="F70" s="56" t="s">
        <v>103</v>
      </c>
      <c r="G70" s="60" t="s">
        <v>47</v>
      </c>
      <c r="H70" s="56" t="s">
        <v>136</v>
      </c>
      <c r="I70" s="56" t="s">
        <v>60</v>
      </c>
      <c r="J70" s="56" t="s">
        <v>105</v>
      </c>
      <c r="K70" s="56" t="s">
        <v>106</v>
      </c>
      <c r="L70" s="56" t="s">
        <v>218</v>
      </c>
      <c r="M70" s="56" t="s">
        <v>107</v>
      </c>
      <c r="N70" s="73"/>
      <c r="O70" s="73">
        <v>4</v>
      </c>
      <c r="P70" s="73">
        <v>4</v>
      </c>
      <c r="Q70" s="62">
        <v>0</v>
      </c>
      <c r="R70" s="56" t="s">
        <v>311</v>
      </c>
      <c r="T70" s="56" t="s">
        <v>314</v>
      </c>
      <c r="U70" s="56" t="s">
        <v>323</v>
      </c>
    </row>
    <row r="71" spans="1:21" s="56" customFormat="1" x14ac:dyDescent="0.2">
      <c r="A71" s="93">
        <v>2018</v>
      </c>
      <c r="B71" s="91" t="s">
        <v>396</v>
      </c>
      <c r="C71" s="88">
        <v>22343</v>
      </c>
      <c r="D71" s="92">
        <v>35</v>
      </c>
      <c r="E71" s="90">
        <v>43341</v>
      </c>
      <c r="F71" s="91" t="s">
        <v>103</v>
      </c>
      <c r="G71" s="88" t="s">
        <v>47</v>
      </c>
      <c r="H71" s="91" t="s">
        <v>293</v>
      </c>
      <c r="I71" s="88" t="s">
        <v>60</v>
      </c>
      <c r="J71" s="91" t="s">
        <v>111</v>
      </c>
      <c r="K71" s="91" t="s">
        <v>106</v>
      </c>
      <c r="L71" s="91" t="s">
        <v>218</v>
      </c>
      <c r="M71" s="91" t="s">
        <v>107</v>
      </c>
      <c r="N71" s="93">
        <v>14</v>
      </c>
      <c r="O71" s="93"/>
      <c r="P71" s="93">
        <v>14</v>
      </c>
      <c r="Q71" s="92">
        <v>1</v>
      </c>
      <c r="R71" s="91" t="s">
        <v>312</v>
      </c>
      <c r="S71" s="91"/>
      <c r="T71" s="91" t="s">
        <v>314</v>
      </c>
      <c r="U71" s="91" t="s">
        <v>323</v>
      </c>
    </row>
    <row r="72" spans="1:21" s="56" customFormat="1" x14ac:dyDescent="0.2">
      <c r="A72" s="93">
        <v>2018</v>
      </c>
      <c r="B72" s="91" t="s">
        <v>397</v>
      </c>
      <c r="C72" s="88">
        <v>22344</v>
      </c>
      <c r="D72" s="92">
        <v>35</v>
      </c>
      <c r="E72" s="90">
        <v>43341</v>
      </c>
      <c r="F72" s="91" t="s">
        <v>103</v>
      </c>
      <c r="G72" s="88" t="s">
        <v>47</v>
      </c>
      <c r="H72" s="91" t="s">
        <v>294</v>
      </c>
      <c r="I72" s="88" t="s">
        <v>60</v>
      </c>
      <c r="J72" s="91" t="s">
        <v>111</v>
      </c>
      <c r="K72" s="91" t="s">
        <v>106</v>
      </c>
      <c r="L72" s="91" t="s">
        <v>218</v>
      </c>
      <c r="M72" s="91" t="s">
        <v>107</v>
      </c>
      <c r="N72" s="93">
        <v>50</v>
      </c>
      <c r="O72" s="93"/>
      <c r="P72" s="93">
        <v>50</v>
      </c>
      <c r="Q72" s="92">
        <v>1</v>
      </c>
      <c r="R72" s="91" t="s">
        <v>312</v>
      </c>
      <c r="S72" s="91"/>
      <c r="T72" s="91" t="s">
        <v>314</v>
      </c>
      <c r="U72" s="91" t="s">
        <v>323</v>
      </c>
    </row>
    <row r="73" spans="1:21" s="56" customFormat="1" x14ac:dyDescent="0.2">
      <c r="A73" s="93">
        <v>2018</v>
      </c>
      <c r="B73" s="91" t="s">
        <v>398</v>
      </c>
      <c r="C73" s="88">
        <v>22345</v>
      </c>
      <c r="D73" s="92">
        <v>35</v>
      </c>
      <c r="E73" s="90">
        <v>43341</v>
      </c>
      <c r="F73" s="91" t="s">
        <v>103</v>
      </c>
      <c r="G73" s="88" t="s">
        <v>47</v>
      </c>
      <c r="H73" s="91" t="s">
        <v>294</v>
      </c>
      <c r="I73" s="88" t="s">
        <v>60</v>
      </c>
      <c r="J73" s="91" t="s">
        <v>111</v>
      </c>
      <c r="K73" s="91" t="s">
        <v>106</v>
      </c>
      <c r="L73" s="91" t="s">
        <v>218</v>
      </c>
      <c r="M73" s="91" t="s">
        <v>107</v>
      </c>
      <c r="N73" s="93">
        <v>46</v>
      </c>
      <c r="O73" s="93"/>
      <c r="P73" s="93">
        <v>46</v>
      </c>
      <c r="Q73" s="92">
        <v>1</v>
      </c>
      <c r="R73" s="91" t="s">
        <v>312</v>
      </c>
      <c r="S73" s="91"/>
      <c r="T73" s="91" t="s">
        <v>314</v>
      </c>
      <c r="U73" s="91" t="s">
        <v>323</v>
      </c>
    </row>
    <row r="74" spans="1:21" s="56" customFormat="1" x14ac:dyDescent="0.2">
      <c r="A74" s="73">
        <v>2018</v>
      </c>
      <c r="B74" s="56" t="s">
        <v>399</v>
      </c>
      <c r="C74" s="60">
        <v>22346</v>
      </c>
      <c r="D74" s="62">
        <v>35</v>
      </c>
      <c r="E74" s="80">
        <v>43341</v>
      </c>
      <c r="F74" s="56" t="s">
        <v>103</v>
      </c>
      <c r="G74" s="60" t="s">
        <v>47</v>
      </c>
      <c r="H74" s="56" t="s">
        <v>129</v>
      </c>
      <c r="I74" s="60" t="s">
        <v>60</v>
      </c>
      <c r="J74" s="56" t="s">
        <v>105</v>
      </c>
      <c r="K74" s="56" t="s">
        <v>106</v>
      </c>
      <c r="L74" s="56" t="s">
        <v>217</v>
      </c>
      <c r="M74" s="56" t="s">
        <v>107</v>
      </c>
      <c r="N74" s="73"/>
      <c r="O74" s="73">
        <v>3</v>
      </c>
      <c r="P74" s="73">
        <v>3</v>
      </c>
      <c r="Q74" s="62">
        <v>0</v>
      </c>
      <c r="R74" s="56" t="s">
        <v>311</v>
      </c>
      <c r="T74" s="56" t="s">
        <v>315</v>
      </c>
      <c r="U74" s="56" t="s">
        <v>322</v>
      </c>
    </row>
    <row r="75" spans="1:21" s="56" customFormat="1" x14ac:dyDescent="0.2">
      <c r="A75" s="73">
        <v>2018</v>
      </c>
      <c r="B75" s="56" t="s">
        <v>400</v>
      </c>
      <c r="C75" s="60">
        <v>22347</v>
      </c>
      <c r="D75" s="62">
        <v>35</v>
      </c>
      <c r="E75" s="80">
        <v>43341</v>
      </c>
      <c r="F75" s="56" t="s">
        <v>103</v>
      </c>
      <c r="G75" s="60" t="s">
        <v>47</v>
      </c>
      <c r="H75" s="56" t="s">
        <v>296</v>
      </c>
      <c r="I75" s="60" t="s">
        <v>60</v>
      </c>
      <c r="J75" s="56" t="s">
        <v>105</v>
      </c>
      <c r="K75" s="56" t="s">
        <v>106</v>
      </c>
      <c r="L75" s="56" t="s">
        <v>217</v>
      </c>
      <c r="M75" s="56" t="s">
        <v>107</v>
      </c>
      <c r="N75" s="73"/>
      <c r="O75" s="73">
        <v>20</v>
      </c>
      <c r="P75" s="73">
        <v>20</v>
      </c>
      <c r="Q75" s="62">
        <v>0</v>
      </c>
      <c r="R75" s="56" t="s">
        <v>311</v>
      </c>
      <c r="T75" s="56" t="s">
        <v>315</v>
      </c>
      <c r="U75" s="56" t="s">
        <v>322</v>
      </c>
    </row>
    <row r="76" spans="1:21" s="56" customFormat="1" x14ac:dyDescent="0.2">
      <c r="A76" s="73">
        <v>2018</v>
      </c>
      <c r="B76" s="56" t="s">
        <v>401</v>
      </c>
      <c r="C76" s="60">
        <v>22348</v>
      </c>
      <c r="D76" s="62">
        <v>35</v>
      </c>
      <c r="E76" s="80">
        <v>43341</v>
      </c>
      <c r="F76" s="56" t="s">
        <v>103</v>
      </c>
      <c r="G76" s="60" t="s">
        <v>47</v>
      </c>
      <c r="H76" s="56" t="s">
        <v>296</v>
      </c>
      <c r="I76" s="60" t="s">
        <v>60</v>
      </c>
      <c r="J76" s="56" t="s">
        <v>105</v>
      </c>
      <c r="K76" s="56" t="s">
        <v>106</v>
      </c>
      <c r="L76" s="56" t="s">
        <v>218</v>
      </c>
      <c r="M76" s="56" t="s">
        <v>107</v>
      </c>
      <c r="N76" s="73"/>
      <c r="O76" s="73">
        <v>2</v>
      </c>
      <c r="P76" s="73">
        <v>2</v>
      </c>
      <c r="Q76" s="62">
        <v>0</v>
      </c>
      <c r="R76" s="56" t="s">
        <v>311</v>
      </c>
      <c r="T76" s="56" t="s">
        <v>314</v>
      </c>
      <c r="U76" s="56" t="s">
        <v>323</v>
      </c>
    </row>
    <row r="77" spans="1:21" s="56" customFormat="1" x14ac:dyDescent="0.2">
      <c r="A77" s="73">
        <v>2018</v>
      </c>
      <c r="B77" s="56" t="s">
        <v>402</v>
      </c>
      <c r="C77" s="60">
        <v>22349</v>
      </c>
      <c r="D77" s="62">
        <v>35</v>
      </c>
      <c r="E77" s="80">
        <v>43341</v>
      </c>
      <c r="F77" s="56" t="s">
        <v>103</v>
      </c>
      <c r="G77" s="60" t="s">
        <v>47</v>
      </c>
      <c r="H77" s="56" t="s">
        <v>128</v>
      </c>
      <c r="I77" s="60" t="s">
        <v>60</v>
      </c>
      <c r="J77" s="56" t="s">
        <v>105</v>
      </c>
      <c r="K77" s="56" t="s">
        <v>106</v>
      </c>
      <c r="L77" s="56" t="s">
        <v>217</v>
      </c>
      <c r="M77" s="56" t="s">
        <v>107</v>
      </c>
      <c r="N77" s="73"/>
      <c r="O77" s="73">
        <v>28</v>
      </c>
      <c r="P77" s="73">
        <v>28</v>
      </c>
      <c r="Q77" s="62">
        <v>0</v>
      </c>
      <c r="R77" s="56" t="s">
        <v>311</v>
      </c>
      <c r="T77" s="56" t="s">
        <v>315</v>
      </c>
      <c r="U77" s="56" t="s">
        <v>322</v>
      </c>
    </row>
    <row r="78" spans="1:21" s="56" customFormat="1" x14ac:dyDescent="0.2">
      <c r="A78" s="93">
        <v>2018</v>
      </c>
      <c r="B78" s="91" t="s">
        <v>403</v>
      </c>
      <c r="C78" s="88">
        <v>22350</v>
      </c>
      <c r="D78" s="92">
        <v>35</v>
      </c>
      <c r="E78" s="90">
        <v>43341</v>
      </c>
      <c r="F78" s="91" t="s">
        <v>103</v>
      </c>
      <c r="G78" s="88" t="s">
        <v>47</v>
      </c>
      <c r="H78" s="91" t="s">
        <v>128</v>
      </c>
      <c r="I78" s="88" t="s">
        <v>60</v>
      </c>
      <c r="J78" s="91" t="s">
        <v>105</v>
      </c>
      <c r="K78" s="91" t="s">
        <v>106</v>
      </c>
      <c r="L78" s="91" t="s">
        <v>218</v>
      </c>
      <c r="M78" s="91" t="s">
        <v>107</v>
      </c>
      <c r="N78" s="93"/>
      <c r="O78" s="93">
        <v>43</v>
      </c>
      <c r="P78" s="93">
        <v>43</v>
      </c>
      <c r="Q78" s="92">
        <v>1</v>
      </c>
      <c r="R78" s="91" t="s">
        <v>312</v>
      </c>
      <c r="S78" s="91"/>
      <c r="T78" s="91" t="s">
        <v>314</v>
      </c>
      <c r="U78" s="91" t="s">
        <v>323</v>
      </c>
    </row>
    <row r="79" spans="1:21" s="56" customFormat="1" x14ac:dyDescent="0.2">
      <c r="A79" s="73">
        <v>2018</v>
      </c>
      <c r="B79" s="56" t="s">
        <v>404</v>
      </c>
      <c r="C79" s="60">
        <v>22351</v>
      </c>
      <c r="D79" s="62">
        <v>35</v>
      </c>
      <c r="E79" s="80">
        <v>43341</v>
      </c>
      <c r="F79" s="56" t="s">
        <v>103</v>
      </c>
      <c r="G79" s="60" t="s">
        <v>47</v>
      </c>
      <c r="H79" s="56" t="s">
        <v>127</v>
      </c>
      <c r="I79" s="60" t="s">
        <v>60</v>
      </c>
      <c r="J79" s="56" t="s">
        <v>105</v>
      </c>
      <c r="K79" s="56" t="s">
        <v>106</v>
      </c>
      <c r="L79" s="56" t="s">
        <v>217</v>
      </c>
      <c r="M79" s="56" t="s">
        <v>107</v>
      </c>
      <c r="N79" s="73"/>
      <c r="O79" s="73">
        <v>2</v>
      </c>
      <c r="P79" s="73">
        <v>2</v>
      </c>
      <c r="Q79" s="62">
        <v>0</v>
      </c>
      <c r="R79" s="56" t="s">
        <v>311</v>
      </c>
      <c r="T79" s="56" t="s">
        <v>315</v>
      </c>
      <c r="U79" s="56" t="s">
        <v>322</v>
      </c>
    </row>
    <row r="80" spans="1:21" s="56" customFormat="1" x14ac:dyDescent="0.2">
      <c r="A80" s="73">
        <v>2018</v>
      </c>
      <c r="B80" s="56" t="s">
        <v>405</v>
      </c>
      <c r="C80" s="60">
        <v>22352</v>
      </c>
      <c r="D80" s="62">
        <v>35</v>
      </c>
      <c r="E80" s="80">
        <v>43341</v>
      </c>
      <c r="F80" s="56" t="s">
        <v>103</v>
      </c>
      <c r="G80" s="60" t="s">
        <v>47</v>
      </c>
      <c r="H80" s="56" t="s">
        <v>127</v>
      </c>
      <c r="I80" s="60" t="s">
        <v>60</v>
      </c>
      <c r="J80" s="56" t="s">
        <v>105</v>
      </c>
      <c r="K80" s="56" t="s">
        <v>106</v>
      </c>
      <c r="L80" s="56" t="s">
        <v>218</v>
      </c>
      <c r="M80" s="56" t="s">
        <v>107</v>
      </c>
      <c r="N80" s="73"/>
      <c r="O80" s="73">
        <v>5</v>
      </c>
      <c r="P80" s="73">
        <v>5</v>
      </c>
      <c r="Q80" s="62">
        <v>0</v>
      </c>
      <c r="R80" s="56" t="s">
        <v>311</v>
      </c>
      <c r="T80" s="56" t="s">
        <v>314</v>
      </c>
      <c r="U80" s="56" t="s">
        <v>323</v>
      </c>
    </row>
    <row r="81" spans="1:21" s="56" customFormat="1" x14ac:dyDescent="0.2">
      <c r="A81" s="73">
        <v>2018</v>
      </c>
      <c r="B81" s="56" t="s">
        <v>406</v>
      </c>
      <c r="C81" s="60">
        <v>22353</v>
      </c>
      <c r="D81" s="62">
        <v>35</v>
      </c>
      <c r="E81" s="80">
        <v>43341</v>
      </c>
      <c r="F81" s="56" t="s">
        <v>103</v>
      </c>
      <c r="G81" s="60" t="s">
        <v>47</v>
      </c>
      <c r="H81" s="56" t="s">
        <v>125</v>
      </c>
      <c r="I81" s="60" t="s">
        <v>60</v>
      </c>
      <c r="J81" s="56" t="s">
        <v>105</v>
      </c>
      <c r="K81" s="56" t="s">
        <v>106</v>
      </c>
      <c r="L81" s="56" t="s">
        <v>217</v>
      </c>
      <c r="M81" s="56" t="s">
        <v>107</v>
      </c>
      <c r="N81" s="73"/>
      <c r="O81" s="73">
        <v>6</v>
      </c>
      <c r="P81" s="73">
        <v>6</v>
      </c>
      <c r="Q81" s="62">
        <v>0</v>
      </c>
      <c r="R81" s="56" t="s">
        <v>311</v>
      </c>
      <c r="T81" s="56" t="s">
        <v>315</v>
      </c>
      <c r="U81" s="56" t="s">
        <v>322</v>
      </c>
    </row>
    <row r="82" spans="1:21" s="56" customFormat="1" x14ac:dyDescent="0.2">
      <c r="A82" s="73">
        <v>2018</v>
      </c>
      <c r="B82" s="56" t="s">
        <v>407</v>
      </c>
      <c r="C82" s="60">
        <v>22354</v>
      </c>
      <c r="D82" s="62">
        <v>35</v>
      </c>
      <c r="E82" s="80">
        <v>43341</v>
      </c>
      <c r="F82" s="56" t="s">
        <v>103</v>
      </c>
      <c r="G82" s="60" t="s">
        <v>47</v>
      </c>
      <c r="H82" s="56" t="s">
        <v>125</v>
      </c>
      <c r="I82" s="60" t="s">
        <v>60</v>
      </c>
      <c r="J82" s="56" t="s">
        <v>105</v>
      </c>
      <c r="K82" s="56" t="s">
        <v>106</v>
      </c>
      <c r="L82" s="56" t="s">
        <v>218</v>
      </c>
      <c r="M82" s="56" t="s">
        <v>107</v>
      </c>
      <c r="N82" s="73"/>
      <c r="O82" s="73">
        <v>8</v>
      </c>
      <c r="P82" s="73">
        <v>8</v>
      </c>
      <c r="Q82" s="62">
        <v>0</v>
      </c>
      <c r="R82" s="56" t="s">
        <v>311</v>
      </c>
      <c r="T82" s="56" t="s">
        <v>314</v>
      </c>
      <c r="U82" s="56" t="s">
        <v>323</v>
      </c>
    </row>
    <row r="83" spans="1:21" s="56" customFormat="1" x14ac:dyDescent="0.2">
      <c r="A83" s="73">
        <v>2018</v>
      </c>
      <c r="B83" s="56" t="s">
        <v>408</v>
      </c>
      <c r="C83" s="60">
        <v>22355</v>
      </c>
      <c r="D83" s="62">
        <v>35</v>
      </c>
      <c r="E83" s="80">
        <v>43341</v>
      </c>
      <c r="F83" s="56" t="s">
        <v>103</v>
      </c>
      <c r="G83" s="60" t="s">
        <v>47</v>
      </c>
      <c r="H83" s="56" t="s">
        <v>124</v>
      </c>
      <c r="I83" s="60" t="s">
        <v>60</v>
      </c>
      <c r="J83" s="56" t="s">
        <v>105</v>
      </c>
      <c r="K83" s="56" t="s">
        <v>106</v>
      </c>
      <c r="L83" s="56" t="s">
        <v>217</v>
      </c>
      <c r="M83" s="56" t="s">
        <v>107</v>
      </c>
      <c r="N83" s="73"/>
      <c r="O83" s="73">
        <v>18</v>
      </c>
      <c r="P83" s="73">
        <v>18</v>
      </c>
      <c r="Q83" s="62">
        <v>0</v>
      </c>
      <c r="R83" s="56" t="s">
        <v>311</v>
      </c>
      <c r="T83" s="56" t="s">
        <v>315</v>
      </c>
      <c r="U83" s="56" t="s">
        <v>322</v>
      </c>
    </row>
    <row r="84" spans="1:21" s="56" customFormat="1" x14ac:dyDescent="0.2">
      <c r="A84" s="93">
        <v>2018</v>
      </c>
      <c r="B84" s="91" t="s">
        <v>409</v>
      </c>
      <c r="C84" s="88">
        <v>22356</v>
      </c>
      <c r="D84" s="92">
        <v>35</v>
      </c>
      <c r="E84" s="90">
        <v>43341</v>
      </c>
      <c r="F84" s="91" t="s">
        <v>103</v>
      </c>
      <c r="G84" s="88" t="s">
        <v>47</v>
      </c>
      <c r="H84" s="91" t="s">
        <v>124</v>
      </c>
      <c r="I84" s="88" t="s">
        <v>60</v>
      </c>
      <c r="J84" s="91" t="s">
        <v>105</v>
      </c>
      <c r="K84" s="91" t="s">
        <v>106</v>
      </c>
      <c r="L84" s="91" t="s">
        <v>218</v>
      </c>
      <c r="M84" s="91" t="s">
        <v>107</v>
      </c>
      <c r="N84" s="93"/>
      <c r="O84" s="93">
        <v>8</v>
      </c>
      <c r="P84" s="93">
        <v>8</v>
      </c>
      <c r="Q84" s="92">
        <v>1</v>
      </c>
      <c r="R84" s="91" t="s">
        <v>312</v>
      </c>
      <c r="S84" s="91"/>
      <c r="T84" s="91" t="s">
        <v>314</v>
      </c>
      <c r="U84" s="91" t="s">
        <v>323</v>
      </c>
    </row>
    <row r="85" spans="1:21" s="56" customFormat="1" x14ac:dyDescent="0.2">
      <c r="A85" s="73">
        <v>2018</v>
      </c>
      <c r="B85" s="56" t="s">
        <v>410</v>
      </c>
      <c r="C85" s="60">
        <v>22357</v>
      </c>
      <c r="D85" s="62">
        <v>35</v>
      </c>
      <c r="E85" s="80">
        <v>43341</v>
      </c>
      <c r="F85" s="56" t="s">
        <v>103</v>
      </c>
      <c r="G85" s="60" t="s">
        <v>47</v>
      </c>
      <c r="H85" s="56" t="s">
        <v>122</v>
      </c>
      <c r="I85" s="60" t="s">
        <v>60</v>
      </c>
      <c r="J85" s="56" t="s">
        <v>105</v>
      </c>
      <c r="K85" s="56" t="s">
        <v>106</v>
      </c>
      <c r="L85" s="56" t="s">
        <v>217</v>
      </c>
      <c r="M85" s="56" t="s">
        <v>107</v>
      </c>
      <c r="N85" s="73"/>
      <c r="O85" s="73">
        <v>2</v>
      </c>
      <c r="P85" s="73">
        <v>2</v>
      </c>
      <c r="Q85" s="62">
        <v>0</v>
      </c>
      <c r="R85" s="56" t="s">
        <v>311</v>
      </c>
      <c r="T85" s="56" t="s">
        <v>315</v>
      </c>
      <c r="U85" s="56" t="s">
        <v>322</v>
      </c>
    </row>
    <row r="86" spans="1:21" s="56" customFormat="1" x14ac:dyDescent="0.2">
      <c r="A86" s="73">
        <v>2018</v>
      </c>
      <c r="B86" s="56" t="s">
        <v>411</v>
      </c>
      <c r="C86" s="60">
        <v>22358</v>
      </c>
      <c r="D86" s="62">
        <v>35</v>
      </c>
      <c r="E86" s="80">
        <v>43341</v>
      </c>
      <c r="F86" s="56" t="s">
        <v>103</v>
      </c>
      <c r="G86" s="60" t="s">
        <v>47</v>
      </c>
      <c r="H86" s="56" t="s">
        <v>122</v>
      </c>
      <c r="I86" s="60" t="s">
        <v>60</v>
      </c>
      <c r="J86" s="56" t="s">
        <v>105</v>
      </c>
      <c r="K86" s="56" t="s">
        <v>106</v>
      </c>
      <c r="L86" s="60" t="s">
        <v>218</v>
      </c>
      <c r="M86" s="56" t="s">
        <v>107</v>
      </c>
      <c r="N86" s="73"/>
      <c r="O86" s="73">
        <v>2</v>
      </c>
      <c r="P86" s="73">
        <v>2</v>
      </c>
      <c r="Q86" s="62">
        <v>0</v>
      </c>
      <c r="R86" s="56" t="s">
        <v>311</v>
      </c>
      <c r="T86" s="56" t="s">
        <v>314</v>
      </c>
      <c r="U86" s="56" t="s">
        <v>323</v>
      </c>
    </row>
    <row r="87" spans="1:21" s="56" customFormat="1" x14ac:dyDescent="0.2">
      <c r="A87" s="73">
        <v>2018</v>
      </c>
      <c r="B87" s="56" t="s">
        <v>412</v>
      </c>
      <c r="C87" s="60">
        <v>22359</v>
      </c>
      <c r="D87" s="62">
        <v>35</v>
      </c>
      <c r="E87" s="80">
        <v>43341</v>
      </c>
      <c r="F87" s="56" t="s">
        <v>103</v>
      </c>
      <c r="G87" s="60" t="s">
        <v>47</v>
      </c>
      <c r="H87" s="56" t="s">
        <v>121</v>
      </c>
      <c r="I87" s="60" t="s">
        <v>60</v>
      </c>
      <c r="J87" s="56" t="s">
        <v>105</v>
      </c>
      <c r="K87" s="56" t="s">
        <v>106</v>
      </c>
      <c r="L87" s="56" t="s">
        <v>217</v>
      </c>
      <c r="M87" s="56" t="s">
        <v>107</v>
      </c>
      <c r="N87" s="73"/>
      <c r="O87" s="73">
        <v>1</v>
      </c>
      <c r="P87" s="73">
        <v>1</v>
      </c>
      <c r="Q87" s="62">
        <v>0</v>
      </c>
      <c r="R87" s="56" t="s">
        <v>311</v>
      </c>
      <c r="T87" s="56" t="s">
        <v>315</v>
      </c>
      <c r="U87" s="56" t="s">
        <v>322</v>
      </c>
    </row>
    <row r="88" spans="1:21" s="56" customFormat="1" x14ac:dyDescent="0.2">
      <c r="A88" s="72">
        <v>2018</v>
      </c>
      <c r="B88" s="60" t="s">
        <v>354</v>
      </c>
      <c r="C88" s="60">
        <v>22301</v>
      </c>
      <c r="D88" s="61">
        <v>35</v>
      </c>
      <c r="E88" s="80">
        <v>43340</v>
      </c>
      <c r="F88" s="60" t="s">
        <v>103</v>
      </c>
      <c r="G88" s="60" t="s">
        <v>47</v>
      </c>
      <c r="H88" s="60" t="s">
        <v>143</v>
      </c>
      <c r="I88" s="56" t="s">
        <v>61</v>
      </c>
      <c r="J88" s="60" t="s">
        <v>105</v>
      </c>
      <c r="K88" s="60" t="s">
        <v>106</v>
      </c>
      <c r="L88" s="60" t="s">
        <v>217</v>
      </c>
      <c r="M88" s="60" t="s">
        <v>107</v>
      </c>
      <c r="N88" s="72"/>
      <c r="O88" s="72">
        <v>2</v>
      </c>
      <c r="P88" s="72">
        <v>2</v>
      </c>
      <c r="Q88" s="62">
        <v>0</v>
      </c>
      <c r="R88" s="56" t="s">
        <v>311</v>
      </c>
      <c r="T88" s="56" t="s">
        <v>315</v>
      </c>
      <c r="U88" s="56" t="s">
        <v>324</v>
      </c>
    </row>
    <row r="89" spans="1:21" s="56" customFormat="1" x14ac:dyDescent="0.2">
      <c r="A89" s="72">
        <v>2018</v>
      </c>
      <c r="B89" s="60" t="s">
        <v>374</v>
      </c>
      <c r="C89" s="60">
        <v>22321</v>
      </c>
      <c r="D89" s="61">
        <v>35</v>
      </c>
      <c r="E89" s="80">
        <v>43340</v>
      </c>
      <c r="F89" s="60" t="s">
        <v>103</v>
      </c>
      <c r="G89" s="60" t="s">
        <v>47</v>
      </c>
      <c r="H89" s="60" t="s">
        <v>144</v>
      </c>
      <c r="I89" s="56" t="s">
        <v>61</v>
      </c>
      <c r="J89" s="60" t="s">
        <v>105</v>
      </c>
      <c r="K89" s="60" t="s">
        <v>106</v>
      </c>
      <c r="L89" s="60" t="s">
        <v>218</v>
      </c>
      <c r="M89" s="60" t="s">
        <v>107</v>
      </c>
      <c r="N89" s="72"/>
      <c r="O89" s="72">
        <v>2</v>
      </c>
      <c r="P89" s="72">
        <v>2</v>
      </c>
      <c r="Q89" s="62">
        <v>0</v>
      </c>
      <c r="R89" s="56" t="s">
        <v>311</v>
      </c>
      <c r="T89" s="56" t="s">
        <v>314</v>
      </c>
      <c r="U89" s="56" t="s">
        <v>325</v>
      </c>
    </row>
    <row r="90" spans="1:21" s="56" customFormat="1" x14ac:dyDescent="0.2">
      <c r="A90" s="72">
        <v>2018</v>
      </c>
      <c r="B90" s="60" t="s">
        <v>378</v>
      </c>
      <c r="C90" s="60">
        <v>22325</v>
      </c>
      <c r="D90" s="61">
        <v>35</v>
      </c>
      <c r="E90" s="80">
        <v>43341</v>
      </c>
      <c r="F90" s="60" t="s">
        <v>103</v>
      </c>
      <c r="G90" s="60" t="s">
        <v>47</v>
      </c>
      <c r="H90" s="60" t="s">
        <v>104</v>
      </c>
      <c r="I90" s="60" t="s">
        <v>61</v>
      </c>
      <c r="J90" s="60" t="s">
        <v>105</v>
      </c>
      <c r="K90" s="60" t="s">
        <v>106</v>
      </c>
      <c r="L90" s="60" t="s">
        <v>217</v>
      </c>
      <c r="M90" s="60" t="s">
        <v>107</v>
      </c>
      <c r="N90" s="72"/>
      <c r="O90" s="72">
        <v>2</v>
      </c>
      <c r="P90" s="72">
        <v>2</v>
      </c>
      <c r="Q90" s="62">
        <v>0</v>
      </c>
      <c r="R90" s="56" t="s">
        <v>311</v>
      </c>
      <c r="T90" s="56" t="s">
        <v>315</v>
      </c>
      <c r="U90" s="56" t="s">
        <v>324</v>
      </c>
    </row>
    <row r="91" spans="1:21" s="56" customFormat="1" x14ac:dyDescent="0.2">
      <c r="A91" s="72">
        <v>2018</v>
      </c>
      <c r="B91" s="60" t="s">
        <v>379</v>
      </c>
      <c r="C91" s="60">
        <v>22326</v>
      </c>
      <c r="D91" s="61">
        <v>35</v>
      </c>
      <c r="E91" s="80">
        <v>43341</v>
      </c>
      <c r="F91" s="60" t="s">
        <v>103</v>
      </c>
      <c r="G91" s="60" t="s">
        <v>47</v>
      </c>
      <c r="H91" s="60" t="s">
        <v>113</v>
      </c>
      <c r="I91" s="60" t="s">
        <v>61</v>
      </c>
      <c r="J91" s="60" t="s">
        <v>105</v>
      </c>
      <c r="K91" s="60" t="s">
        <v>106</v>
      </c>
      <c r="L91" s="60" t="s">
        <v>217</v>
      </c>
      <c r="M91" s="60" t="s">
        <v>107</v>
      </c>
      <c r="N91" s="72"/>
      <c r="O91" s="72">
        <v>1</v>
      </c>
      <c r="P91" s="72">
        <v>1</v>
      </c>
      <c r="Q91" s="62">
        <v>0</v>
      </c>
      <c r="R91" s="56" t="s">
        <v>311</v>
      </c>
      <c r="T91" s="56" t="s">
        <v>315</v>
      </c>
      <c r="U91" s="56" t="s">
        <v>324</v>
      </c>
    </row>
    <row r="92" spans="1:21" s="56" customFormat="1" x14ac:dyDescent="0.2">
      <c r="A92" s="72">
        <v>2018</v>
      </c>
      <c r="B92" s="60" t="s">
        <v>380</v>
      </c>
      <c r="C92" s="60">
        <v>22327</v>
      </c>
      <c r="D92" s="61">
        <v>35</v>
      </c>
      <c r="E92" s="80">
        <v>43341</v>
      </c>
      <c r="F92" s="60" t="s">
        <v>103</v>
      </c>
      <c r="G92" s="60" t="s">
        <v>47</v>
      </c>
      <c r="H92" s="60" t="s">
        <v>298</v>
      </c>
      <c r="I92" s="60" t="s">
        <v>61</v>
      </c>
      <c r="J92" s="60" t="s">
        <v>111</v>
      </c>
      <c r="K92" s="60" t="s">
        <v>106</v>
      </c>
      <c r="L92" s="60" t="s">
        <v>218</v>
      </c>
      <c r="M92" s="60" t="s">
        <v>107</v>
      </c>
      <c r="N92" s="72">
        <v>7</v>
      </c>
      <c r="O92" s="72"/>
      <c r="P92" s="72">
        <v>7</v>
      </c>
      <c r="Q92" s="62">
        <v>0</v>
      </c>
      <c r="R92" s="56" t="s">
        <v>311</v>
      </c>
      <c r="T92" s="56" t="s">
        <v>314</v>
      </c>
      <c r="U92" s="56" t="s">
        <v>325</v>
      </c>
    </row>
    <row r="93" spans="1:21" s="56" customFormat="1" x14ac:dyDescent="0.2">
      <c r="A93" s="72">
        <v>2018</v>
      </c>
      <c r="B93" s="60" t="s">
        <v>381</v>
      </c>
      <c r="C93" s="60">
        <v>22328</v>
      </c>
      <c r="D93" s="61">
        <v>35</v>
      </c>
      <c r="E93" s="80">
        <v>43341</v>
      </c>
      <c r="F93" s="60" t="s">
        <v>103</v>
      </c>
      <c r="G93" s="60" t="s">
        <v>47</v>
      </c>
      <c r="H93" s="60" t="s">
        <v>115</v>
      </c>
      <c r="I93" s="60" t="s">
        <v>61</v>
      </c>
      <c r="J93" s="60" t="s">
        <v>105</v>
      </c>
      <c r="K93" s="60" t="s">
        <v>106</v>
      </c>
      <c r="L93" s="60" t="s">
        <v>217</v>
      </c>
      <c r="M93" s="60" t="s">
        <v>107</v>
      </c>
      <c r="N93" s="72"/>
      <c r="O93" s="72">
        <v>3</v>
      </c>
      <c r="P93" s="72">
        <v>3</v>
      </c>
      <c r="Q93" s="62">
        <v>0</v>
      </c>
      <c r="R93" s="56" t="s">
        <v>311</v>
      </c>
      <c r="T93" s="56" t="s">
        <v>315</v>
      </c>
      <c r="U93" s="56" t="s">
        <v>324</v>
      </c>
    </row>
    <row r="94" spans="1:21" s="56" customFormat="1" x14ac:dyDescent="0.2">
      <c r="A94" s="72">
        <v>2018</v>
      </c>
      <c r="B94" s="60" t="s">
        <v>382</v>
      </c>
      <c r="C94" s="60">
        <v>22329</v>
      </c>
      <c r="D94" s="61">
        <v>35</v>
      </c>
      <c r="E94" s="80">
        <v>43341</v>
      </c>
      <c r="F94" s="60" t="s">
        <v>103</v>
      </c>
      <c r="G94" s="60" t="s">
        <v>47</v>
      </c>
      <c r="H94" s="60" t="s">
        <v>112</v>
      </c>
      <c r="I94" s="56" t="s">
        <v>61</v>
      </c>
      <c r="J94" s="60" t="s">
        <v>105</v>
      </c>
      <c r="K94" s="60" t="s">
        <v>106</v>
      </c>
      <c r="L94" s="60" t="s">
        <v>217</v>
      </c>
      <c r="M94" s="60" t="s">
        <v>107</v>
      </c>
      <c r="N94" s="72"/>
      <c r="O94" s="72">
        <v>1</v>
      </c>
      <c r="P94" s="72">
        <v>1</v>
      </c>
      <c r="Q94" s="62">
        <v>0</v>
      </c>
      <c r="R94" s="56" t="s">
        <v>311</v>
      </c>
      <c r="T94" s="56" t="s">
        <v>315</v>
      </c>
      <c r="U94" s="56" t="s">
        <v>324</v>
      </c>
    </row>
    <row r="95" spans="1:21" s="56" customFormat="1" x14ac:dyDescent="0.2">
      <c r="A95" s="72">
        <v>2018</v>
      </c>
      <c r="B95" s="60" t="s">
        <v>383</v>
      </c>
      <c r="C95" s="60">
        <v>22330</v>
      </c>
      <c r="D95" s="61">
        <v>35</v>
      </c>
      <c r="E95" s="80">
        <v>43341</v>
      </c>
      <c r="F95" s="60" t="s">
        <v>103</v>
      </c>
      <c r="G95" s="60" t="s">
        <v>47</v>
      </c>
      <c r="H95" s="60" t="s">
        <v>112</v>
      </c>
      <c r="I95" s="56" t="s">
        <v>61</v>
      </c>
      <c r="J95" s="60" t="s">
        <v>105</v>
      </c>
      <c r="K95" s="60" t="s">
        <v>106</v>
      </c>
      <c r="L95" s="60" t="s">
        <v>218</v>
      </c>
      <c r="M95" s="60" t="s">
        <v>107</v>
      </c>
      <c r="N95" s="72"/>
      <c r="O95" s="72">
        <v>2</v>
      </c>
      <c r="P95" s="72">
        <v>2</v>
      </c>
      <c r="Q95" s="62">
        <v>0</v>
      </c>
      <c r="R95" s="56" t="s">
        <v>311</v>
      </c>
      <c r="T95" s="56" t="s">
        <v>314</v>
      </c>
      <c r="U95" s="56" t="s">
        <v>325</v>
      </c>
    </row>
    <row r="96" spans="1:21" s="56" customFormat="1" x14ac:dyDescent="0.2">
      <c r="A96" s="72">
        <v>2018</v>
      </c>
      <c r="B96" s="60" t="s">
        <v>384</v>
      </c>
      <c r="C96" s="60">
        <v>22331</v>
      </c>
      <c r="D96" s="61">
        <v>35</v>
      </c>
      <c r="E96" s="80">
        <v>43341</v>
      </c>
      <c r="F96" s="60" t="s">
        <v>103</v>
      </c>
      <c r="G96" s="60" t="s">
        <v>47</v>
      </c>
      <c r="H96" s="60" t="s">
        <v>109</v>
      </c>
      <c r="I96" s="56" t="s">
        <v>61</v>
      </c>
      <c r="J96" s="60" t="s">
        <v>105</v>
      </c>
      <c r="K96" s="60" t="s">
        <v>106</v>
      </c>
      <c r="L96" s="60" t="s">
        <v>217</v>
      </c>
      <c r="M96" s="60" t="s">
        <v>107</v>
      </c>
      <c r="N96" s="72"/>
      <c r="O96" s="72">
        <v>2</v>
      </c>
      <c r="P96" s="72">
        <v>2</v>
      </c>
      <c r="Q96" s="62">
        <v>0</v>
      </c>
      <c r="R96" s="56" t="s">
        <v>311</v>
      </c>
      <c r="T96" s="56" t="s">
        <v>315</v>
      </c>
      <c r="U96" s="56" t="s">
        <v>324</v>
      </c>
    </row>
    <row r="97" spans="1:21" s="56" customFormat="1" x14ac:dyDescent="0.2">
      <c r="A97" s="87">
        <v>2018</v>
      </c>
      <c r="B97" s="88" t="s">
        <v>385</v>
      </c>
      <c r="C97" s="88">
        <v>22332</v>
      </c>
      <c r="D97" s="89">
        <v>35</v>
      </c>
      <c r="E97" s="90">
        <v>43341</v>
      </c>
      <c r="F97" s="88" t="s">
        <v>103</v>
      </c>
      <c r="G97" s="88" t="s">
        <v>47</v>
      </c>
      <c r="H97" s="88" t="s">
        <v>299</v>
      </c>
      <c r="I97" s="91" t="s">
        <v>61</v>
      </c>
      <c r="J97" s="88" t="s">
        <v>111</v>
      </c>
      <c r="K97" s="88" t="s">
        <v>106</v>
      </c>
      <c r="L97" s="88" t="s">
        <v>218</v>
      </c>
      <c r="M97" s="88" t="s">
        <v>107</v>
      </c>
      <c r="N97" s="87">
        <v>12</v>
      </c>
      <c r="O97" s="87"/>
      <c r="P97" s="87">
        <v>12</v>
      </c>
      <c r="Q97" s="92">
        <v>1</v>
      </c>
      <c r="R97" s="91" t="s">
        <v>312</v>
      </c>
      <c r="S97" s="91"/>
      <c r="T97" s="91" t="s">
        <v>314</v>
      </c>
      <c r="U97" s="91" t="s">
        <v>325</v>
      </c>
    </row>
    <row r="98" spans="1:21" s="56" customFormat="1" x14ac:dyDescent="0.2">
      <c r="A98" s="72">
        <v>2018</v>
      </c>
      <c r="B98" s="60" t="s">
        <v>386</v>
      </c>
      <c r="C98" s="60">
        <v>22333</v>
      </c>
      <c r="D98" s="61">
        <v>35</v>
      </c>
      <c r="E98" s="80">
        <v>43341</v>
      </c>
      <c r="F98" s="60" t="s">
        <v>103</v>
      </c>
      <c r="G98" s="60" t="s">
        <v>47</v>
      </c>
      <c r="H98" s="60" t="s">
        <v>110</v>
      </c>
      <c r="I98" s="56" t="s">
        <v>61</v>
      </c>
      <c r="J98" s="60" t="s">
        <v>105</v>
      </c>
      <c r="K98" s="60" t="s">
        <v>106</v>
      </c>
      <c r="L98" s="60" t="s">
        <v>217</v>
      </c>
      <c r="M98" s="60" t="s">
        <v>107</v>
      </c>
      <c r="N98" s="72"/>
      <c r="O98" s="72">
        <v>6</v>
      </c>
      <c r="P98" s="72">
        <v>6</v>
      </c>
      <c r="Q98" s="62">
        <v>0</v>
      </c>
      <c r="R98" s="56" t="s">
        <v>311</v>
      </c>
      <c r="T98" s="56" t="s">
        <v>315</v>
      </c>
      <c r="U98" s="56" t="s">
        <v>324</v>
      </c>
    </row>
    <row r="99" spans="1:21" s="56" customFormat="1" x14ac:dyDescent="0.2">
      <c r="A99" s="72">
        <v>2018</v>
      </c>
      <c r="B99" s="60" t="s">
        <v>387</v>
      </c>
      <c r="C99" s="60">
        <v>22334</v>
      </c>
      <c r="D99" s="61">
        <v>35</v>
      </c>
      <c r="E99" s="80">
        <v>43341</v>
      </c>
      <c r="F99" s="60" t="s">
        <v>103</v>
      </c>
      <c r="G99" s="60" t="s">
        <v>47</v>
      </c>
      <c r="H99" s="60" t="s">
        <v>110</v>
      </c>
      <c r="I99" s="60" t="s">
        <v>61</v>
      </c>
      <c r="J99" s="60" t="s">
        <v>105</v>
      </c>
      <c r="K99" s="60" t="s">
        <v>106</v>
      </c>
      <c r="L99" s="60" t="s">
        <v>218</v>
      </c>
      <c r="M99" s="60" t="s">
        <v>107</v>
      </c>
      <c r="N99" s="72"/>
      <c r="O99" s="72">
        <v>2</v>
      </c>
      <c r="P99" s="72">
        <v>2</v>
      </c>
      <c r="Q99" s="62">
        <v>0</v>
      </c>
      <c r="R99" s="56" t="s">
        <v>311</v>
      </c>
      <c r="T99" s="56" t="s">
        <v>314</v>
      </c>
      <c r="U99" s="56" t="s">
        <v>325</v>
      </c>
    </row>
    <row r="100" spans="1:21" s="56" customFormat="1" x14ac:dyDescent="0.2">
      <c r="A100" s="73"/>
      <c r="C100" s="60"/>
      <c r="D100" s="62"/>
      <c r="E100" s="80"/>
      <c r="G100" s="60"/>
      <c r="I100" s="60"/>
      <c r="N100" s="73"/>
      <c r="O100" s="73"/>
      <c r="P100" s="73"/>
      <c r="Q100" s="62"/>
    </row>
    <row r="101" spans="1:21" s="56" customFormat="1" x14ac:dyDescent="0.2">
      <c r="A101" s="73"/>
      <c r="C101" s="60"/>
      <c r="D101" s="62"/>
      <c r="E101" s="80"/>
      <c r="G101" s="60"/>
      <c r="I101" s="60"/>
      <c r="N101" s="73"/>
      <c r="O101" s="73"/>
      <c r="P101" s="73"/>
      <c r="Q101" s="62"/>
    </row>
    <row r="102" spans="1:21" s="56" customFormat="1" x14ac:dyDescent="0.2">
      <c r="A102" s="73"/>
      <c r="C102" s="60"/>
      <c r="D102" s="62"/>
      <c r="E102" s="80"/>
      <c r="G102" s="60"/>
      <c r="I102" s="60"/>
      <c r="N102" s="73"/>
      <c r="O102" s="73"/>
      <c r="P102" s="73"/>
      <c r="Q102" s="62"/>
    </row>
    <row r="103" spans="1:21" s="56" customFormat="1" x14ac:dyDescent="0.2">
      <c r="A103" s="73"/>
      <c r="C103" s="60"/>
      <c r="D103" s="62"/>
      <c r="E103" s="80"/>
      <c r="G103" s="60"/>
      <c r="I103" s="60"/>
      <c r="N103" s="73"/>
      <c r="O103" s="73"/>
      <c r="P103" s="73"/>
      <c r="Q103" s="62"/>
    </row>
    <row r="104" spans="1:21" s="56" customFormat="1" x14ac:dyDescent="0.2">
      <c r="A104" s="73"/>
      <c r="C104" s="60"/>
      <c r="D104" s="62"/>
      <c r="E104" s="80"/>
      <c r="G104" s="60"/>
      <c r="I104" s="60"/>
      <c r="N104" s="73"/>
      <c r="O104" s="73"/>
      <c r="P104" s="73"/>
      <c r="Q104" s="62"/>
    </row>
    <row r="105" spans="1:21" s="56" customFormat="1" x14ac:dyDescent="0.2">
      <c r="A105" s="73"/>
      <c r="C105" s="60"/>
      <c r="D105" s="62"/>
      <c r="E105" s="80"/>
      <c r="G105" s="60"/>
      <c r="I105" s="60"/>
      <c r="N105" s="73"/>
      <c r="O105" s="73"/>
      <c r="P105" s="73"/>
      <c r="Q105" s="62"/>
    </row>
    <row r="106" spans="1:21" s="56" customFormat="1" x14ac:dyDescent="0.2">
      <c r="A106" s="73"/>
      <c r="C106" s="60"/>
      <c r="D106" s="62"/>
      <c r="E106" s="80"/>
      <c r="G106" s="60"/>
      <c r="I106" s="60"/>
      <c r="N106" s="73"/>
      <c r="O106" s="73"/>
      <c r="P106" s="73"/>
      <c r="Q106" s="62"/>
    </row>
    <row r="107" spans="1:21" s="56" customFormat="1" x14ac:dyDescent="0.2">
      <c r="A107" s="73"/>
      <c r="C107" s="60"/>
      <c r="D107" s="62"/>
      <c r="E107" s="80"/>
      <c r="G107" s="60"/>
      <c r="I107" s="60"/>
      <c r="N107" s="73"/>
      <c r="O107" s="73"/>
      <c r="P107" s="73"/>
      <c r="Q107" s="62"/>
    </row>
    <row r="108" spans="1:21" s="56" customFormat="1" x14ac:dyDescent="0.2">
      <c r="A108" s="73"/>
      <c r="C108" s="60"/>
      <c r="D108" s="62"/>
      <c r="E108" s="80"/>
      <c r="G108" s="60"/>
      <c r="I108" s="60"/>
      <c r="N108" s="73"/>
      <c r="O108" s="73"/>
      <c r="P108" s="73"/>
      <c r="Q108" s="62"/>
    </row>
    <row r="109" spans="1:21" s="56" customFormat="1" x14ac:dyDescent="0.2">
      <c r="A109" s="73"/>
      <c r="C109" s="60"/>
      <c r="D109" s="62"/>
      <c r="E109" s="80"/>
      <c r="G109" s="60"/>
      <c r="I109" s="60"/>
      <c r="N109" s="73"/>
      <c r="O109" s="73"/>
      <c r="P109" s="73"/>
      <c r="Q109" s="62"/>
    </row>
    <row r="110" spans="1:21" s="56" customFormat="1" x14ac:dyDescent="0.2">
      <c r="A110" s="73"/>
      <c r="C110" s="60"/>
      <c r="D110" s="62"/>
      <c r="E110" s="80"/>
      <c r="G110" s="60"/>
      <c r="I110" s="60"/>
      <c r="N110" s="73"/>
      <c r="O110" s="73"/>
      <c r="P110" s="73"/>
      <c r="Q110" s="62"/>
    </row>
    <row r="111" spans="1:21" s="56" customFormat="1" x14ac:dyDescent="0.2">
      <c r="A111" s="73"/>
      <c r="C111" s="60"/>
      <c r="D111" s="62"/>
      <c r="E111" s="80"/>
      <c r="G111" s="60"/>
      <c r="N111" s="73"/>
      <c r="O111" s="73"/>
      <c r="P111" s="73"/>
      <c r="Q111" s="62"/>
    </row>
    <row r="112" spans="1:21" s="56" customFormat="1" x14ac:dyDescent="0.2">
      <c r="A112" s="73"/>
      <c r="C112" s="60"/>
      <c r="D112" s="62"/>
      <c r="E112" s="80"/>
      <c r="G112" s="60"/>
      <c r="N112" s="73"/>
      <c r="O112" s="73"/>
      <c r="P112" s="73"/>
      <c r="Q112" s="62"/>
    </row>
    <row r="113" spans="1:17" s="56" customFormat="1" x14ac:dyDescent="0.2">
      <c r="A113" s="73"/>
      <c r="C113" s="60"/>
      <c r="D113" s="62"/>
      <c r="E113" s="80"/>
      <c r="G113" s="60"/>
      <c r="N113" s="73"/>
      <c r="O113" s="73"/>
      <c r="P113" s="73"/>
      <c r="Q113" s="62"/>
    </row>
    <row r="114" spans="1:17" s="56" customFormat="1" x14ac:dyDescent="0.2">
      <c r="A114" s="73"/>
      <c r="C114" s="60"/>
      <c r="D114" s="62"/>
      <c r="E114" s="80"/>
      <c r="G114" s="60"/>
      <c r="N114" s="73"/>
      <c r="O114" s="73"/>
      <c r="P114" s="73"/>
      <c r="Q114" s="62"/>
    </row>
    <row r="115" spans="1:17" s="56" customFormat="1" x14ac:dyDescent="0.2">
      <c r="A115" s="73"/>
      <c r="C115" s="60"/>
      <c r="D115" s="62"/>
      <c r="E115" s="80"/>
      <c r="G115" s="60"/>
      <c r="N115" s="73"/>
      <c r="O115" s="73"/>
      <c r="P115" s="73"/>
      <c r="Q115" s="62"/>
    </row>
    <row r="116" spans="1:17" s="56" customFormat="1" x14ac:dyDescent="0.2">
      <c r="A116" s="73"/>
      <c r="C116" s="60"/>
      <c r="D116" s="62"/>
      <c r="E116" s="80"/>
      <c r="G116" s="60"/>
      <c r="I116" s="60"/>
      <c r="N116" s="73"/>
      <c r="O116" s="73"/>
      <c r="P116" s="73"/>
      <c r="Q116" s="62"/>
    </row>
    <row r="117" spans="1:17" s="56" customFormat="1" x14ac:dyDescent="0.2">
      <c r="A117" s="73"/>
      <c r="C117" s="60"/>
      <c r="D117" s="62"/>
      <c r="E117" s="80"/>
      <c r="G117" s="60"/>
      <c r="I117" s="60"/>
      <c r="N117" s="73"/>
      <c r="O117" s="73"/>
      <c r="P117" s="73"/>
      <c r="Q117" s="62"/>
    </row>
    <row r="118" spans="1:17" s="56" customFormat="1" x14ac:dyDescent="0.2">
      <c r="A118" s="73"/>
      <c r="C118" s="60"/>
      <c r="D118" s="62"/>
      <c r="E118" s="80"/>
      <c r="G118" s="60"/>
      <c r="I118" s="60"/>
      <c r="N118" s="73"/>
      <c r="O118" s="73"/>
      <c r="P118" s="73"/>
      <c r="Q118" s="62"/>
    </row>
    <row r="119" spans="1:17" s="56" customFormat="1" x14ac:dyDescent="0.2">
      <c r="A119" s="73"/>
      <c r="C119" s="60"/>
      <c r="D119" s="62"/>
      <c r="E119" s="80"/>
      <c r="G119" s="60"/>
      <c r="I119" s="60"/>
      <c r="N119" s="73"/>
      <c r="O119" s="73"/>
      <c r="P119" s="73"/>
      <c r="Q119" s="62"/>
    </row>
    <row r="120" spans="1:17" s="56" customFormat="1" x14ac:dyDescent="0.2">
      <c r="A120" s="73"/>
      <c r="C120" s="60"/>
      <c r="D120" s="62"/>
      <c r="E120" s="80"/>
      <c r="G120" s="60"/>
      <c r="I120" s="60"/>
      <c r="N120" s="73"/>
      <c r="O120" s="73"/>
      <c r="P120" s="73"/>
      <c r="Q120" s="62"/>
    </row>
    <row r="121" spans="1:17" s="56" customFormat="1" x14ac:dyDescent="0.2">
      <c r="A121" s="73"/>
      <c r="C121" s="60"/>
      <c r="D121" s="62"/>
      <c r="E121" s="80"/>
      <c r="G121" s="60"/>
      <c r="I121" s="60"/>
      <c r="N121" s="73"/>
      <c r="O121" s="73"/>
      <c r="P121" s="73"/>
      <c r="Q121" s="62"/>
    </row>
    <row r="122" spans="1:17" s="56" customFormat="1" x14ac:dyDescent="0.2">
      <c r="A122" s="73"/>
      <c r="C122" s="60"/>
      <c r="D122" s="62"/>
      <c r="E122" s="80"/>
      <c r="I122" s="60"/>
      <c r="N122" s="73"/>
      <c r="O122" s="73"/>
      <c r="P122" s="73"/>
      <c r="Q122" s="62"/>
    </row>
    <row r="123" spans="1:17" s="56" customFormat="1" x14ac:dyDescent="0.2">
      <c r="A123" s="73"/>
      <c r="C123" s="60"/>
      <c r="D123" s="62"/>
      <c r="E123" s="80"/>
      <c r="I123" s="60"/>
      <c r="N123" s="73"/>
      <c r="O123" s="73"/>
      <c r="P123" s="73"/>
      <c r="Q123" s="62"/>
    </row>
    <row r="124" spans="1:17" s="56" customFormat="1" x14ac:dyDescent="0.2">
      <c r="A124" s="73"/>
      <c r="C124" s="60"/>
      <c r="D124" s="62"/>
      <c r="E124" s="80"/>
      <c r="N124" s="73"/>
      <c r="O124" s="73"/>
      <c r="P124" s="73"/>
      <c r="Q124" s="62"/>
    </row>
    <row r="125" spans="1:17" s="56" customFormat="1" x14ac:dyDescent="0.2">
      <c r="A125" s="73"/>
      <c r="C125" s="60"/>
      <c r="D125" s="62"/>
      <c r="E125" s="80"/>
      <c r="N125" s="73"/>
      <c r="O125" s="73"/>
      <c r="P125" s="73"/>
      <c r="Q125" s="62"/>
    </row>
    <row r="126" spans="1:17" s="56" customFormat="1" x14ac:dyDescent="0.2">
      <c r="A126" s="73"/>
      <c r="C126" s="60"/>
      <c r="D126" s="62"/>
      <c r="E126" s="80"/>
      <c r="N126" s="73"/>
      <c r="O126" s="73"/>
      <c r="P126" s="73"/>
      <c r="Q126" s="62"/>
    </row>
    <row r="127" spans="1:17" s="56" customFormat="1" x14ac:dyDescent="0.2">
      <c r="A127" s="73"/>
      <c r="C127" s="60"/>
      <c r="D127" s="62"/>
      <c r="E127" s="80"/>
      <c r="N127" s="73"/>
      <c r="O127" s="73"/>
      <c r="P127" s="73"/>
      <c r="Q127" s="62"/>
    </row>
    <row r="128" spans="1:17" s="56" customFormat="1" x14ac:dyDescent="0.2">
      <c r="A128" s="73"/>
      <c r="C128" s="60"/>
      <c r="D128" s="62"/>
      <c r="E128" s="80"/>
      <c r="N128" s="73"/>
      <c r="O128" s="73"/>
      <c r="P128" s="73"/>
      <c r="Q128" s="62"/>
    </row>
    <row r="129" spans="1:17" s="56" customFormat="1" x14ac:dyDescent="0.2">
      <c r="A129" s="73"/>
      <c r="C129" s="60"/>
      <c r="D129" s="62"/>
      <c r="E129" s="80"/>
      <c r="N129" s="73"/>
      <c r="O129" s="73"/>
      <c r="P129" s="73"/>
      <c r="Q129" s="62"/>
    </row>
    <row r="130" spans="1:17" s="56" customFormat="1" x14ac:dyDescent="0.2">
      <c r="A130" s="73"/>
      <c r="C130" s="60"/>
      <c r="D130" s="62"/>
      <c r="E130" s="80"/>
      <c r="N130" s="73"/>
      <c r="O130" s="73"/>
      <c r="P130" s="73"/>
      <c r="Q130" s="62"/>
    </row>
    <row r="131" spans="1:17" s="56" customFormat="1" x14ac:dyDescent="0.2">
      <c r="A131" s="73"/>
      <c r="C131" s="60"/>
      <c r="D131" s="62"/>
      <c r="E131" s="67"/>
      <c r="N131" s="73"/>
      <c r="O131" s="73"/>
      <c r="P131" s="73"/>
      <c r="Q131" s="62"/>
    </row>
    <row r="132" spans="1:17" s="56" customFormat="1" x14ac:dyDescent="0.2">
      <c r="A132" s="73"/>
      <c r="C132" s="60"/>
      <c r="D132" s="62"/>
      <c r="E132" s="67"/>
      <c r="N132" s="73"/>
      <c r="O132" s="73"/>
      <c r="P132" s="73"/>
      <c r="Q132" s="62"/>
    </row>
    <row r="133" spans="1:17" s="56" customFormat="1" x14ac:dyDescent="0.2">
      <c r="A133" s="73"/>
      <c r="C133" s="60"/>
      <c r="D133" s="62"/>
      <c r="E133" s="67"/>
      <c r="N133" s="73"/>
      <c r="O133" s="73"/>
      <c r="P133" s="73"/>
      <c r="Q133" s="62"/>
    </row>
    <row r="134" spans="1:17" s="56" customFormat="1" x14ac:dyDescent="0.2">
      <c r="A134" s="73"/>
      <c r="C134" s="60"/>
      <c r="D134" s="62"/>
      <c r="E134" s="67"/>
      <c r="N134" s="73"/>
      <c r="O134" s="73"/>
      <c r="P134" s="73"/>
      <c r="Q134" s="62"/>
    </row>
    <row r="135" spans="1:17" s="56" customFormat="1" x14ac:dyDescent="0.2">
      <c r="A135" s="73"/>
      <c r="C135" s="60"/>
      <c r="D135" s="62"/>
      <c r="E135" s="67"/>
      <c r="N135" s="73"/>
      <c r="O135" s="73"/>
      <c r="P135" s="73"/>
      <c r="Q135" s="62"/>
    </row>
    <row r="136" spans="1:17" s="56" customFormat="1" x14ac:dyDescent="0.2">
      <c r="A136" s="73"/>
      <c r="C136" s="60"/>
      <c r="D136" s="62"/>
      <c r="E136" s="67"/>
      <c r="N136" s="73"/>
      <c r="O136" s="73"/>
      <c r="P136" s="73"/>
      <c r="Q136" s="62"/>
    </row>
    <row r="137" spans="1:17" s="56" customFormat="1" x14ac:dyDescent="0.2">
      <c r="A137" s="73"/>
      <c r="C137" s="60"/>
      <c r="D137" s="62"/>
      <c r="E137" s="67"/>
      <c r="N137" s="73"/>
      <c r="O137" s="73"/>
      <c r="P137" s="73"/>
      <c r="Q137" s="62"/>
    </row>
    <row r="138" spans="1:17" s="56" customFormat="1" x14ac:dyDescent="0.2">
      <c r="A138" s="73"/>
      <c r="C138" s="60"/>
      <c r="D138" s="62"/>
      <c r="E138" s="67"/>
      <c r="N138" s="73"/>
      <c r="O138" s="73"/>
      <c r="P138" s="73"/>
      <c r="Q138" s="62"/>
    </row>
    <row r="139" spans="1:17" s="56" customFormat="1" x14ac:dyDescent="0.2">
      <c r="A139" s="73"/>
      <c r="C139" s="60"/>
      <c r="D139" s="62"/>
      <c r="E139" s="67"/>
      <c r="N139" s="73"/>
      <c r="O139" s="73"/>
      <c r="P139" s="73"/>
      <c r="Q139" s="62"/>
    </row>
    <row r="140" spans="1:17" s="56" customFormat="1" x14ac:dyDescent="0.2">
      <c r="A140" s="73"/>
      <c r="C140" s="60"/>
      <c r="D140" s="62"/>
      <c r="E140" s="67"/>
      <c r="N140" s="73"/>
      <c r="O140" s="73"/>
      <c r="P140" s="73"/>
      <c r="Q140" s="62"/>
    </row>
    <row r="141" spans="1:17" s="56" customFormat="1" x14ac:dyDescent="0.2">
      <c r="A141" s="73"/>
      <c r="C141" s="60"/>
      <c r="D141" s="62"/>
      <c r="E141" s="67"/>
      <c r="N141" s="73"/>
      <c r="O141" s="73"/>
      <c r="P141" s="73"/>
      <c r="Q141" s="62"/>
    </row>
    <row r="142" spans="1:17" s="56" customFormat="1" x14ac:dyDescent="0.2">
      <c r="A142" s="73"/>
      <c r="C142" s="60"/>
      <c r="D142" s="62"/>
      <c r="E142" s="67"/>
      <c r="N142" s="73"/>
      <c r="O142" s="73"/>
      <c r="P142" s="73"/>
      <c r="Q142" s="62"/>
    </row>
    <row r="143" spans="1:17" s="56" customFormat="1" x14ac:dyDescent="0.2">
      <c r="A143" s="73"/>
      <c r="C143" s="60"/>
      <c r="D143" s="62"/>
      <c r="E143" s="67"/>
      <c r="N143" s="73"/>
      <c r="O143" s="73"/>
      <c r="P143" s="73"/>
      <c r="Q143" s="62"/>
    </row>
    <row r="144" spans="1:17" s="56" customFormat="1" x14ac:dyDescent="0.2">
      <c r="A144" s="73"/>
      <c r="C144" s="60"/>
      <c r="D144" s="62"/>
      <c r="E144" s="67"/>
      <c r="N144" s="73"/>
      <c r="O144" s="73"/>
      <c r="P144" s="73"/>
      <c r="Q144" s="62"/>
    </row>
    <row r="145" spans="1:17" s="56" customFormat="1" x14ac:dyDescent="0.2">
      <c r="A145" s="73"/>
      <c r="C145" s="60"/>
      <c r="D145" s="62"/>
      <c r="E145" s="67"/>
      <c r="N145" s="73"/>
      <c r="O145" s="73"/>
      <c r="P145" s="73"/>
      <c r="Q145" s="62"/>
    </row>
    <row r="146" spans="1:17" s="56" customFormat="1" x14ac:dyDescent="0.2">
      <c r="A146" s="73"/>
      <c r="C146" s="60"/>
      <c r="D146" s="62"/>
      <c r="E146" s="67"/>
      <c r="N146" s="73"/>
      <c r="O146" s="73"/>
      <c r="P146" s="73"/>
      <c r="Q146" s="62"/>
    </row>
    <row r="147" spans="1:17" s="56" customFormat="1" x14ac:dyDescent="0.2">
      <c r="A147" s="73"/>
      <c r="C147" s="60"/>
      <c r="D147" s="62"/>
      <c r="E147" s="67"/>
      <c r="N147" s="73"/>
      <c r="O147" s="73"/>
      <c r="P147" s="73"/>
      <c r="Q147" s="62"/>
    </row>
    <row r="148" spans="1:17" s="56" customFormat="1" x14ac:dyDescent="0.2">
      <c r="A148" s="73"/>
      <c r="C148" s="60"/>
      <c r="D148" s="62"/>
      <c r="E148" s="67"/>
      <c r="N148" s="73"/>
      <c r="O148" s="73"/>
      <c r="P148" s="73"/>
      <c r="Q148" s="62"/>
    </row>
    <row r="149" spans="1:17" s="56" customFormat="1" x14ac:dyDescent="0.2">
      <c r="A149" s="73"/>
      <c r="C149" s="60"/>
      <c r="D149" s="62"/>
      <c r="E149" s="67"/>
      <c r="N149" s="73"/>
      <c r="O149" s="73"/>
      <c r="P149" s="73"/>
      <c r="Q149" s="62"/>
    </row>
    <row r="150" spans="1:17" s="56" customFormat="1" x14ac:dyDescent="0.2">
      <c r="A150" s="73"/>
      <c r="C150" s="60"/>
      <c r="D150" s="62"/>
      <c r="E150" s="67"/>
      <c r="N150" s="73"/>
      <c r="O150" s="73"/>
      <c r="P150" s="73"/>
      <c r="Q150" s="62"/>
    </row>
    <row r="151" spans="1:17" s="56" customFormat="1" x14ac:dyDescent="0.2">
      <c r="A151" s="73"/>
      <c r="C151" s="60"/>
      <c r="D151" s="62"/>
      <c r="E151" s="67"/>
      <c r="N151" s="73"/>
      <c r="O151" s="73"/>
      <c r="P151" s="73"/>
      <c r="Q151" s="62"/>
    </row>
    <row r="152" spans="1:17" s="56" customFormat="1" x14ac:dyDescent="0.2">
      <c r="A152" s="73"/>
      <c r="C152" s="60"/>
      <c r="D152" s="62"/>
      <c r="E152" s="67"/>
      <c r="N152" s="73"/>
      <c r="O152" s="73"/>
      <c r="P152" s="73"/>
      <c r="Q152" s="62"/>
    </row>
    <row r="153" spans="1:17" s="56" customFormat="1" x14ac:dyDescent="0.2">
      <c r="A153" s="73"/>
      <c r="C153" s="60"/>
      <c r="D153" s="62"/>
      <c r="E153" s="67"/>
      <c r="N153" s="73"/>
      <c r="O153" s="73"/>
      <c r="P153" s="73"/>
      <c r="Q153" s="62"/>
    </row>
    <row r="154" spans="1:17" s="56" customFormat="1" x14ac:dyDescent="0.2">
      <c r="A154" s="73"/>
      <c r="C154" s="60"/>
      <c r="D154" s="62"/>
      <c r="E154" s="67"/>
      <c r="N154" s="73"/>
      <c r="O154" s="73"/>
      <c r="P154" s="73"/>
      <c r="Q154" s="62"/>
    </row>
    <row r="155" spans="1:17" s="56" customFormat="1" x14ac:dyDescent="0.2">
      <c r="A155" s="73"/>
      <c r="C155" s="60"/>
      <c r="D155" s="62"/>
      <c r="E155" s="67"/>
      <c r="N155" s="73"/>
      <c r="O155" s="73"/>
      <c r="P155" s="73"/>
      <c r="Q155" s="62"/>
    </row>
    <row r="156" spans="1:17" s="56" customFormat="1" x14ac:dyDescent="0.2">
      <c r="A156" s="73"/>
      <c r="C156" s="60"/>
      <c r="D156" s="62"/>
      <c r="E156" s="67"/>
      <c r="N156" s="73"/>
      <c r="O156" s="73"/>
      <c r="P156" s="73"/>
      <c r="Q156" s="62"/>
    </row>
    <row r="157" spans="1:17" s="56" customFormat="1" x14ac:dyDescent="0.2">
      <c r="A157" s="73"/>
      <c r="C157" s="60"/>
      <c r="D157" s="62"/>
      <c r="E157" s="67"/>
      <c r="I157" s="60"/>
      <c r="N157" s="73"/>
      <c r="O157" s="73"/>
      <c r="P157" s="73"/>
      <c r="Q157" s="62"/>
    </row>
    <row r="158" spans="1:17" s="56" customFormat="1" x14ac:dyDescent="0.2">
      <c r="A158" s="73"/>
      <c r="C158" s="60"/>
      <c r="D158" s="62"/>
      <c r="E158" s="67"/>
      <c r="I158" s="60"/>
      <c r="N158" s="73"/>
      <c r="O158" s="73"/>
      <c r="P158" s="73"/>
      <c r="Q158" s="62"/>
    </row>
    <row r="159" spans="1:17" s="56" customFormat="1" x14ac:dyDescent="0.2">
      <c r="A159" s="73"/>
      <c r="C159" s="60"/>
      <c r="D159" s="62"/>
      <c r="E159" s="67"/>
      <c r="I159" s="60"/>
      <c r="N159" s="73"/>
      <c r="O159" s="73"/>
      <c r="P159" s="73"/>
      <c r="Q159" s="62"/>
    </row>
    <row r="160" spans="1:17" s="56" customFormat="1" x14ac:dyDescent="0.2">
      <c r="A160" s="73"/>
      <c r="C160" s="60"/>
      <c r="D160" s="62"/>
      <c r="E160" s="67"/>
      <c r="I160" s="60"/>
      <c r="N160" s="73"/>
      <c r="O160" s="73"/>
      <c r="P160" s="73"/>
      <c r="Q160" s="62"/>
    </row>
    <row r="161" spans="1:17" s="56" customFormat="1" x14ac:dyDescent="0.2">
      <c r="A161" s="73"/>
      <c r="C161" s="60"/>
      <c r="D161" s="62"/>
      <c r="E161" s="67"/>
      <c r="N161" s="73"/>
      <c r="O161" s="73"/>
      <c r="P161" s="73"/>
      <c r="Q161" s="62"/>
    </row>
    <row r="162" spans="1:17" s="56" customFormat="1" x14ac:dyDescent="0.2">
      <c r="A162" s="73"/>
      <c r="C162" s="60"/>
      <c r="D162" s="62"/>
      <c r="E162" s="67"/>
      <c r="N162" s="73"/>
      <c r="O162" s="73"/>
      <c r="P162" s="73"/>
      <c r="Q162" s="62"/>
    </row>
    <row r="163" spans="1:17" s="56" customFormat="1" x14ac:dyDescent="0.2">
      <c r="A163" s="73"/>
      <c r="C163" s="60"/>
      <c r="D163" s="62"/>
      <c r="E163" s="67"/>
      <c r="N163" s="73"/>
      <c r="O163" s="73"/>
      <c r="P163" s="73"/>
      <c r="Q163" s="62"/>
    </row>
    <row r="164" spans="1:17" s="56" customFormat="1" x14ac:dyDescent="0.2">
      <c r="A164" s="73"/>
      <c r="C164" s="60"/>
      <c r="D164" s="62"/>
      <c r="E164" s="67"/>
      <c r="N164" s="73"/>
      <c r="O164" s="73"/>
      <c r="P164" s="73"/>
      <c r="Q164" s="62"/>
    </row>
    <row r="165" spans="1:17" s="56" customFormat="1" x14ac:dyDescent="0.2">
      <c r="A165" s="73"/>
      <c r="C165" s="60"/>
      <c r="D165" s="62"/>
      <c r="E165" s="67"/>
      <c r="N165" s="73"/>
      <c r="O165" s="73"/>
      <c r="P165" s="73"/>
      <c r="Q165" s="62"/>
    </row>
    <row r="166" spans="1:17" s="56" customFormat="1" x14ac:dyDescent="0.2">
      <c r="A166" s="73"/>
      <c r="C166" s="60"/>
      <c r="D166" s="62"/>
      <c r="E166" s="67"/>
      <c r="N166" s="73"/>
      <c r="O166" s="73"/>
      <c r="P166" s="73"/>
      <c r="Q166" s="62"/>
    </row>
    <row r="167" spans="1:17" s="56" customFormat="1" x14ac:dyDescent="0.2">
      <c r="A167" s="73"/>
      <c r="C167" s="60"/>
      <c r="D167" s="62"/>
      <c r="E167" s="67"/>
      <c r="N167" s="73"/>
      <c r="O167" s="73"/>
      <c r="P167" s="73"/>
      <c r="Q167" s="62"/>
    </row>
    <row r="168" spans="1:17" s="56" customFormat="1" x14ac:dyDescent="0.2">
      <c r="A168" s="73"/>
      <c r="C168" s="60"/>
      <c r="D168" s="62"/>
      <c r="E168" s="67"/>
      <c r="N168" s="73"/>
      <c r="O168" s="73"/>
      <c r="P168" s="73"/>
      <c r="Q168" s="62"/>
    </row>
    <row r="169" spans="1:17" s="56" customFormat="1" x14ac:dyDescent="0.2">
      <c r="A169" s="73"/>
      <c r="C169" s="60"/>
      <c r="D169" s="62"/>
      <c r="E169" s="67"/>
      <c r="N169" s="73"/>
      <c r="O169" s="73"/>
      <c r="P169" s="73"/>
      <c r="Q169" s="62"/>
    </row>
    <row r="170" spans="1:17" s="56" customFormat="1" x14ac:dyDescent="0.25">
      <c r="A170" s="73"/>
      <c r="D170" s="62"/>
      <c r="E170" s="67"/>
      <c r="N170" s="73"/>
      <c r="O170" s="73"/>
      <c r="P170" s="73"/>
    </row>
    <row r="171" spans="1:17" s="56" customFormat="1" x14ac:dyDescent="0.25">
      <c r="A171" s="73"/>
      <c r="D171" s="62"/>
      <c r="E171" s="67"/>
      <c r="N171" s="73"/>
      <c r="O171" s="73"/>
      <c r="P171" s="73"/>
    </row>
    <row r="172" spans="1:17" s="56" customFormat="1" x14ac:dyDescent="0.25">
      <c r="A172" s="73"/>
      <c r="D172" s="62"/>
      <c r="E172" s="67"/>
      <c r="N172" s="73"/>
      <c r="O172" s="73"/>
      <c r="P172" s="73"/>
    </row>
    <row r="173" spans="1:17" x14ac:dyDescent="0.25">
      <c r="A173" s="74"/>
    </row>
    <row r="174" spans="1:17" x14ac:dyDescent="0.25">
      <c r="A174" s="74"/>
    </row>
    <row r="175" spans="1:17" x14ac:dyDescent="0.25">
      <c r="A175" s="74"/>
    </row>
    <row r="176" spans="1:17" x14ac:dyDescent="0.25">
      <c r="A176" s="74"/>
    </row>
    <row r="177" spans="1:1" x14ac:dyDescent="0.25">
      <c r="A177" s="74"/>
    </row>
    <row r="178" spans="1:1" x14ac:dyDescent="0.25">
      <c r="A178" s="74"/>
    </row>
    <row r="179" spans="1:1" x14ac:dyDescent="0.25">
      <c r="A179" s="74"/>
    </row>
    <row r="180" spans="1:1" x14ac:dyDescent="0.25">
      <c r="A180" s="74"/>
    </row>
    <row r="181" spans="1:1" x14ac:dyDescent="0.25">
      <c r="A181" s="74"/>
    </row>
    <row r="182" spans="1:1" x14ac:dyDescent="0.25">
      <c r="A182" s="74"/>
    </row>
    <row r="183" spans="1:1" x14ac:dyDescent="0.25">
      <c r="A183" s="77"/>
    </row>
    <row r="184" spans="1:1" x14ac:dyDescent="0.25">
      <c r="A184" s="77"/>
    </row>
    <row r="185" spans="1:1" x14ac:dyDescent="0.25">
      <c r="A185" s="77"/>
    </row>
    <row r="186" spans="1:1" x14ac:dyDescent="0.25">
      <c r="A186" s="77"/>
    </row>
    <row r="187" spans="1:1" x14ac:dyDescent="0.25">
      <c r="A187" s="77"/>
    </row>
    <row r="188" spans="1:1" x14ac:dyDescent="0.25">
      <c r="A188" s="77"/>
    </row>
    <row r="189" spans="1:1" x14ac:dyDescent="0.25">
      <c r="A189" s="77"/>
    </row>
    <row r="190" spans="1:1" x14ac:dyDescent="0.25">
      <c r="A190" s="77"/>
    </row>
    <row r="191" spans="1:1" x14ac:dyDescent="0.25">
      <c r="A191" s="77"/>
    </row>
    <row r="192" spans="1:1" x14ac:dyDescent="0.25">
      <c r="A192" s="77"/>
    </row>
    <row r="193" spans="1:1" x14ac:dyDescent="0.25">
      <c r="A193" s="77"/>
    </row>
    <row r="194" spans="1:1" x14ac:dyDescent="0.25">
      <c r="A194" s="77"/>
    </row>
    <row r="195" spans="1:1" x14ac:dyDescent="0.25">
      <c r="A195" s="77"/>
    </row>
    <row r="196" spans="1:1" x14ac:dyDescent="0.25">
      <c r="A196" s="77"/>
    </row>
    <row r="197" spans="1:1" x14ac:dyDescent="0.25">
      <c r="A197" s="77"/>
    </row>
    <row r="198" spans="1:1" x14ac:dyDescent="0.25">
      <c r="A198" s="77"/>
    </row>
    <row r="199" spans="1:1" x14ac:dyDescent="0.25">
      <c r="A199" s="77"/>
    </row>
    <row r="200" spans="1:1" x14ac:dyDescent="0.25">
      <c r="A200" s="77"/>
    </row>
    <row r="201" spans="1:1" x14ac:dyDescent="0.25">
      <c r="A201" s="77"/>
    </row>
    <row r="202" spans="1:1" x14ac:dyDescent="0.25">
      <c r="A202" s="77"/>
    </row>
    <row r="203" spans="1:1" x14ac:dyDescent="0.25">
      <c r="A203" s="77"/>
    </row>
    <row r="204" spans="1:1" x14ac:dyDescent="0.25">
      <c r="A204" s="77"/>
    </row>
    <row r="205" spans="1:1" x14ac:dyDescent="0.25">
      <c r="A205" s="77"/>
    </row>
  </sheetData>
  <sortState ref="A2:AB205">
    <sortCondition ref="I2:I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B4" sqref="A1: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41</v>
      </c>
      <c r="B1" s="65" t="s">
        <v>326</v>
      </c>
      <c r="C1" s="65" t="s">
        <v>327</v>
      </c>
      <c r="D1" s="65" t="s">
        <v>328</v>
      </c>
      <c r="E1" s="55" t="s">
        <v>329</v>
      </c>
      <c r="F1" s="55" t="s">
        <v>330</v>
      </c>
      <c r="G1" s="55" t="s">
        <v>331</v>
      </c>
      <c r="H1" s="55" t="s">
        <v>332</v>
      </c>
      <c r="I1" s="55" t="s">
        <v>333</v>
      </c>
      <c r="J1" s="55" t="s">
        <v>334</v>
      </c>
    </row>
    <row r="2" spans="1:10" x14ac:dyDescent="0.25">
      <c r="A2" t="s">
        <v>196</v>
      </c>
      <c r="B2" s="31">
        <v>0</v>
      </c>
      <c r="C2" s="31">
        <v>0</v>
      </c>
      <c r="D2" s="31">
        <v>72.987802739814882</v>
      </c>
      <c r="E2" s="94">
        <v>1000</v>
      </c>
      <c r="F2" s="95" t="s">
        <v>62</v>
      </c>
      <c r="G2" s="95" t="s">
        <v>340</v>
      </c>
      <c r="H2">
        <v>5</v>
      </c>
      <c r="I2">
        <v>0</v>
      </c>
      <c r="J2">
        <v>34</v>
      </c>
    </row>
    <row r="3" spans="1:10" x14ac:dyDescent="0.25">
      <c r="A3" t="s">
        <v>47</v>
      </c>
      <c r="B3" s="31">
        <v>15.870961480433085</v>
      </c>
      <c r="C3" s="31">
        <v>9.3469422740771506</v>
      </c>
      <c r="D3" s="31">
        <v>25.673872772937461</v>
      </c>
      <c r="E3" s="94">
        <v>1000</v>
      </c>
      <c r="F3" s="95" t="s">
        <v>335</v>
      </c>
      <c r="G3" s="95" t="s">
        <v>336</v>
      </c>
      <c r="H3">
        <v>83</v>
      </c>
      <c r="I3">
        <v>15</v>
      </c>
      <c r="J3">
        <v>1137</v>
      </c>
    </row>
    <row r="4" spans="1:10" x14ac:dyDescent="0.25">
      <c r="A4" t="s">
        <v>9</v>
      </c>
      <c r="B4" s="31">
        <v>0</v>
      </c>
      <c r="C4" s="31">
        <v>0</v>
      </c>
      <c r="D4" s="31">
        <v>24.884595383050137</v>
      </c>
      <c r="E4" s="94">
        <v>1000</v>
      </c>
      <c r="F4" s="95" t="s">
        <v>62</v>
      </c>
      <c r="G4" s="95" t="s">
        <v>340</v>
      </c>
      <c r="H4">
        <v>10</v>
      </c>
      <c r="I4">
        <v>0</v>
      </c>
      <c r="J4">
        <v>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46</v>
      </c>
      <c r="B1" s="65" t="s">
        <v>326</v>
      </c>
      <c r="C1" s="65" t="s">
        <v>327</v>
      </c>
      <c r="D1" s="65" t="s">
        <v>328</v>
      </c>
      <c r="E1" s="55" t="s">
        <v>329</v>
      </c>
      <c r="F1" s="55" t="s">
        <v>330</v>
      </c>
      <c r="G1" s="55" t="s">
        <v>331</v>
      </c>
      <c r="H1" s="55" t="s">
        <v>332</v>
      </c>
      <c r="I1" s="55" t="s">
        <v>333</v>
      </c>
      <c r="J1" s="55" t="s">
        <v>334</v>
      </c>
    </row>
    <row r="2" spans="1:10" x14ac:dyDescent="0.25">
      <c r="A2" t="s">
        <v>196</v>
      </c>
      <c r="B2" s="31">
        <v>0</v>
      </c>
      <c r="C2" s="31">
        <v>0</v>
      </c>
      <c r="D2" s="31">
        <v>72.987802739814882</v>
      </c>
      <c r="E2" s="94">
        <v>1000</v>
      </c>
      <c r="F2" s="95" t="s">
        <v>62</v>
      </c>
      <c r="G2" s="95" t="s">
        <v>340</v>
      </c>
      <c r="H2">
        <v>5</v>
      </c>
      <c r="I2">
        <v>0</v>
      </c>
      <c r="J2">
        <v>34</v>
      </c>
    </row>
    <row r="3" spans="1:10" x14ac:dyDescent="0.25">
      <c r="A3" t="s">
        <v>9</v>
      </c>
      <c r="B3" s="31">
        <v>0</v>
      </c>
      <c r="C3" s="31">
        <v>0</v>
      </c>
      <c r="D3" s="31">
        <v>24.884595383050137</v>
      </c>
      <c r="E3" s="94">
        <v>1000</v>
      </c>
      <c r="F3" s="95" t="s">
        <v>62</v>
      </c>
      <c r="G3" s="95" t="s">
        <v>340</v>
      </c>
      <c r="H3">
        <v>10</v>
      </c>
      <c r="I3">
        <v>0</v>
      </c>
      <c r="J3">
        <v>109</v>
      </c>
    </row>
    <row r="4" spans="1:10" x14ac:dyDescent="0.25">
      <c r="A4" t="s">
        <v>59</v>
      </c>
      <c r="B4" s="31">
        <v>9.094878647414701</v>
      </c>
      <c r="C4" s="31">
        <v>3.5040422058621212</v>
      </c>
      <c r="D4" s="31">
        <v>20.056210319131186</v>
      </c>
      <c r="E4" s="94">
        <v>1000</v>
      </c>
      <c r="F4" s="95" t="s">
        <v>335</v>
      </c>
      <c r="G4" s="95" t="s">
        <v>336</v>
      </c>
      <c r="H4">
        <v>27</v>
      </c>
      <c r="I4">
        <v>5</v>
      </c>
      <c r="J4">
        <v>595</v>
      </c>
    </row>
    <row r="5" spans="1:10" x14ac:dyDescent="0.25">
      <c r="A5" t="s">
        <v>58</v>
      </c>
      <c r="B5" s="31">
        <v>6.6192941061907513</v>
      </c>
      <c r="C5" s="31">
        <v>0.37228912838262529</v>
      </c>
      <c r="D5" s="31">
        <v>34.318343652053755</v>
      </c>
      <c r="E5" s="94">
        <v>1000</v>
      </c>
      <c r="F5" s="95" t="s">
        <v>335</v>
      </c>
      <c r="G5" s="95" t="s">
        <v>336</v>
      </c>
      <c r="H5">
        <v>19</v>
      </c>
      <c r="I5">
        <v>1</v>
      </c>
      <c r="J5">
        <v>161</v>
      </c>
    </row>
    <row r="6" spans="1:10" x14ac:dyDescent="0.25">
      <c r="A6" t="s">
        <v>60</v>
      </c>
      <c r="B6" s="31">
        <v>35.778171873396154</v>
      </c>
      <c r="C6" s="31">
        <v>16.572162452546642</v>
      </c>
      <c r="D6" s="31">
        <v>73.043468610387393</v>
      </c>
      <c r="E6" s="94">
        <v>1000</v>
      </c>
      <c r="F6" s="95" t="s">
        <v>335</v>
      </c>
      <c r="G6" s="95" t="s">
        <v>336</v>
      </c>
      <c r="H6">
        <v>25</v>
      </c>
      <c r="I6">
        <v>8</v>
      </c>
      <c r="J6">
        <v>339</v>
      </c>
    </row>
    <row r="7" spans="1:10" x14ac:dyDescent="0.25">
      <c r="A7" t="s">
        <v>61</v>
      </c>
      <c r="B7" s="31">
        <v>25.861259992026199</v>
      </c>
      <c r="C7" s="31">
        <v>1.4394846563384778</v>
      </c>
      <c r="D7" s="31">
        <v>131.03556200517295</v>
      </c>
      <c r="E7" s="94">
        <v>1000</v>
      </c>
      <c r="F7" s="95" t="s">
        <v>335</v>
      </c>
      <c r="G7" s="95" t="s">
        <v>336</v>
      </c>
      <c r="H7">
        <v>12</v>
      </c>
      <c r="I7">
        <v>1</v>
      </c>
      <c r="J7">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B13" sqref="A2: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92</v>
      </c>
      <c r="B1" s="65" t="s">
        <v>326</v>
      </c>
      <c r="C1" s="65" t="s">
        <v>327</v>
      </c>
      <c r="D1" s="65" t="s">
        <v>328</v>
      </c>
      <c r="E1" s="55" t="s">
        <v>329</v>
      </c>
      <c r="F1" s="55" t="s">
        <v>330</v>
      </c>
      <c r="G1" s="55" t="s">
        <v>331</v>
      </c>
      <c r="H1" s="55" t="s">
        <v>332</v>
      </c>
      <c r="I1" s="55" t="s">
        <v>333</v>
      </c>
      <c r="J1" s="55" t="s">
        <v>334</v>
      </c>
    </row>
    <row r="2" spans="1:10" x14ac:dyDescent="0.25">
      <c r="A2" t="s">
        <v>317</v>
      </c>
      <c r="B2" s="31">
        <v>0</v>
      </c>
      <c r="C2" s="31">
        <v>0</v>
      </c>
      <c r="D2" s="31">
        <v>114.24067353905531</v>
      </c>
      <c r="E2" s="94">
        <v>1000</v>
      </c>
      <c r="F2" s="95" t="s">
        <v>62</v>
      </c>
      <c r="G2" s="95" t="s">
        <v>340</v>
      </c>
      <c r="H2">
        <v>2</v>
      </c>
      <c r="I2">
        <v>0</v>
      </c>
      <c r="J2">
        <v>15</v>
      </c>
    </row>
    <row r="3" spans="1:10" x14ac:dyDescent="0.25">
      <c r="A3" t="s">
        <v>316</v>
      </c>
      <c r="B3" s="31">
        <v>0</v>
      </c>
      <c r="C3" s="31">
        <v>0</v>
      </c>
      <c r="D3" s="31">
        <v>110.07864352433127</v>
      </c>
      <c r="E3" s="94">
        <v>1000</v>
      </c>
      <c r="F3" s="95" t="s">
        <v>62</v>
      </c>
      <c r="G3" s="95" t="s">
        <v>340</v>
      </c>
      <c r="H3">
        <v>3</v>
      </c>
      <c r="I3">
        <v>0</v>
      </c>
      <c r="J3">
        <v>19</v>
      </c>
    </row>
    <row r="4" spans="1:10" x14ac:dyDescent="0.25">
      <c r="A4" t="s">
        <v>338</v>
      </c>
      <c r="B4" s="31">
        <v>0</v>
      </c>
      <c r="C4" s="31">
        <v>0</v>
      </c>
      <c r="D4" s="31">
        <v>108.56973656880204</v>
      </c>
      <c r="E4" s="94">
        <v>1000</v>
      </c>
      <c r="F4" s="95" t="s">
        <v>62</v>
      </c>
      <c r="G4" s="95" t="s">
        <v>340</v>
      </c>
      <c r="H4">
        <v>5</v>
      </c>
      <c r="I4">
        <v>0</v>
      </c>
      <c r="J4">
        <v>23</v>
      </c>
    </row>
    <row r="5" spans="1:10" x14ac:dyDescent="0.25">
      <c r="A5" t="s">
        <v>313</v>
      </c>
      <c r="B5" s="31">
        <v>0</v>
      </c>
      <c r="C5" s="31">
        <v>0</v>
      </c>
      <c r="D5" s="31">
        <v>27.701886320949985</v>
      </c>
      <c r="E5" s="94">
        <v>1000</v>
      </c>
      <c r="F5" s="95" t="s">
        <v>62</v>
      </c>
      <c r="G5" s="95" t="s">
        <v>340</v>
      </c>
      <c r="H5">
        <v>5</v>
      </c>
      <c r="I5">
        <v>0</v>
      </c>
      <c r="J5">
        <v>86</v>
      </c>
    </row>
    <row r="6" spans="1:10" x14ac:dyDescent="0.25">
      <c r="A6" t="s">
        <v>318</v>
      </c>
      <c r="B6" s="31">
        <v>9.1646092103112959</v>
      </c>
      <c r="C6" s="31">
        <v>3.180756226197464</v>
      </c>
      <c r="D6" s="31">
        <v>21.702458665578572</v>
      </c>
      <c r="E6" s="94">
        <v>1000</v>
      </c>
      <c r="F6" s="95" t="s">
        <v>335</v>
      </c>
      <c r="G6" s="95" t="s">
        <v>336</v>
      </c>
      <c r="H6">
        <v>17</v>
      </c>
      <c r="I6">
        <v>4</v>
      </c>
      <c r="J6">
        <v>453</v>
      </c>
    </row>
    <row r="7" spans="1:10" x14ac:dyDescent="0.25">
      <c r="A7" t="s">
        <v>319</v>
      </c>
      <c r="B7" s="31">
        <v>7.7368742677849198</v>
      </c>
      <c r="C7" s="31">
        <v>0.43311359366864782</v>
      </c>
      <c r="D7" s="31">
        <v>42.549058897158467</v>
      </c>
      <c r="E7" s="94">
        <v>1000</v>
      </c>
      <c r="F7" s="95" t="s">
        <v>335</v>
      </c>
      <c r="G7" s="95" t="s">
        <v>336</v>
      </c>
      <c r="H7">
        <v>10</v>
      </c>
      <c r="I7">
        <v>1</v>
      </c>
      <c r="J7">
        <v>142</v>
      </c>
    </row>
    <row r="8" spans="1:10" x14ac:dyDescent="0.25">
      <c r="A8" t="s">
        <v>321</v>
      </c>
      <c r="B8" s="31">
        <v>9.4457810276537657</v>
      </c>
      <c r="C8" s="31">
        <v>0.54577510061086587</v>
      </c>
      <c r="D8" s="31">
        <v>50.747363669245757</v>
      </c>
      <c r="E8" s="94">
        <v>1000</v>
      </c>
      <c r="F8" s="95" t="s">
        <v>335</v>
      </c>
      <c r="G8" s="95" t="s">
        <v>336</v>
      </c>
      <c r="H8">
        <v>10</v>
      </c>
      <c r="I8">
        <v>1</v>
      </c>
      <c r="J8">
        <v>113</v>
      </c>
    </row>
    <row r="9" spans="1:10" x14ac:dyDescent="0.25">
      <c r="A9" t="s">
        <v>320</v>
      </c>
      <c r="B9" s="31">
        <v>0</v>
      </c>
      <c r="C9" s="31">
        <v>0</v>
      </c>
      <c r="D9" s="31">
        <v>60.17115901749969</v>
      </c>
      <c r="E9" s="94">
        <v>1000</v>
      </c>
      <c r="F9" s="95" t="s">
        <v>62</v>
      </c>
      <c r="G9" s="95" t="s">
        <v>340</v>
      </c>
      <c r="H9">
        <v>9</v>
      </c>
      <c r="I9">
        <v>0</v>
      </c>
      <c r="J9">
        <v>48</v>
      </c>
    </row>
    <row r="10" spans="1:10" x14ac:dyDescent="0.25">
      <c r="A10" t="s">
        <v>323</v>
      </c>
      <c r="B10" s="31">
        <v>53.050611256864251</v>
      </c>
      <c r="C10" s="31">
        <v>18.619031214548201</v>
      </c>
      <c r="D10" s="31">
        <v>166.62441390541272</v>
      </c>
      <c r="E10" s="94">
        <v>1000</v>
      </c>
      <c r="F10" s="95" t="s">
        <v>335</v>
      </c>
      <c r="G10" s="95" t="s">
        <v>336</v>
      </c>
      <c r="H10">
        <v>12</v>
      </c>
      <c r="I10">
        <v>5</v>
      </c>
      <c r="J10">
        <v>189</v>
      </c>
    </row>
    <row r="11" spans="1:10" x14ac:dyDescent="0.25">
      <c r="A11" t="s">
        <v>322</v>
      </c>
      <c r="B11" s="31">
        <v>22.80505539062322</v>
      </c>
      <c r="C11" s="31">
        <v>6.2310966121128066</v>
      </c>
      <c r="D11" s="31">
        <v>63.520721455111769</v>
      </c>
      <c r="E11" s="94">
        <v>1000</v>
      </c>
      <c r="F11" s="95" t="s">
        <v>335</v>
      </c>
      <c r="G11" s="95" t="s">
        <v>336</v>
      </c>
      <c r="H11">
        <v>13</v>
      </c>
      <c r="I11">
        <v>3</v>
      </c>
      <c r="J11">
        <v>150</v>
      </c>
    </row>
    <row r="12" spans="1:10" x14ac:dyDescent="0.25">
      <c r="A12" t="s">
        <v>325</v>
      </c>
      <c r="B12" s="31">
        <v>44.351154622831956</v>
      </c>
      <c r="C12" s="31">
        <v>2.5519048437821783</v>
      </c>
      <c r="D12" s="31">
        <v>237.28478349067896</v>
      </c>
      <c r="E12" s="94">
        <v>1000</v>
      </c>
      <c r="F12" s="95" t="s">
        <v>335</v>
      </c>
      <c r="G12" s="95" t="s">
        <v>336</v>
      </c>
      <c r="H12">
        <v>5</v>
      </c>
      <c r="I12">
        <v>1</v>
      </c>
      <c r="J12">
        <v>25</v>
      </c>
    </row>
    <row r="13" spans="1:10" x14ac:dyDescent="0.25">
      <c r="A13" t="s">
        <v>324</v>
      </c>
      <c r="B13" s="31">
        <v>0</v>
      </c>
      <c r="C13" s="31">
        <v>0</v>
      </c>
      <c r="D13" s="31">
        <v>154.89751102522743</v>
      </c>
      <c r="E13" s="94">
        <v>1000</v>
      </c>
      <c r="F13" s="95" t="s">
        <v>62</v>
      </c>
      <c r="G13" s="95" t="s">
        <v>340</v>
      </c>
      <c r="H13">
        <v>7</v>
      </c>
      <c r="I13">
        <v>0</v>
      </c>
      <c r="J13">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abSelected="1" workbookViewId="0">
      <selection activeCell="F5" sqref="F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91</v>
      </c>
      <c r="B1" s="65" t="s">
        <v>326</v>
      </c>
      <c r="C1" s="65" t="s">
        <v>327</v>
      </c>
      <c r="D1" s="65" t="s">
        <v>328</v>
      </c>
      <c r="E1" s="55" t="s">
        <v>329</v>
      </c>
      <c r="F1" s="55" t="s">
        <v>330</v>
      </c>
      <c r="G1" s="55" t="s">
        <v>331</v>
      </c>
      <c r="H1" s="55" t="s">
        <v>332</v>
      </c>
      <c r="I1" s="55" t="s">
        <v>333</v>
      </c>
      <c r="J1" s="55" t="s">
        <v>334</v>
      </c>
    </row>
    <row r="2" spans="1:10" x14ac:dyDescent="0.25">
      <c r="A2" t="s">
        <v>317</v>
      </c>
      <c r="B2" s="31">
        <v>0</v>
      </c>
      <c r="C2" s="31">
        <v>0</v>
      </c>
      <c r="D2" s="31">
        <v>114.24067353905531</v>
      </c>
      <c r="E2" s="94">
        <v>1000</v>
      </c>
      <c r="F2" s="95" t="s">
        <v>62</v>
      </c>
      <c r="G2" s="95" t="s">
        <v>340</v>
      </c>
      <c r="H2">
        <v>2</v>
      </c>
      <c r="I2">
        <v>0</v>
      </c>
      <c r="J2">
        <v>15</v>
      </c>
    </row>
    <row r="3" spans="1:10" x14ac:dyDescent="0.25">
      <c r="A3" t="s">
        <v>316</v>
      </c>
      <c r="B3" s="31">
        <v>0</v>
      </c>
      <c r="C3" s="31">
        <v>0</v>
      </c>
      <c r="D3" s="31">
        <v>110.07864352433127</v>
      </c>
      <c r="E3" s="94">
        <v>1000</v>
      </c>
      <c r="F3" s="95" t="s">
        <v>62</v>
      </c>
      <c r="G3" s="95" t="s">
        <v>340</v>
      </c>
      <c r="H3">
        <v>3</v>
      </c>
      <c r="I3">
        <v>0</v>
      </c>
      <c r="J3">
        <v>19</v>
      </c>
    </row>
    <row r="4" spans="1:10" x14ac:dyDescent="0.25">
      <c r="A4" t="s">
        <v>314</v>
      </c>
      <c r="B4" s="31">
        <v>17.05583449729993</v>
      </c>
      <c r="C4" s="31">
        <v>9.2792387529068812</v>
      </c>
      <c r="D4" s="31">
        <v>29.626396345132754</v>
      </c>
      <c r="E4" s="94">
        <v>1000</v>
      </c>
      <c r="F4" s="95" t="s">
        <v>335</v>
      </c>
      <c r="G4" s="95" t="s">
        <v>336</v>
      </c>
      <c r="H4">
        <v>44</v>
      </c>
      <c r="I4">
        <v>11</v>
      </c>
      <c r="J4">
        <v>780</v>
      </c>
    </row>
    <row r="5" spans="1:10" x14ac:dyDescent="0.25">
      <c r="A5" t="s">
        <v>315</v>
      </c>
      <c r="B5" s="31">
        <v>12.817319972815671</v>
      </c>
      <c r="C5" s="31">
        <v>4.122591509134069</v>
      </c>
      <c r="D5" s="31">
        <v>31.803548100597329</v>
      </c>
      <c r="E5" s="94">
        <v>1000</v>
      </c>
      <c r="F5" s="95" t="s">
        <v>335</v>
      </c>
      <c r="G5" s="95" t="s">
        <v>336</v>
      </c>
      <c r="H5">
        <v>39</v>
      </c>
      <c r="I5">
        <v>4</v>
      </c>
      <c r="J5">
        <v>357</v>
      </c>
    </row>
    <row r="6" spans="1:10" x14ac:dyDescent="0.25">
      <c r="A6" t="s">
        <v>338</v>
      </c>
      <c r="B6" s="31">
        <v>0</v>
      </c>
      <c r="C6" s="31">
        <v>0</v>
      </c>
      <c r="D6" s="31">
        <v>108.56973656880204</v>
      </c>
      <c r="E6" s="94">
        <v>1000</v>
      </c>
      <c r="F6" s="95" t="s">
        <v>62</v>
      </c>
      <c r="G6" s="95" t="s">
        <v>340</v>
      </c>
      <c r="H6">
        <v>5</v>
      </c>
      <c r="I6">
        <v>0</v>
      </c>
      <c r="J6">
        <v>23</v>
      </c>
    </row>
    <row r="7" spans="1:10" x14ac:dyDescent="0.25">
      <c r="A7" t="s">
        <v>313</v>
      </c>
      <c r="B7" s="31">
        <v>0</v>
      </c>
      <c r="C7" s="31">
        <v>0</v>
      </c>
      <c r="D7" s="31">
        <v>27.701886320949985</v>
      </c>
      <c r="E7" s="94">
        <v>1000</v>
      </c>
      <c r="F7" s="95" t="s">
        <v>62</v>
      </c>
      <c r="G7" s="95" t="s">
        <v>340</v>
      </c>
      <c r="H7">
        <v>5</v>
      </c>
      <c r="I7">
        <v>0</v>
      </c>
      <c r="J7">
        <v>86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98"/>
  <sheetViews>
    <sheetView topLeftCell="A76" workbookViewId="0">
      <selection activeCell="D87" sqref="D87:D95"/>
    </sheetView>
  </sheetViews>
  <sheetFormatPr defaultRowHeight="15" x14ac:dyDescent="0.25"/>
  <cols>
    <col min="2" max="2" width="12.5703125" style="1"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82" t="s">
        <v>0</v>
      </c>
      <c r="C1" s="40" t="s">
        <v>66</v>
      </c>
      <c r="D1" s="40" t="s">
        <v>46</v>
      </c>
      <c r="E1" s="40" t="s">
        <v>67</v>
      </c>
      <c r="F1" s="40" t="s">
        <v>68</v>
      </c>
      <c r="G1" s="40" t="s">
        <v>69</v>
      </c>
      <c r="H1" s="40" t="s">
        <v>70</v>
      </c>
      <c r="I1" s="40" t="s">
        <v>71</v>
      </c>
      <c r="J1" s="40" t="s">
        <v>72</v>
      </c>
      <c r="K1" s="40" t="s">
        <v>73</v>
      </c>
      <c r="L1" s="40" t="s">
        <v>45</v>
      </c>
    </row>
    <row r="2" spans="1:23" s="63" customFormat="1" x14ac:dyDescent="0.25">
      <c r="A2" s="41">
        <v>35</v>
      </c>
      <c r="B2" s="84" t="s">
        <v>445</v>
      </c>
      <c r="C2" s="41" t="s">
        <v>221</v>
      </c>
      <c r="D2" s="41" t="s">
        <v>196</v>
      </c>
      <c r="E2" s="41" t="s">
        <v>236</v>
      </c>
      <c r="F2" s="41" t="s">
        <v>154</v>
      </c>
      <c r="G2" s="41" t="s">
        <v>155</v>
      </c>
      <c r="H2" s="41">
        <v>2</v>
      </c>
      <c r="I2" s="41">
        <v>2</v>
      </c>
      <c r="J2" s="41">
        <v>4</v>
      </c>
      <c r="K2" s="41">
        <v>33</v>
      </c>
      <c r="L2"/>
      <c r="M2"/>
      <c r="N2"/>
      <c r="O2"/>
      <c r="P2"/>
      <c r="Q2"/>
      <c r="R2"/>
      <c r="S2"/>
      <c r="T2"/>
      <c r="U2"/>
      <c r="V2"/>
      <c r="W2"/>
    </row>
    <row r="3" spans="1:23" x14ac:dyDescent="0.25">
      <c r="A3" s="41">
        <v>35</v>
      </c>
      <c r="B3" s="85" t="s">
        <v>445</v>
      </c>
      <c r="C3" s="41" t="s">
        <v>222</v>
      </c>
      <c r="D3" s="41" t="s">
        <v>196</v>
      </c>
      <c r="E3" s="41" t="s">
        <v>255</v>
      </c>
      <c r="F3" s="41" t="s">
        <v>154</v>
      </c>
      <c r="G3" s="41" t="s">
        <v>155</v>
      </c>
      <c r="H3" s="41">
        <v>5</v>
      </c>
      <c r="I3" s="41">
        <v>0</v>
      </c>
      <c r="J3" s="41">
        <v>5</v>
      </c>
      <c r="K3" s="41">
        <v>35</v>
      </c>
    </row>
    <row r="4" spans="1:23" x14ac:dyDescent="0.25">
      <c r="A4" s="41">
        <v>35</v>
      </c>
      <c r="B4" s="85" t="s">
        <v>445</v>
      </c>
      <c r="C4" s="41" t="s">
        <v>220</v>
      </c>
      <c r="D4" s="41" t="s">
        <v>196</v>
      </c>
      <c r="E4" s="41" t="s">
        <v>224</v>
      </c>
      <c r="F4" s="41" t="s">
        <v>154</v>
      </c>
      <c r="G4" s="41" t="s">
        <v>155</v>
      </c>
      <c r="H4" s="41">
        <v>0</v>
      </c>
      <c r="I4" s="41">
        <v>0</v>
      </c>
      <c r="J4" s="41">
        <v>0</v>
      </c>
      <c r="K4" s="41">
        <v>5</v>
      </c>
    </row>
    <row r="5" spans="1:23" x14ac:dyDescent="0.25">
      <c r="A5" s="41">
        <v>35</v>
      </c>
      <c r="B5" s="85" t="s">
        <v>445</v>
      </c>
      <c r="C5" s="41" t="s">
        <v>219</v>
      </c>
      <c r="D5" s="41" t="s">
        <v>196</v>
      </c>
      <c r="E5" s="41" t="s">
        <v>227</v>
      </c>
      <c r="F5" s="41" t="s">
        <v>154</v>
      </c>
      <c r="G5" s="41" t="s">
        <v>155</v>
      </c>
      <c r="H5" s="41">
        <v>12</v>
      </c>
      <c r="I5" s="41">
        <v>13</v>
      </c>
      <c r="J5" s="41">
        <v>25</v>
      </c>
      <c r="K5" s="41">
        <v>36</v>
      </c>
    </row>
    <row r="6" spans="1:23" x14ac:dyDescent="0.25">
      <c r="A6">
        <v>35</v>
      </c>
      <c r="B6" s="85" t="s">
        <v>444</v>
      </c>
      <c r="C6" t="s">
        <v>288</v>
      </c>
      <c r="D6" s="41" t="s">
        <v>103</v>
      </c>
      <c r="E6" t="s">
        <v>289</v>
      </c>
      <c r="F6" t="s">
        <v>154</v>
      </c>
      <c r="G6" t="s">
        <v>155</v>
      </c>
      <c r="H6">
        <v>4</v>
      </c>
      <c r="I6">
        <v>3</v>
      </c>
      <c r="J6">
        <v>7</v>
      </c>
      <c r="K6">
        <v>22</v>
      </c>
    </row>
    <row r="7" spans="1:23" x14ac:dyDescent="0.25">
      <c r="A7" s="41">
        <v>35</v>
      </c>
      <c r="B7" s="84" t="s">
        <v>445</v>
      </c>
      <c r="C7" s="41" t="s">
        <v>232</v>
      </c>
      <c r="D7" s="41" t="s">
        <v>103</v>
      </c>
      <c r="E7" s="41" t="s">
        <v>233</v>
      </c>
      <c r="F7" s="41" t="s">
        <v>154</v>
      </c>
      <c r="G7" s="41" t="s">
        <v>155</v>
      </c>
      <c r="H7" s="41">
        <v>4</v>
      </c>
      <c r="I7" s="41">
        <v>1</v>
      </c>
      <c r="J7" s="41">
        <v>5</v>
      </c>
      <c r="K7">
        <v>14</v>
      </c>
    </row>
    <row r="8" spans="1:23" x14ac:dyDescent="0.25">
      <c r="A8">
        <v>35</v>
      </c>
      <c r="B8" s="83" t="s">
        <v>444</v>
      </c>
      <c r="C8" t="s">
        <v>256</v>
      </c>
      <c r="D8" s="41" t="s">
        <v>103</v>
      </c>
      <c r="E8" t="s">
        <v>257</v>
      </c>
      <c r="F8" t="s">
        <v>154</v>
      </c>
      <c r="G8" t="s">
        <v>155</v>
      </c>
      <c r="H8">
        <v>0</v>
      </c>
      <c r="I8">
        <v>0</v>
      </c>
      <c r="J8">
        <v>0</v>
      </c>
      <c r="K8">
        <v>0</v>
      </c>
      <c r="M8" t="s">
        <v>343</v>
      </c>
    </row>
    <row r="9" spans="1:23" x14ac:dyDescent="0.25">
      <c r="A9">
        <v>35</v>
      </c>
      <c r="B9" s="85" t="s">
        <v>444</v>
      </c>
      <c r="C9" t="s">
        <v>251</v>
      </c>
      <c r="D9" s="41" t="s">
        <v>103</v>
      </c>
      <c r="E9" t="s">
        <v>252</v>
      </c>
      <c r="F9" t="s">
        <v>154</v>
      </c>
      <c r="G9" t="s">
        <v>155</v>
      </c>
      <c r="H9">
        <v>11</v>
      </c>
      <c r="I9">
        <v>27</v>
      </c>
      <c r="J9">
        <v>38</v>
      </c>
      <c r="K9">
        <v>259</v>
      </c>
    </row>
    <row r="10" spans="1:23" x14ac:dyDescent="0.25">
      <c r="A10" s="41">
        <v>35</v>
      </c>
      <c r="B10" s="85" t="s">
        <v>444</v>
      </c>
      <c r="C10" s="41" t="s">
        <v>270</v>
      </c>
      <c r="D10" s="41" t="s">
        <v>103</v>
      </c>
      <c r="E10" s="41" t="s">
        <v>271</v>
      </c>
      <c r="F10" s="41" t="s">
        <v>154</v>
      </c>
      <c r="G10" s="41" t="s">
        <v>155</v>
      </c>
      <c r="H10" s="41">
        <v>10</v>
      </c>
      <c r="I10" s="41">
        <v>0</v>
      </c>
      <c r="J10" s="41">
        <v>10</v>
      </c>
      <c r="K10" s="41">
        <v>15</v>
      </c>
    </row>
    <row r="11" spans="1:23" x14ac:dyDescent="0.25">
      <c r="A11" s="41">
        <v>35</v>
      </c>
      <c r="B11" s="84" t="s">
        <v>444</v>
      </c>
      <c r="C11" s="41" t="s">
        <v>262</v>
      </c>
      <c r="D11" s="41" t="s">
        <v>103</v>
      </c>
      <c r="E11" s="41" t="s">
        <v>263</v>
      </c>
      <c r="F11" s="41" t="s">
        <v>154</v>
      </c>
      <c r="G11" s="41" t="s">
        <v>155</v>
      </c>
      <c r="H11" s="41">
        <v>49</v>
      </c>
      <c r="I11" s="41">
        <v>20</v>
      </c>
      <c r="J11" s="41">
        <v>69</v>
      </c>
      <c r="K11" s="41">
        <v>93</v>
      </c>
    </row>
    <row r="12" spans="1:23" x14ac:dyDescent="0.25">
      <c r="A12">
        <v>35</v>
      </c>
      <c r="B12" s="85" t="s">
        <v>444</v>
      </c>
      <c r="C12" t="s">
        <v>286</v>
      </c>
      <c r="D12" s="41" t="s">
        <v>103</v>
      </c>
      <c r="E12" t="s">
        <v>287</v>
      </c>
      <c r="F12" t="s">
        <v>154</v>
      </c>
      <c r="G12" t="s">
        <v>155</v>
      </c>
      <c r="H12">
        <v>12</v>
      </c>
      <c r="I12">
        <v>2</v>
      </c>
      <c r="J12">
        <v>14</v>
      </c>
      <c r="K12">
        <v>46</v>
      </c>
    </row>
    <row r="13" spans="1:23" x14ac:dyDescent="0.25">
      <c r="A13" s="41">
        <v>35</v>
      </c>
      <c r="B13" s="85" t="s">
        <v>444</v>
      </c>
      <c r="C13" s="41" t="s">
        <v>264</v>
      </c>
      <c r="D13" s="41" t="s">
        <v>103</v>
      </c>
      <c r="E13" s="41" t="s">
        <v>265</v>
      </c>
      <c r="F13" s="41" t="s">
        <v>154</v>
      </c>
      <c r="G13" s="41" t="s">
        <v>155</v>
      </c>
      <c r="H13" s="41">
        <v>5</v>
      </c>
      <c r="I13" s="41">
        <v>4</v>
      </c>
      <c r="J13" s="41">
        <v>9</v>
      </c>
      <c r="K13" s="41">
        <v>22</v>
      </c>
    </row>
    <row r="14" spans="1:23" x14ac:dyDescent="0.25">
      <c r="A14" s="63">
        <v>35</v>
      </c>
      <c r="B14" s="83" t="s">
        <v>444</v>
      </c>
      <c r="C14" s="63" t="s">
        <v>272</v>
      </c>
      <c r="D14" s="41" t="s">
        <v>103</v>
      </c>
      <c r="E14" s="63" t="s">
        <v>273</v>
      </c>
      <c r="F14" s="63" t="s">
        <v>154</v>
      </c>
      <c r="G14" s="63" t="s">
        <v>155</v>
      </c>
      <c r="H14" s="63">
        <v>21</v>
      </c>
      <c r="I14" s="63">
        <v>5</v>
      </c>
      <c r="J14" s="63">
        <v>26</v>
      </c>
      <c r="K14" s="64">
        <v>138</v>
      </c>
      <c r="L14" s="63"/>
    </row>
    <row r="15" spans="1:23" x14ac:dyDescent="0.25">
      <c r="A15">
        <v>35</v>
      </c>
      <c r="B15" s="84" t="s">
        <v>444</v>
      </c>
      <c r="C15" t="s">
        <v>282</v>
      </c>
      <c r="D15" s="41" t="s">
        <v>103</v>
      </c>
      <c r="E15" t="s">
        <v>283</v>
      </c>
      <c r="F15" t="s">
        <v>154</v>
      </c>
      <c r="G15" t="s">
        <v>155</v>
      </c>
      <c r="H15">
        <v>3</v>
      </c>
      <c r="I15">
        <v>0</v>
      </c>
      <c r="J15">
        <v>3</v>
      </c>
      <c r="K15">
        <v>10</v>
      </c>
    </row>
    <row r="16" spans="1:23" x14ac:dyDescent="0.25">
      <c r="A16">
        <v>35</v>
      </c>
      <c r="B16" s="85" t="s">
        <v>444</v>
      </c>
      <c r="C16" t="s">
        <v>258</v>
      </c>
      <c r="D16" s="41" t="s">
        <v>9</v>
      </c>
      <c r="E16" t="s">
        <v>259</v>
      </c>
      <c r="F16" t="s">
        <v>154</v>
      </c>
      <c r="G16" t="s">
        <v>155</v>
      </c>
      <c r="H16">
        <v>2</v>
      </c>
      <c r="I16">
        <v>0</v>
      </c>
      <c r="J16">
        <v>2</v>
      </c>
      <c r="K16">
        <v>2</v>
      </c>
    </row>
    <row r="17" spans="1:13" x14ac:dyDescent="0.25">
      <c r="A17">
        <v>35</v>
      </c>
      <c r="B17" s="83" t="s">
        <v>442</v>
      </c>
      <c r="C17" t="s">
        <v>290</v>
      </c>
      <c r="D17" s="41" t="s">
        <v>9</v>
      </c>
      <c r="E17" t="s">
        <v>291</v>
      </c>
      <c r="F17" t="s">
        <v>154</v>
      </c>
      <c r="G17" t="s">
        <v>155</v>
      </c>
      <c r="H17">
        <v>4</v>
      </c>
      <c r="I17">
        <v>2</v>
      </c>
      <c r="J17">
        <v>6</v>
      </c>
      <c r="K17" s="41">
        <v>21</v>
      </c>
    </row>
    <row r="18" spans="1:13" x14ac:dyDescent="0.25">
      <c r="A18">
        <v>35</v>
      </c>
      <c r="B18" s="85" t="s">
        <v>445</v>
      </c>
      <c r="C18" t="s">
        <v>225</v>
      </c>
      <c r="D18" s="41" t="s">
        <v>9</v>
      </c>
      <c r="E18" t="s">
        <v>226</v>
      </c>
      <c r="F18" t="s">
        <v>154</v>
      </c>
      <c r="G18" t="s">
        <v>155</v>
      </c>
      <c r="H18">
        <v>9</v>
      </c>
      <c r="I18">
        <v>6</v>
      </c>
      <c r="J18">
        <v>15</v>
      </c>
      <c r="K18">
        <v>39</v>
      </c>
    </row>
    <row r="19" spans="1:13" x14ac:dyDescent="0.25">
      <c r="A19" s="41">
        <v>35</v>
      </c>
      <c r="B19" s="85" t="s">
        <v>445</v>
      </c>
      <c r="C19" s="41" t="s">
        <v>133</v>
      </c>
      <c r="D19" s="41" t="s">
        <v>9</v>
      </c>
      <c r="E19" s="41" t="s">
        <v>197</v>
      </c>
      <c r="F19" s="41" t="s">
        <v>154</v>
      </c>
      <c r="G19" s="41" t="s">
        <v>155</v>
      </c>
      <c r="H19" s="41">
        <v>48</v>
      </c>
      <c r="I19" s="41">
        <v>8</v>
      </c>
      <c r="J19" s="41">
        <v>56</v>
      </c>
      <c r="K19" s="41">
        <v>75</v>
      </c>
    </row>
    <row r="20" spans="1:13" x14ac:dyDescent="0.25">
      <c r="A20">
        <v>35</v>
      </c>
      <c r="B20" s="85" t="s">
        <v>445</v>
      </c>
      <c r="C20" t="s">
        <v>249</v>
      </c>
      <c r="D20" s="41" t="s">
        <v>9</v>
      </c>
      <c r="E20" t="s">
        <v>250</v>
      </c>
      <c r="F20" t="s">
        <v>154</v>
      </c>
      <c r="G20" t="s">
        <v>155</v>
      </c>
      <c r="H20">
        <v>2</v>
      </c>
      <c r="I20">
        <v>2</v>
      </c>
      <c r="J20">
        <v>4</v>
      </c>
      <c r="K20">
        <v>9</v>
      </c>
    </row>
    <row r="21" spans="1:13" x14ac:dyDescent="0.25">
      <c r="A21">
        <v>35</v>
      </c>
      <c r="B21" s="85" t="s">
        <v>445</v>
      </c>
      <c r="C21" t="s">
        <v>228</v>
      </c>
      <c r="D21" s="41" t="s">
        <v>9</v>
      </c>
      <c r="E21" t="s">
        <v>229</v>
      </c>
      <c r="F21" t="s">
        <v>154</v>
      </c>
      <c r="G21" t="s">
        <v>155</v>
      </c>
      <c r="H21">
        <v>2</v>
      </c>
      <c r="I21">
        <v>3</v>
      </c>
      <c r="J21">
        <v>5</v>
      </c>
      <c r="K21" s="41">
        <v>6</v>
      </c>
    </row>
    <row r="22" spans="1:13" x14ac:dyDescent="0.25">
      <c r="A22" s="41">
        <v>35</v>
      </c>
      <c r="B22" s="84" t="s">
        <v>444</v>
      </c>
      <c r="C22" s="41" t="s">
        <v>156</v>
      </c>
      <c r="D22" s="41" t="s">
        <v>9</v>
      </c>
      <c r="E22" s="41" t="s">
        <v>204</v>
      </c>
      <c r="F22" s="41" t="s">
        <v>154</v>
      </c>
      <c r="G22" s="41" t="s">
        <v>155</v>
      </c>
      <c r="H22" s="41">
        <v>2</v>
      </c>
      <c r="I22" s="41">
        <v>1</v>
      </c>
      <c r="J22" s="41">
        <v>3</v>
      </c>
      <c r="K22">
        <v>13</v>
      </c>
    </row>
    <row r="23" spans="1:13" x14ac:dyDescent="0.25">
      <c r="A23">
        <v>35</v>
      </c>
      <c r="B23" s="83" t="s">
        <v>445</v>
      </c>
      <c r="C23" t="s">
        <v>300</v>
      </c>
      <c r="D23" s="41" t="s">
        <v>9</v>
      </c>
      <c r="E23" t="s">
        <v>301</v>
      </c>
      <c r="F23" t="s">
        <v>154</v>
      </c>
      <c r="G23" t="s">
        <v>155</v>
      </c>
      <c r="H23">
        <v>20</v>
      </c>
      <c r="I23">
        <v>12</v>
      </c>
      <c r="J23">
        <v>32</v>
      </c>
      <c r="K23">
        <v>41</v>
      </c>
    </row>
    <row r="24" spans="1:13" x14ac:dyDescent="0.25">
      <c r="A24">
        <v>35</v>
      </c>
      <c r="B24" s="84" t="s">
        <v>444</v>
      </c>
      <c r="C24" t="s">
        <v>117</v>
      </c>
      <c r="D24" s="41" t="s">
        <v>9</v>
      </c>
      <c r="E24" t="s">
        <v>157</v>
      </c>
      <c r="F24" t="s">
        <v>154</v>
      </c>
      <c r="G24" t="s">
        <v>155</v>
      </c>
      <c r="H24">
        <v>16</v>
      </c>
      <c r="I24">
        <v>2</v>
      </c>
      <c r="J24">
        <v>18</v>
      </c>
      <c r="K24">
        <v>21</v>
      </c>
    </row>
    <row r="25" spans="1:13" x14ac:dyDescent="0.25">
      <c r="A25" s="41">
        <v>35</v>
      </c>
      <c r="B25" s="85" t="s">
        <v>444</v>
      </c>
      <c r="C25" s="41" t="s">
        <v>239</v>
      </c>
      <c r="D25" s="41" t="s">
        <v>9</v>
      </c>
      <c r="E25" s="41" t="s">
        <v>240</v>
      </c>
      <c r="F25" s="41" t="s">
        <v>154</v>
      </c>
      <c r="G25" s="41" t="s">
        <v>155</v>
      </c>
      <c r="H25" s="41">
        <v>4</v>
      </c>
      <c r="I25" s="41">
        <v>6</v>
      </c>
      <c r="J25" s="41">
        <v>10</v>
      </c>
      <c r="K25" s="41">
        <v>17</v>
      </c>
    </row>
    <row r="26" spans="1:13" x14ac:dyDescent="0.25">
      <c r="A26">
        <v>35</v>
      </c>
      <c r="B26" s="85" t="s">
        <v>444</v>
      </c>
      <c r="C26" t="s">
        <v>280</v>
      </c>
      <c r="D26" s="41" t="s">
        <v>9</v>
      </c>
      <c r="E26" t="s">
        <v>281</v>
      </c>
      <c r="F26" t="s">
        <v>154</v>
      </c>
      <c r="G26" t="s">
        <v>155</v>
      </c>
      <c r="H26">
        <v>6</v>
      </c>
      <c r="I26">
        <v>0</v>
      </c>
      <c r="J26">
        <v>6</v>
      </c>
      <c r="K26">
        <v>23</v>
      </c>
    </row>
    <row r="27" spans="1:13" x14ac:dyDescent="0.25">
      <c r="A27">
        <v>35</v>
      </c>
      <c r="B27" s="84" t="s">
        <v>444</v>
      </c>
      <c r="C27" t="s">
        <v>230</v>
      </c>
      <c r="D27" s="41" t="s">
        <v>9</v>
      </c>
      <c r="E27" t="s">
        <v>231</v>
      </c>
      <c r="F27" t="s">
        <v>154</v>
      </c>
      <c r="G27" t="s">
        <v>155</v>
      </c>
      <c r="H27">
        <v>3</v>
      </c>
      <c r="I27">
        <v>3</v>
      </c>
      <c r="J27">
        <v>6</v>
      </c>
      <c r="K27" s="41">
        <v>25</v>
      </c>
    </row>
    <row r="28" spans="1:13" x14ac:dyDescent="0.25">
      <c r="A28" s="41">
        <v>35</v>
      </c>
      <c r="B28" s="85" t="s">
        <v>444</v>
      </c>
      <c r="C28" s="41" t="s">
        <v>234</v>
      </c>
      <c r="D28" s="41" t="s">
        <v>9</v>
      </c>
      <c r="E28" s="41" t="s">
        <v>235</v>
      </c>
      <c r="F28" s="41" t="s">
        <v>154</v>
      </c>
      <c r="G28" s="41" t="s">
        <v>155</v>
      </c>
      <c r="H28" s="41">
        <v>12</v>
      </c>
      <c r="I28" s="41">
        <v>7</v>
      </c>
      <c r="J28" s="41">
        <v>19</v>
      </c>
      <c r="K28" s="41">
        <v>42</v>
      </c>
    </row>
    <row r="29" spans="1:13" x14ac:dyDescent="0.25">
      <c r="A29" s="41">
        <v>35</v>
      </c>
      <c r="B29" s="83" t="s">
        <v>445</v>
      </c>
      <c r="C29" s="41" t="s">
        <v>302</v>
      </c>
      <c r="D29" s="41" t="s">
        <v>9</v>
      </c>
      <c r="E29" s="41" t="s">
        <v>303</v>
      </c>
      <c r="F29" s="41" t="s">
        <v>154</v>
      </c>
      <c r="G29" s="41" t="s">
        <v>155</v>
      </c>
      <c r="H29" s="41">
        <v>0</v>
      </c>
      <c r="I29" s="41">
        <v>0</v>
      </c>
      <c r="J29" s="41">
        <v>0</v>
      </c>
      <c r="K29" s="41">
        <v>0</v>
      </c>
      <c r="M29" t="s">
        <v>343</v>
      </c>
    </row>
    <row r="30" spans="1:13" x14ac:dyDescent="0.25">
      <c r="A30" s="41">
        <v>35</v>
      </c>
      <c r="B30" s="85" t="s">
        <v>444</v>
      </c>
      <c r="C30" s="41" t="s">
        <v>241</v>
      </c>
      <c r="D30" s="41" t="s">
        <v>9</v>
      </c>
      <c r="E30" s="41" t="s">
        <v>242</v>
      </c>
      <c r="F30" s="41" t="s">
        <v>154</v>
      </c>
      <c r="G30" s="41" t="s">
        <v>155</v>
      </c>
      <c r="H30" s="41">
        <v>4</v>
      </c>
      <c r="I30" s="41">
        <v>1</v>
      </c>
      <c r="J30" s="41">
        <v>5</v>
      </c>
      <c r="K30" s="41">
        <v>10</v>
      </c>
    </row>
    <row r="31" spans="1:13" x14ac:dyDescent="0.25">
      <c r="A31" s="41">
        <v>35</v>
      </c>
      <c r="B31" s="84" t="s">
        <v>444</v>
      </c>
      <c r="C31" s="41" t="s">
        <v>123</v>
      </c>
      <c r="D31" s="41" t="s">
        <v>9</v>
      </c>
      <c r="E31" s="41" t="s">
        <v>158</v>
      </c>
      <c r="F31" s="41" t="s">
        <v>154</v>
      </c>
      <c r="G31" s="41" t="s">
        <v>155</v>
      </c>
      <c r="H31" s="41">
        <v>3</v>
      </c>
      <c r="I31" s="41">
        <v>0</v>
      </c>
      <c r="J31" s="41">
        <v>3</v>
      </c>
      <c r="K31" s="41">
        <v>44</v>
      </c>
    </row>
    <row r="32" spans="1:13" x14ac:dyDescent="0.25">
      <c r="A32">
        <v>35</v>
      </c>
      <c r="B32" s="83" t="s">
        <v>444</v>
      </c>
      <c r="C32" t="s">
        <v>284</v>
      </c>
      <c r="D32" s="41" t="s">
        <v>9</v>
      </c>
      <c r="E32" t="s">
        <v>285</v>
      </c>
      <c r="F32" t="s">
        <v>154</v>
      </c>
      <c r="G32" t="s">
        <v>155</v>
      </c>
      <c r="H32">
        <v>8</v>
      </c>
      <c r="I32">
        <v>2</v>
      </c>
      <c r="J32">
        <v>10</v>
      </c>
      <c r="K32">
        <v>39</v>
      </c>
    </row>
    <row r="33" spans="1:13" x14ac:dyDescent="0.25">
      <c r="A33" s="41">
        <v>35</v>
      </c>
      <c r="B33" s="85" t="s">
        <v>444</v>
      </c>
      <c r="C33" s="41" t="s">
        <v>118</v>
      </c>
      <c r="D33" s="41" t="s">
        <v>9</v>
      </c>
      <c r="E33" s="41" t="s">
        <v>213</v>
      </c>
      <c r="F33" s="41" t="s">
        <v>154</v>
      </c>
      <c r="G33" s="41" t="s">
        <v>155</v>
      </c>
      <c r="H33" s="41">
        <v>4</v>
      </c>
      <c r="I33" s="41">
        <v>3</v>
      </c>
      <c r="J33" s="41">
        <v>7</v>
      </c>
      <c r="K33" s="41">
        <v>24</v>
      </c>
    </row>
    <row r="34" spans="1:13" x14ac:dyDescent="0.25">
      <c r="A34">
        <v>35</v>
      </c>
      <c r="B34" s="84" t="s">
        <v>442</v>
      </c>
      <c r="C34" t="s">
        <v>245</v>
      </c>
      <c r="D34" s="41" t="s">
        <v>9</v>
      </c>
      <c r="E34" t="s">
        <v>246</v>
      </c>
      <c r="F34" t="s">
        <v>154</v>
      </c>
      <c r="G34" t="s">
        <v>155</v>
      </c>
      <c r="H34">
        <v>18</v>
      </c>
      <c r="I34">
        <v>25</v>
      </c>
      <c r="J34">
        <v>43</v>
      </c>
      <c r="K34">
        <v>51</v>
      </c>
    </row>
    <row r="35" spans="1:13" x14ac:dyDescent="0.25">
      <c r="A35" s="41">
        <v>35</v>
      </c>
      <c r="B35" s="85" t="s">
        <v>442</v>
      </c>
      <c r="C35" s="41" t="s">
        <v>274</v>
      </c>
      <c r="D35" s="41" t="s">
        <v>9</v>
      </c>
      <c r="E35" s="41" t="s">
        <v>275</v>
      </c>
      <c r="F35" s="41" t="s">
        <v>154</v>
      </c>
      <c r="G35" s="41" t="s">
        <v>155</v>
      </c>
      <c r="H35" s="41">
        <v>1</v>
      </c>
      <c r="I35" s="41">
        <v>1</v>
      </c>
      <c r="J35" s="41">
        <v>2</v>
      </c>
      <c r="K35" s="41">
        <v>15</v>
      </c>
    </row>
    <row r="36" spans="1:13" x14ac:dyDescent="0.25">
      <c r="A36">
        <v>35</v>
      </c>
      <c r="B36" s="85" t="s">
        <v>442</v>
      </c>
      <c r="C36" t="s">
        <v>308</v>
      </c>
      <c r="D36" s="41" t="s">
        <v>9</v>
      </c>
      <c r="E36" t="s">
        <v>309</v>
      </c>
      <c r="F36" t="s">
        <v>154</v>
      </c>
      <c r="G36" t="s">
        <v>155</v>
      </c>
      <c r="H36">
        <v>0</v>
      </c>
      <c r="I36">
        <v>0</v>
      </c>
      <c r="J36">
        <v>0</v>
      </c>
      <c r="K36">
        <v>0</v>
      </c>
      <c r="M36" t="s">
        <v>343</v>
      </c>
    </row>
    <row r="37" spans="1:13" x14ac:dyDescent="0.25">
      <c r="A37" s="41">
        <v>35</v>
      </c>
      <c r="B37" s="85" t="s">
        <v>444</v>
      </c>
      <c r="C37" s="41" t="s">
        <v>268</v>
      </c>
      <c r="D37" s="41" t="s">
        <v>9</v>
      </c>
      <c r="E37" s="41" t="s">
        <v>269</v>
      </c>
      <c r="F37" s="41" t="s">
        <v>154</v>
      </c>
      <c r="G37" s="41" t="s">
        <v>155</v>
      </c>
      <c r="H37" s="41">
        <v>5</v>
      </c>
      <c r="I37" s="41">
        <v>1</v>
      </c>
      <c r="J37" s="41">
        <v>6</v>
      </c>
      <c r="K37" s="41">
        <v>7</v>
      </c>
    </row>
    <row r="38" spans="1:13" x14ac:dyDescent="0.25">
      <c r="A38" s="63">
        <v>35</v>
      </c>
      <c r="B38" s="83" t="s">
        <v>442</v>
      </c>
      <c r="C38" s="63" t="s">
        <v>266</v>
      </c>
      <c r="D38" s="41" t="s">
        <v>9</v>
      </c>
      <c r="E38" s="63" t="s">
        <v>267</v>
      </c>
      <c r="F38" s="63" t="s">
        <v>154</v>
      </c>
      <c r="G38" s="63" t="s">
        <v>155</v>
      </c>
      <c r="H38" s="63">
        <v>12</v>
      </c>
      <c r="I38" s="63">
        <v>3</v>
      </c>
      <c r="J38" s="63">
        <v>15</v>
      </c>
      <c r="K38" s="64">
        <v>21</v>
      </c>
      <c r="L38" s="63"/>
    </row>
    <row r="39" spans="1:13" x14ac:dyDescent="0.25">
      <c r="A39">
        <v>35</v>
      </c>
      <c r="B39" s="84" t="s">
        <v>444</v>
      </c>
      <c r="C39" t="s">
        <v>120</v>
      </c>
      <c r="D39" s="41" t="s">
        <v>9</v>
      </c>
      <c r="E39" t="s">
        <v>211</v>
      </c>
      <c r="F39" t="s">
        <v>154</v>
      </c>
      <c r="G39" t="s">
        <v>155</v>
      </c>
      <c r="H39">
        <v>15</v>
      </c>
      <c r="I39">
        <v>8</v>
      </c>
      <c r="J39">
        <v>23</v>
      </c>
      <c r="K39" s="41">
        <v>138</v>
      </c>
    </row>
    <row r="40" spans="1:13" x14ac:dyDescent="0.25">
      <c r="A40">
        <v>35</v>
      </c>
      <c r="B40" s="84" t="s">
        <v>442</v>
      </c>
      <c r="C40" t="s">
        <v>237</v>
      </c>
      <c r="D40" s="41" t="s">
        <v>9</v>
      </c>
      <c r="E40" t="s">
        <v>238</v>
      </c>
      <c r="F40" t="s">
        <v>154</v>
      </c>
      <c r="G40" t="s">
        <v>155</v>
      </c>
      <c r="H40">
        <v>21</v>
      </c>
      <c r="I40">
        <v>14</v>
      </c>
      <c r="J40">
        <v>35</v>
      </c>
      <c r="K40">
        <v>41</v>
      </c>
    </row>
    <row r="41" spans="1:13" x14ac:dyDescent="0.25">
      <c r="A41">
        <v>35</v>
      </c>
      <c r="B41" s="83" t="s">
        <v>444</v>
      </c>
      <c r="C41" t="s">
        <v>126</v>
      </c>
      <c r="D41" s="41" t="s">
        <v>9</v>
      </c>
      <c r="E41" t="s">
        <v>159</v>
      </c>
      <c r="F41" t="s">
        <v>154</v>
      </c>
      <c r="G41" t="s">
        <v>155</v>
      </c>
      <c r="H41">
        <v>0</v>
      </c>
      <c r="I41">
        <v>2</v>
      </c>
      <c r="J41">
        <v>2</v>
      </c>
      <c r="K41">
        <v>8</v>
      </c>
    </row>
    <row r="42" spans="1:13" x14ac:dyDescent="0.25">
      <c r="A42">
        <v>35</v>
      </c>
      <c r="B42" s="84" t="s">
        <v>444</v>
      </c>
      <c r="C42" t="s">
        <v>341</v>
      </c>
      <c r="D42" s="41" t="s">
        <v>9</v>
      </c>
      <c r="E42" t="s">
        <v>342</v>
      </c>
      <c r="F42" t="s">
        <v>154</v>
      </c>
      <c r="G42" t="s">
        <v>155</v>
      </c>
      <c r="H42">
        <v>5</v>
      </c>
      <c r="I42">
        <v>14</v>
      </c>
      <c r="J42">
        <v>19</v>
      </c>
      <c r="K42">
        <v>28</v>
      </c>
    </row>
    <row r="43" spans="1:13" x14ac:dyDescent="0.25">
      <c r="A43">
        <v>35</v>
      </c>
      <c r="B43" s="85" t="s">
        <v>444</v>
      </c>
      <c r="C43" t="s">
        <v>304</v>
      </c>
      <c r="D43" s="41" t="s">
        <v>9</v>
      </c>
      <c r="E43" t="s">
        <v>305</v>
      </c>
      <c r="F43" t="s">
        <v>154</v>
      </c>
      <c r="G43" t="s">
        <v>155</v>
      </c>
      <c r="H43">
        <v>3</v>
      </c>
      <c r="I43">
        <v>3</v>
      </c>
      <c r="J43">
        <v>6</v>
      </c>
      <c r="K43">
        <v>72</v>
      </c>
    </row>
    <row r="44" spans="1:13" x14ac:dyDescent="0.25">
      <c r="A44" s="41">
        <v>35</v>
      </c>
      <c r="B44" s="84" t="s">
        <v>445</v>
      </c>
      <c r="C44" s="41" t="s">
        <v>160</v>
      </c>
      <c r="D44" s="41" t="s">
        <v>9</v>
      </c>
      <c r="E44" s="41" t="s">
        <v>201</v>
      </c>
      <c r="F44" s="41" t="s">
        <v>154</v>
      </c>
      <c r="G44" s="41" t="s">
        <v>155</v>
      </c>
      <c r="H44" s="41">
        <v>17</v>
      </c>
      <c r="I44" s="41">
        <v>4</v>
      </c>
      <c r="J44" s="41">
        <v>21</v>
      </c>
      <c r="K44" s="41">
        <v>50</v>
      </c>
    </row>
    <row r="45" spans="1:13" x14ac:dyDescent="0.25">
      <c r="A45">
        <v>35</v>
      </c>
      <c r="B45" s="85" t="s">
        <v>444</v>
      </c>
      <c r="C45" t="s">
        <v>260</v>
      </c>
      <c r="D45" s="41" t="s">
        <v>9</v>
      </c>
      <c r="E45" t="s">
        <v>261</v>
      </c>
      <c r="F45" t="s">
        <v>154</v>
      </c>
      <c r="G45" t="s">
        <v>155</v>
      </c>
      <c r="H45">
        <v>13</v>
      </c>
      <c r="I45">
        <v>23</v>
      </c>
      <c r="J45">
        <v>36</v>
      </c>
      <c r="K45">
        <v>81</v>
      </c>
    </row>
    <row r="46" spans="1:13" x14ac:dyDescent="0.25">
      <c r="A46" s="41">
        <v>35</v>
      </c>
      <c r="B46" s="84" t="s">
        <v>444</v>
      </c>
      <c r="C46" s="41" t="s">
        <v>243</v>
      </c>
      <c r="D46" s="41" t="s">
        <v>9</v>
      </c>
      <c r="E46" s="41" t="s">
        <v>244</v>
      </c>
      <c r="F46" s="41" t="s">
        <v>154</v>
      </c>
      <c r="G46" s="41" t="s">
        <v>155</v>
      </c>
      <c r="H46" s="41">
        <v>2</v>
      </c>
      <c r="I46" s="41">
        <v>2</v>
      </c>
      <c r="J46" s="41">
        <v>4</v>
      </c>
      <c r="K46" s="41">
        <v>31</v>
      </c>
    </row>
    <row r="47" spans="1:13" x14ac:dyDescent="0.25">
      <c r="A47">
        <v>35</v>
      </c>
      <c r="B47" s="83" t="s">
        <v>444</v>
      </c>
      <c r="C47" t="s">
        <v>247</v>
      </c>
      <c r="D47" s="41" t="s">
        <v>9</v>
      </c>
      <c r="E47" t="s">
        <v>248</v>
      </c>
      <c r="F47" t="s">
        <v>154</v>
      </c>
      <c r="G47" t="s">
        <v>155</v>
      </c>
      <c r="H47">
        <v>3</v>
      </c>
      <c r="I47">
        <v>22</v>
      </c>
      <c r="J47">
        <v>25</v>
      </c>
      <c r="K47">
        <v>29</v>
      </c>
    </row>
    <row r="48" spans="1:13" x14ac:dyDescent="0.25">
      <c r="A48" s="41">
        <v>35</v>
      </c>
      <c r="B48" s="84" t="s">
        <v>445</v>
      </c>
      <c r="C48" s="41" t="s">
        <v>306</v>
      </c>
      <c r="D48" s="41" t="s">
        <v>9</v>
      </c>
      <c r="E48" s="41" t="s">
        <v>307</v>
      </c>
      <c r="F48" s="41" t="s">
        <v>154</v>
      </c>
      <c r="G48" s="41" t="s">
        <v>155</v>
      </c>
      <c r="H48" s="41">
        <v>3</v>
      </c>
      <c r="I48" s="41">
        <v>4</v>
      </c>
      <c r="J48" s="41">
        <v>7</v>
      </c>
      <c r="K48">
        <v>19</v>
      </c>
    </row>
    <row r="49" spans="1:11" x14ac:dyDescent="0.25">
      <c r="A49">
        <v>35</v>
      </c>
      <c r="B49" s="84" t="s">
        <v>442</v>
      </c>
      <c r="C49" t="s">
        <v>276</v>
      </c>
      <c r="D49" s="41" t="s">
        <v>9</v>
      </c>
      <c r="E49" t="s">
        <v>277</v>
      </c>
      <c r="F49" t="s">
        <v>154</v>
      </c>
      <c r="G49" t="s">
        <v>155</v>
      </c>
      <c r="H49">
        <v>3</v>
      </c>
      <c r="I49">
        <v>1</v>
      </c>
      <c r="J49">
        <v>4</v>
      </c>
      <c r="K49">
        <v>14</v>
      </c>
    </row>
    <row r="50" spans="1:11" x14ac:dyDescent="0.25">
      <c r="A50" s="41">
        <v>35</v>
      </c>
      <c r="B50" s="84" t="s">
        <v>442</v>
      </c>
      <c r="C50" s="41" t="s">
        <v>253</v>
      </c>
      <c r="D50" s="41" t="s">
        <v>9</v>
      </c>
      <c r="E50" s="41" t="s">
        <v>254</v>
      </c>
      <c r="F50" s="41" t="s">
        <v>154</v>
      </c>
      <c r="G50" s="41" t="s">
        <v>155</v>
      </c>
      <c r="H50" s="41">
        <v>1</v>
      </c>
      <c r="I50" s="41">
        <v>0</v>
      </c>
      <c r="J50" s="41">
        <v>1</v>
      </c>
      <c r="K50" s="41">
        <v>2</v>
      </c>
    </row>
    <row r="51" spans="1:11" x14ac:dyDescent="0.25">
      <c r="A51" s="41">
        <v>35</v>
      </c>
      <c r="B51" s="85" t="s">
        <v>444</v>
      </c>
      <c r="C51" s="41" t="s">
        <v>278</v>
      </c>
      <c r="D51" s="41" t="s">
        <v>9</v>
      </c>
      <c r="E51" s="41" t="s">
        <v>279</v>
      </c>
      <c r="F51" s="41" t="s">
        <v>154</v>
      </c>
      <c r="G51" s="41" t="s">
        <v>155</v>
      </c>
      <c r="H51" s="41">
        <v>5</v>
      </c>
      <c r="I51" s="41">
        <v>4</v>
      </c>
      <c r="J51" s="41">
        <v>9</v>
      </c>
      <c r="K51" s="41">
        <v>65</v>
      </c>
    </row>
    <row r="52" spans="1:11" x14ac:dyDescent="0.25">
      <c r="A52">
        <v>35</v>
      </c>
      <c r="B52" s="85" t="s">
        <v>444</v>
      </c>
      <c r="C52" t="s">
        <v>198</v>
      </c>
      <c r="D52" s="41" t="s">
        <v>9</v>
      </c>
      <c r="E52" t="s">
        <v>199</v>
      </c>
      <c r="F52" t="s">
        <v>154</v>
      </c>
      <c r="G52" t="s">
        <v>155</v>
      </c>
      <c r="H52">
        <v>7</v>
      </c>
      <c r="I52">
        <v>39</v>
      </c>
      <c r="J52">
        <v>46</v>
      </c>
      <c r="K52">
        <v>60</v>
      </c>
    </row>
    <row r="53" spans="1:11" x14ac:dyDescent="0.25">
      <c r="A53" s="41">
        <v>35</v>
      </c>
      <c r="B53" s="85" t="s">
        <v>442</v>
      </c>
      <c r="C53" s="41" t="s">
        <v>150</v>
      </c>
      <c r="D53" s="41" t="s">
        <v>59</v>
      </c>
      <c r="E53" s="41" t="s">
        <v>161</v>
      </c>
      <c r="F53" s="41" t="s">
        <v>154</v>
      </c>
      <c r="G53" s="41" t="s">
        <v>155</v>
      </c>
      <c r="H53" s="41">
        <v>0</v>
      </c>
      <c r="I53" s="41">
        <v>0</v>
      </c>
      <c r="J53" s="41">
        <v>0</v>
      </c>
      <c r="K53" s="41">
        <v>7</v>
      </c>
    </row>
    <row r="54" spans="1:11" x14ac:dyDescent="0.25">
      <c r="A54">
        <v>35</v>
      </c>
      <c r="B54" s="1" t="s">
        <v>442</v>
      </c>
      <c r="C54" t="s">
        <v>152</v>
      </c>
      <c r="D54" s="41" t="s">
        <v>59</v>
      </c>
      <c r="E54" t="s">
        <v>208</v>
      </c>
      <c r="F54" t="s">
        <v>154</v>
      </c>
      <c r="G54" t="s">
        <v>155</v>
      </c>
      <c r="H54">
        <v>16</v>
      </c>
      <c r="I54">
        <v>85</v>
      </c>
      <c r="J54">
        <v>101</v>
      </c>
      <c r="K54">
        <v>111</v>
      </c>
    </row>
    <row r="55" spans="1:11" x14ac:dyDescent="0.25">
      <c r="A55" s="41">
        <v>35</v>
      </c>
      <c r="B55" s="84" t="s">
        <v>442</v>
      </c>
      <c r="C55" s="41" t="s">
        <v>146</v>
      </c>
      <c r="D55" s="41" t="s">
        <v>59</v>
      </c>
      <c r="E55" s="41" t="s">
        <v>162</v>
      </c>
      <c r="F55" s="41" t="s">
        <v>154</v>
      </c>
      <c r="G55" s="41" t="s">
        <v>155</v>
      </c>
      <c r="H55" s="41">
        <v>2</v>
      </c>
      <c r="I55" s="41">
        <v>10</v>
      </c>
      <c r="J55" s="41">
        <v>12</v>
      </c>
      <c r="K55" s="41">
        <v>14</v>
      </c>
    </row>
    <row r="56" spans="1:11" x14ac:dyDescent="0.25">
      <c r="A56">
        <v>35</v>
      </c>
      <c r="B56" s="83" t="s">
        <v>442</v>
      </c>
      <c r="C56" t="s">
        <v>163</v>
      </c>
      <c r="D56" s="41" t="s">
        <v>59</v>
      </c>
      <c r="E56" t="s">
        <v>164</v>
      </c>
      <c r="F56" t="s">
        <v>154</v>
      </c>
      <c r="G56" t="s">
        <v>155</v>
      </c>
      <c r="H56">
        <v>7</v>
      </c>
      <c r="I56">
        <v>3</v>
      </c>
      <c r="J56">
        <v>10</v>
      </c>
      <c r="K56" s="41">
        <v>11</v>
      </c>
    </row>
    <row r="57" spans="1:11" x14ac:dyDescent="0.25">
      <c r="A57" s="41">
        <v>35</v>
      </c>
      <c r="B57" s="84" t="s">
        <v>442</v>
      </c>
      <c r="C57" s="41" t="s">
        <v>153</v>
      </c>
      <c r="D57" s="41" t="s">
        <v>59</v>
      </c>
      <c r="E57" s="41" t="s">
        <v>165</v>
      </c>
      <c r="F57" s="41" t="s">
        <v>154</v>
      </c>
      <c r="G57" s="41" t="s">
        <v>155</v>
      </c>
      <c r="H57" s="41">
        <v>4</v>
      </c>
      <c r="I57" s="41">
        <v>30</v>
      </c>
      <c r="J57" s="41">
        <v>34</v>
      </c>
      <c r="K57" s="41">
        <v>40</v>
      </c>
    </row>
    <row r="58" spans="1:11" x14ac:dyDescent="0.25">
      <c r="A58">
        <v>35</v>
      </c>
      <c r="B58" s="84" t="s">
        <v>442</v>
      </c>
      <c r="C58" t="s">
        <v>149</v>
      </c>
      <c r="D58" s="41" t="s">
        <v>59</v>
      </c>
      <c r="E58" t="s">
        <v>166</v>
      </c>
      <c r="F58" t="s">
        <v>154</v>
      </c>
      <c r="G58" t="s">
        <v>155</v>
      </c>
      <c r="H58">
        <v>30</v>
      </c>
      <c r="I58">
        <v>16</v>
      </c>
      <c r="J58">
        <v>46</v>
      </c>
      <c r="K58">
        <v>70</v>
      </c>
    </row>
    <row r="59" spans="1:11" x14ac:dyDescent="0.25">
      <c r="A59">
        <v>35</v>
      </c>
      <c r="B59" s="85" t="s">
        <v>442</v>
      </c>
      <c r="C59" t="s">
        <v>145</v>
      </c>
      <c r="D59" s="41" t="s">
        <v>59</v>
      </c>
      <c r="E59" t="s">
        <v>167</v>
      </c>
      <c r="F59" t="s">
        <v>154</v>
      </c>
      <c r="G59" t="s">
        <v>155</v>
      </c>
      <c r="H59">
        <v>5</v>
      </c>
      <c r="I59">
        <v>180</v>
      </c>
      <c r="J59">
        <v>185</v>
      </c>
      <c r="K59">
        <v>209</v>
      </c>
    </row>
    <row r="60" spans="1:11" x14ac:dyDescent="0.25">
      <c r="A60" s="41">
        <v>35</v>
      </c>
      <c r="B60" s="84" t="s">
        <v>442</v>
      </c>
      <c r="C60" s="41" t="s">
        <v>147</v>
      </c>
      <c r="D60" s="41" t="s">
        <v>59</v>
      </c>
      <c r="E60" s="41" t="s">
        <v>168</v>
      </c>
      <c r="F60" s="41" t="s">
        <v>154</v>
      </c>
      <c r="G60" s="41" t="s">
        <v>155</v>
      </c>
      <c r="H60" s="41">
        <v>58</v>
      </c>
      <c r="I60" s="41">
        <v>16</v>
      </c>
      <c r="J60" s="41">
        <v>74</v>
      </c>
      <c r="K60" s="41">
        <v>121</v>
      </c>
    </row>
    <row r="61" spans="1:11" x14ac:dyDescent="0.25">
      <c r="A61">
        <v>35</v>
      </c>
      <c r="B61" s="84" t="s">
        <v>442</v>
      </c>
      <c r="C61" t="s">
        <v>151</v>
      </c>
      <c r="D61" s="41" t="s">
        <v>59</v>
      </c>
      <c r="E61" t="s">
        <v>169</v>
      </c>
      <c r="F61" t="s">
        <v>154</v>
      </c>
      <c r="G61" t="s">
        <v>155</v>
      </c>
      <c r="H61">
        <v>16</v>
      </c>
      <c r="I61">
        <v>8</v>
      </c>
      <c r="J61">
        <v>24</v>
      </c>
      <c r="K61" s="41">
        <v>27</v>
      </c>
    </row>
    <row r="62" spans="1:11" x14ac:dyDescent="0.25">
      <c r="A62" s="41">
        <v>35</v>
      </c>
      <c r="B62" s="83" t="s">
        <v>442</v>
      </c>
      <c r="C62" s="41" t="s">
        <v>194</v>
      </c>
      <c r="D62" s="41" t="s">
        <v>59</v>
      </c>
      <c r="E62" s="41" t="s">
        <v>195</v>
      </c>
      <c r="F62" s="41" t="s">
        <v>154</v>
      </c>
      <c r="G62" s="41" t="s">
        <v>155</v>
      </c>
      <c r="H62" s="41">
        <v>4</v>
      </c>
      <c r="I62" s="41">
        <v>4</v>
      </c>
      <c r="J62" s="41">
        <v>8</v>
      </c>
      <c r="K62" s="41">
        <v>11</v>
      </c>
    </row>
    <row r="63" spans="1:11" x14ac:dyDescent="0.25">
      <c r="A63">
        <v>35</v>
      </c>
      <c r="B63" s="85" t="s">
        <v>445</v>
      </c>
      <c r="C63" t="s">
        <v>140</v>
      </c>
      <c r="D63" s="41" t="s">
        <v>58</v>
      </c>
      <c r="E63" t="s">
        <v>207</v>
      </c>
      <c r="F63" t="s">
        <v>154</v>
      </c>
      <c r="G63" t="s">
        <v>155</v>
      </c>
      <c r="H63">
        <v>5</v>
      </c>
      <c r="I63">
        <v>38</v>
      </c>
      <c r="J63">
        <v>43</v>
      </c>
      <c r="K63" s="41">
        <v>54</v>
      </c>
    </row>
    <row r="64" spans="1:11" x14ac:dyDescent="0.25">
      <c r="A64">
        <v>35</v>
      </c>
      <c r="B64" s="83" t="s">
        <v>445</v>
      </c>
      <c r="C64" t="s">
        <v>142</v>
      </c>
      <c r="D64" s="41" t="s">
        <v>58</v>
      </c>
      <c r="E64" t="s">
        <v>170</v>
      </c>
      <c r="F64" t="s">
        <v>154</v>
      </c>
      <c r="G64" t="s">
        <v>155</v>
      </c>
      <c r="H64">
        <v>2</v>
      </c>
      <c r="I64">
        <v>0</v>
      </c>
      <c r="J64">
        <v>2</v>
      </c>
      <c r="K64" s="41">
        <v>2</v>
      </c>
    </row>
    <row r="65" spans="1:13" x14ac:dyDescent="0.25">
      <c r="A65">
        <v>35</v>
      </c>
      <c r="B65" s="85" t="s">
        <v>442</v>
      </c>
      <c r="C65" t="s">
        <v>148</v>
      </c>
      <c r="D65" s="41" t="s">
        <v>58</v>
      </c>
      <c r="E65" t="s">
        <v>171</v>
      </c>
      <c r="F65" t="s">
        <v>154</v>
      </c>
      <c r="G65" t="s">
        <v>155</v>
      </c>
      <c r="H65">
        <v>6</v>
      </c>
      <c r="I65">
        <v>7</v>
      </c>
      <c r="J65">
        <v>13</v>
      </c>
      <c r="K65">
        <v>26</v>
      </c>
    </row>
    <row r="66" spans="1:13" x14ac:dyDescent="0.25">
      <c r="A66" s="63">
        <v>35</v>
      </c>
      <c r="B66" s="83" t="s">
        <v>445</v>
      </c>
      <c r="C66" s="63" t="s">
        <v>138</v>
      </c>
      <c r="D66" s="41" t="s">
        <v>58</v>
      </c>
      <c r="E66" s="63" t="s">
        <v>172</v>
      </c>
      <c r="F66" s="63" t="s">
        <v>154</v>
      </c>
      <c r="G66" s="63" t="s">
        <v>155</v>
      </c>
      <c r="H66" s="63">
        <v>15</v>
      </c>
      <c r="I66" s="63">
        <v>12</v>
      </c>
      <c r="J66" s="63">
        <v>27</v>
      </c>
      <c r="K66" s="64">
        <v>29</v>
      </c>
      <c r="L66" s="63"/>
      <c r="M66" s="63"/>
    </row>
    <row r="67" spans="1:13" x14ac:dyDescent="0.25">
      <c r="A67" s="41">
        <v>35</v>
      </c>
      <c r="B67" s="84" t="s">
        <v>445</v>
      </c>
      <c r="C67" s="41" t="s">
        <v>135</v>
      </c>
      <c r="D67" s="41" t="s">
        <v>58</v>
      </c>
      <c r="E67" s="41" t="s">
        <v>173</v>
      </c>
      <c r="F67" s="41" t="s">
        <v>154</v>
      </c>
      <c r="G67" s="41" t="s">
        <v>155</v>
      </c>
      <c r="H67" s="41">
        <v>8</v>
      </c>
      <c r="I67" s="41">
        <v>1</v>
      </c>
      <c r="J67" s="41">
        <v>9</v>
      </c>
      <c r="K67" s="41">
        <v>36</v>
      </c>
    </row>
    <row r="68" spans="1:13" x14ac:dyDescent="0.25">
      <c r="A68" s="41">
        <v>35</v>
      </c>
      <c r="B68" s="85" t="s">
        <v>445</v>
      </c>
      <c r="C68" s="41" t="s">
        <v>139</v>
      </c>
      <c r="D68" s="41" t="s">
        <v>58</v>
      </c>
      <c r="E68" s="41" t="s">
        <v>174</v>
      </c>
      <c r="F68" s="41" t="s">
        <v>154</v>
      </c>
      <c r="G68" s="41" t="s">
        <v>155</v>
      </c>
      <c r="H68" s="41">
        <v>2</v>
      </c>
      <c r="I68" s="41">
        <v>5</v>
      </c>
      <c r="J68" s="41">
        <v>7</v>
      </c>
      <c r="K68" s="41">
        <v>8</v>
      </c>
    </row>
    <row r="69" spans="1:13" x14ac:dyDescent="0.25">
      <c r="A69" s="41">
        <v>35</v>
      </c>
      <c r="B69" s="83" t="s">
        <v>445</v>
      </c>
      <c r="C69" s="41" t="s">
        <v>134</v>
      </c>
      <c r="D69" s="41" t="s">
        <v>58</v>
      </c>
      <c r="E69" s="41" t="s">
        <v>209</v>
      </c>
      <c r="F69" s="41" t="s">
        <v>154</v>
      </c>
      <c r="G69" s="41" t="s">
        <v>155</v>
      </c>
      <c r="H69" s="41">
        <v>4</v>
      </c>
      <c r="I69" s="41">
        <v>1</v>
      </c>
      <c r="J69" s="41">
        <v>5</v>
      </c>
      <c r="K69" s="41">
        <v>8</v>
      </c>
    </row>
    <row r="70" spans="1:13" x14ac:dyDescent="0.25">
      <c r="A70">
        <v>35</v>
      </c>
      <c r="B70" s="84" t="s">
        <v>445</v>
      </c>
      <c r="C70" t="s">
        <v>141</v>
      </c>
      <c r="D70" s="41" t="s">
        <v>58</v>
      </c>
      <c r="E70" t="s">
        <v>175</v>
      </c>
      <c r="F70" t="s">
        <v>154</v>
      </c>
      <c r="G70" t="s">
        <v>155</v>
      </c>
      <c r="H70">
        <v>3</v>
      </c>
      <c r="I70">
        <v>2</v>
      </c>
      <c r="J70">
        <v>5</v>
      </c>
      <c r="K70">
        <v>40</v>
      </c>
    </row>
    <row r="71" spans="1:13" x14ac:dyDescent="0.25">
      <c r="A71">
        <v>35</v>
      </c>
      <c r="B71" s="83" t="s">
        <v>445</v>
      </c>
      <c r="C71" t="s">
        <v>137</v>
      </c>
      <c r="D71" s="41" t="s">
        <v>58</v>
      </c>
      <c r="E71" t="s">
        <v>205</v>
      </c>
      <c r="F71" t="s">
        <v>154</v>
      </c>
      <c r="G71" t="s">
        <v>155</v>
      </c>
      <c r="H71">
        <v>3</v>
      </c>
      <c r="I71">
        <v>6</v>
      </c>
      <c r="J71">
        <v>9</v>
      </c>
      <c r="K71">
        <v>13</v>
      </c>
    </row>
    <row r="72" spans="1:13" x14ac:dyDescent="0.25">
      <c r="A72">
        <v>35</v>
      </c>
      <c r="B72" s="83" t="s">
        <v>443</v>
      </c>
      <c r="C72" t="s">
        <v>129</v>
      </c>
      <c r="D72" s="41" t="s">
        <v>60</v>
      </c>
      <c r="E72" t="s">
        <v>176</v>
      </c>
      <c r="F72" t="s">
        <v>154</v>
      </c>
      <c r="G72" t="s">
        <v>155</v>
      </c>
      <c r="H72">
        <v>3</v>
      </c>
      <c r="I72">
        <v>0</v>
      </c>
      <c r="J72">
        <v>3</v>
      </c>
      <c r="K72" s="41">
        <v>4</v>
      </c>
    </row>
    <row r="73" spans="1:13" x14ac:dyDescent="0.25">
      <c r="A73">
        <v>35</v>
      </c>
      <c r="B73" s="85" t="s">
        <v>443</v>
      </c>
      <c r="C73" t="s">
        <v>125</v>
      </c>
      <c r="D73" s="41" t="s">
        <v>60</v>
      </c>
      <c r="E73" t="s">
        <v>177</v>
      </c>
      <c r="F73" t="s">
        <v>154</v>
      </c>
      <c r="G73" t="s">
        <v>155</v>
      </c>
      <c r="H73">
        <v>6</v>
      </c>
      <c r="I73">
        <v>8</v>
      </c>
      <c r="J73">
        <v>14</v>
      </c>
      <c r="K73" s="41">
        <v>16</v>
      </c>
    </row>
    <row r="74" spans="1:13" x14ac:dyDescent="0.25">
      <c r="A74">
        <v>35</v>
      </c>
      <c r="B74" s="85" t="s">
        <v>443</v>
      </c>
      <c r="C74" t="s">
        <v>128</v>
      </c>
      <c r="D74" s="41" t="s">
        <v>60</v>
      </c>
      <c r="E74" t="s">
        <v>200</v>
      </c>
      <c r="F74" t="s">
        <v>154</v>
      </c>
      <c r="G74" t="s">
        <v>155</v>
      </c>
      <c r="H74">
        <v>28</v>
      </c>
      <c r="I74">
        <v>43</v>
      </c>
      <c r="J74">
        <v>71</v>
      </c>
      <c r="K74">
        <v>79</v>
      </c>
    </row>
    <row r="75" spans="1:13" x14ac:dyDescent="0.25">
      <c r="A75">
        <v>35</v>
      </c>
      <c r="B75" s="84" t="s">
        <v>443</v>
      </c>
      <c r="C75" t="s">
        <v>114</v>
      </c>
      <c r="D75" s="41" t="s">
        <v>60</v>
      </c>
      <c r="E75" t="s">
        <v>206</v>
      </c>
      <c r="F75" t="s">
        <v>154</v>
      </c>
      <c r="G75" t="s">
        <v>155</v>
      </c>
      <c r="H75">
        <v>0</v>
      </c>
      <c r="I75">
        <v>0</v>
      </c>
      <c r="J75">
        <v>0</v>
      </c>
      <c r="K75">
        <v>0</v>
      </c>
      <c r="M75" t="s">
        <v>343</v>
      </c>
    </row>
    <row r="76" spans="1:13" x14ac:dyDescent="0.25">
      <c r="A76" s="64">
        <v>35</v>
      </c>
      <c r="B76" s="84" t="s">
        <v>443</v>
      </c>
      <c r="C76" s="64" t="s">
        <v>119</v>
      </c>
      <c r="D76" s="64" t="s">
        <v>60</v>
      </c>
      <c r="E76" s="64" t="s">
        <v>178</v>
      </c>
      <c r="F76" s="64" t="s">
        <v>154</v>
      </c>
      <c r="G76" s="64" t="s">
        <v>155</v>
      </c>
      <c r="H76" s="64">
        <v>4</v>
      </c>
      <c r="I76" s="64">
        <v>0</v>
      </c>
      <c r="J76" s="64">
        <v>4</v>
      </c>
      <c r="K76" s="64">
        <v>9</v>
      </c>
      <c r="L76" s="63"/>
    </row>
    <row r="77" spans="1:13" x14ac:dyDescent="0.25">
      <c r="A77" s="41">
        <v>35</v>
      </c>
      <c r="B77" s="84" t="s">
        <v>443</v>
      </c>
      <c r="C77" s="41" t="s">
        <v>131</v>
      </c>
      <c r="D77" s="41" t="s">
        <v>60</v>
      </c>
      <c r="E77" s="41" t="s">
        <v>210</v>
      </c>
      <c r="F77" s="41" t="s">
        <v>154</v>
      </c>
      <c r="G77" s="41" t="s">
        <v>155</v>
      </c>
      <c r="H77" s="41">
        <v>17</v>
      </c>
      <c r="I77" s="41">
        <v>0</v>
      </c>
      <c r="J77" s="41">
        <v>17</v>
      </c>
      <c r="K77" s="41">
        <v>21</v>
      </c>
    </row>
    <row r="78" spans="1:13" x14ac:dyDescent="0.25">
      <c r="A78" s="41">
        <v>35</v>
      </c>
      <c r="B78" s="83" t="s">
        <v>443</v>
      </c>
      <c r="C78" s="41" t="s">
        <v>122</v>
      </c>
      <c r="D78" s="41" t="s">
        <v>60</v>
      </c>
      <c r="E78" s="41" t="s">
        <v>179</v>
      </c>
      <c r="F78" s="41" t="s">
        <v>154</v>
      </c>
      <c r="G78" s="41" t="s">
        <v>155</v>
      </c>
      <c r="H78" s="41">
        <v>2</v>
      </c>
      <c r="I78" s="41">
        <v>2</v>
      </c>
      <c r="J78" s="41">
        <v>4</v>
      </c>
      <c r="K78" s="41">
        <v>5</v>
      </c>
    </row>
    <row r="79" spans="1:13" x14ac:dyDescent="0.25">
      <c r="A79" s="41">
        <v>35</v>
      </c>
      <c r="B79" s="85" t="s">
        <v>443</v>
      </c>
      <c r="C79" s="41" t="s">
        <v>121</v>
      </c>
      <c r="D79" s="41" t="s">
        <v>60</v>
      </c>
      <c r="E79" s="41" t="s">
        <v>180</v>
      </c>
      <c r="F79" s="41" t="s">
        <v>154</v>
      </c>
      <c r="G79" s="41" t="s">
        <v>155</v>
      </c>
      <c r="H79" s="41">
        <v>1</v>
      </c>
      <c r="I79" s="41">
        <v>0</v>
      </c>
      <c r="J79" s="41">
        <v>1</v>
      </c>
      <c r="K79" s="41">
        <v>2</v>
      </c>
    </row>
    <row r="80" spans="1:13" x14ac:dyDescent="0.25">
      <c r="A80">
        <v>35</v>
      </c>
      <c r="B80" s="85" t="s">
        <v>443</v>
      </c>
      <c r="C80" t="s">
        <v>124</v>
      </c>
      <c r="D80" s="41" t="s">
        <v>60</v>
      </c>
      <c r="E80" t="s">
        <v>181</v>
      </c>
      <c r="F80" t="s">
        <v>154</v>
      </c>
      <c r="G80" t="s">
        <v>155</v>
      </c>
      <c r="H80">
        <v>18</v>
      </c>
      <c r="I80">
        <v>8</v>
      </c>
      <c r="J80">
        <v>26</v>
      </c>
      <c r="K80">
        <v>28</v>
      </c>
    </row>
    <row r="81" spans="1:13" x14ac:dyDescent="0.25">
      <c r="A81" s="41">
        <v>35</v>
      </c>
      <c r="B81" s="84" t="s">
        <v>443</v>
      </c>
      <c r="C81" s="41" t="s">
        <v>130</v>
      </c>
      <c r="D81" s="41" t="s">
        <v>60</v>
      </c>
      <c r="E81" s="41" t="s">
        <v>182</v>
      </c>
      <c r="F81" s="41" t="s">
        <v>154</v>
      </c>
      <c r="G81" s="41" t="s">
        <v>155</v>
      </c>
      <c r="H81" s="41">
        <v>12</v>
      </c>
      <c r="I81" s="41">
        <v>4</v>
      </c>
      <c r="J81" s="41">
        <v>16</v>
      </c>
      <c r="K81">
        <v>20</v>
      </c>
    </row>
    <row r="82" spans="1:13" x14ac:dyDescent="0.25">
      <c r="A82">
        <v>35</v>
      </c>
      <c r="B82" s="85" t="s">
        <v>443</v>
      </c>
      <c r="C82" t="s">
        <v>116</v>
      </c>
      <c r="D82" s="41" t="s">
        <v>60</v>
      </c>
      <c r="E82" t="s">
        <v>214</v>
      </c>
      <c r="F82" t="s">
        <v>154</v>
      </c>
      <c r="G82" t="s">
        <v>155</v>
      </c>
      <c r="H82">
        <v>0</v>
      </c>
      <c r="I82">
        <v>0</v>
      </c>
      <c r="J82">
        <v>0</v>
      </c>
      <c r="K82">
        <v>2</v>
      </c>
    </row>
    <row r="83" spans="1:13" x14ac:dyDescent="0.25">
      <c r="A83">
        <v>35</v>
      </c>
      <c r="B83" s="83" t="s">
        <v>443</v>
      </c>
      <c r="C83" t="s">
        <v>127</v>
      </c>
      <c r="D83" s="41" t="s">
        <v>60</v>
      </c>
      <c r="E83" t="s">
        <v>183</v>
      </c>
      <c r="F83" t="s">
        <v>154</v>
      </c>
      <c r="G83" t="s">
        <v>155</v>
      </c>
      <c r="H83">
        <v>2</v>
      </c>
      <c r="I83">
        <v>5</v>
      </c>
      <c r="J83">
        <v>7</v>
      </c>
      <c r="K83">
        <v>9</v>
      </c>
    </row>
    <row r="84" spans="1:13" x14ac:dyDescent="0.25">
      <c r="A84">
        <v>35</v>
      </c>
      <c r="B84" s="85" t="s">
        <v>443</v>
      </c>
      <c r="C84" t="s">
        <v>132</v>
      </c>
      <c r="D84" s="41" t="s">
        <v>60</v>
      </c>
      <c r="E84" t="s">
        <v>203</v>
      </c>
      <c r="F84" t="s">
        <v>154</v>
      </c>
      <c r="G84" t="s">
        <v>155</v>
      </c>
      <c r="H84">
        <v>26</v>
      </c>
      <c r="I84">
        <v>3</v>
      </c>
      <c r="J84">
        <v>29</v>
      </c>
      <c r="K84">
        <v>37</v>
      </c>
    </row>
    <row r="85" spans="1:13" x14ac:dyDescent="0.25">
      <c r="A85">
        <v>35</v>
      </c>
      <c r="B85" s="84" t="s">
        <v>443</v>
      </c>
      <c r="C85" t="s">
        <v>296</v>
      </c>
      <c r="D85" s="41" t="s">
        <v>60</v>
      </c>
      <c r="E85" t="s">
        <v>297</v>
      </c>
      <c r="F85" t="s">
        <v>154</v>
      </c>
      <c r="G85" t="s">
        <v>155</v>
      </c>
      <c r="H85">
        <v>20</v>
      </c>
      <c r="I85">
        <v>2</v>
      </c>
      <c r="J85">
        <v>22</v>
      </c>
      <c r="K85" s="41">
        <v>60</v>
      </c>
    </row>
    <row r="86" spans="1:13" x14ac:dyDescent="0.25">
      <c r="A86" s="41">
        <v>35</v>
      </c>
      <c r="B86" s="85" t="s">
        <v>443</v>
      </c>
      <c r="C86" s="41" t="s">
        <v>136</v>
      </c>
      <c r="D86" s="41" t="s">
        <v>60</v>
      </c>
      <c r="E86" s="41" t="s">
        <v>202</v>
      </c>
      <c r="F86" s="41" t="s">
        <v>154</v>
      </c>
      <c r="G86" s="41" t="s">
        <v>155</v>
      </c>
      <c r="H86" s="41">
        <v>11</v>
      </c>
      <c r="I86" s="41">
        <v>4</v>
      </c>
      <c r="J86" s="41">
        <v>15</v>
      </c>
      <c r="K86" s="41">
        <v>17</v>
      </c>
    </row>
    <row r="87" spans="1:13" x14ac:dyDescent="0.25">
      <c r="A87" s="41">
        <v>35</v>
      </c>
      <c r="B87" s="83" t="s">
        <v>443</v>
      </c>
      <c r="C87" s="41" t="s">
        <v>115</v>
      </c>
      <c r="D87" s="41" t="s">
        <v>61</v>
      </c>
      <c r="E87" s="41" t="s">
        <v>184</v>
      </c>
      <c r="F87" s="41" t="s">
        <v>154</v>
      </c>
      <c r="G87" s="41" t="s">
        <v>155</v>
      </c>
      <c r="H87" s="41">
        <v>3</v>
      </c>
      <c r="I87" s="41">
        <v>0</v>
      </c>
      <c r="J87" s="41">
        <v>3</v>
      </c>
      <c r="K87">
        <v>4</v>
      </c>
    </row>
    <row r="88" spans="1:13" x14ac:dyDescent="0.25">
      <c r="A88">
        <v>35</v>
      </c>
      <c r="B88" s="84" t="s">
        <v>443</v>
      </c>
      <c r="C88" t="s">
        <v>109</v>
      </c>
      <c r="D88" s="41" t="s">
        <v>61</v>
      </c>
      <c r="E88" t="s">
        <v>185</v>
      </c>
      <c r="F88" t="s">
        <v>154</v>
      </c>
      <c r="G88" t="s">
        <v>155</v>
      </c>
      <c r="H88">
        <v>2</v>
      </c>
      <c r="I88">
        <v>0</v>
      </c>
      <c r="J88">
        <v>2</v>
      </c>
      <c r="K88">
        <v>2</v>
      </c>
    </row>
    <row r="89" spans="1:13" x14ac:dyDescent="0.25">
      <c r="A89">
        <v>35</v>
      </c>
      <c r="B89" s="85" t="s">
        <v>445</v>
      </c>
      <c r="C89" t="s">
        <v>144</v>
      </c>
      <c r="D89" s="41" t="s">
        <v>61</v>
      </c>
      <c r="E89" t="s">
        <v>186</v>
      </c>
      <c r="F89" t="s">
        <v>154</v>
      </c>
      <c r="G89" t="s">
        <v>155</v>
      </c>
      <c r="H89">
        <v>0</v>
      </c>
      <c r="I89">
        <v>2</v>
      </c>
      <c r="J89">
        <v>2</v>
      </c>
      <c r="K89" s="41">
        <v>4</v>
      </c>
    </row>
    <row r="90" spans="1:13" x14ac:dyDescent="0.25">
      <c r="A90">
        <v>35</v>
      </c>
      <c r="B90" s="85" t="s">
        <v>443</v>
      </c>
      <c r="C90" t="s">
        <v>104</v>
      </c>
      <c r="D90" s="41" t="s">
        <v>61</v>
      </c>
      <c r="E90" t="s">
        <v>215</v>
      </c>
      <c r="F90" t="s">
        <v>154</v>
      </c>
      <c r="G90" t="s">
        <v>155</v>
      </c>
      <c r="H90">
        <v>2</v>
      </c>
      <c r="I90">
        <v>0</v>
      </c>
      <c r="J90">
        <v>2</v>
      </c>
      <c r="K90">
        <v>2</v>
      </c>
    </row>
    <row r="91" spans="1:13" x14ac:dyDescent="0.25">
      <c r="A91">
        <v>35</v>
      </c>
      <c r="B91" s="85" t="s">
        <v>445</v>
      </c>
      <c r="C91" t="s">
        <v>143</v>
      </c>
      <c r="D91" s="41" t="s">
        <v>61</v>
      </c>
      <c r="E91" t="s">
        <v>187</v>
      </c>
      <c r="F91" t="s">
        <v>154</v>
      </c>
      <c r="G91" t="s">
        <v>155</v>
      </c>
      <c r="H91">
        <v>2</v>
      </c>
      <c r="I91">
        <v>0</v>
      </c>
      <c r="J91">
        <v>2</v>
      </c>
      <c r="K91">
        <v>5</v>
      </c>
    </row>
    <row r="92" spans="1:13" x14ac:dyDescent="0.25">
      <c r="A92" s="41">
        <v>35</v>
      </c>
      <c r="B92" s="85" t="s">
        <v>443</v>
      </c>
      <c r="C92" s="41" t="s">
        <v>110</v>
      </c>
      <c r="D92" s="41" t="s">
        <v>61</v>
      </c>
      <c r="E92" s="41" t="s">
        <v>188</v>
      </c>
      <c r="F92" s="41" t="s">
        <v>154</v>
      </c>
      <c r="G92" s="41" t="s">
        <v>155</v>
      </c>
      <c r="H92" s="41">
        <v>6</v>
      </c>
      <c r="I92" s="41">
        <v>2</v>
      </c>
      <c r="J92" s="41">
        <v>8</v>
      </c>
      <c r="K92">
        <v>8</v>
      </c>
    </row>
    <row r="93" spans="1:13" x14ac:dyDescent="0.25">
      <c r="A93">
        <v>35</v>
      </c>
      <c r="B93" s="85" t="s">
        <v>443</v>
      </c>
      <c r="C93" t="s">
        <v>113</v>
      </c>
      <c r="D93" s="41" t="s">
        <v>61</v>
      </c>
      <c r="E93" t="s">
        <v>216</v>
      </c>
      <c r="F93" t="s">
        <v>154</v>
      </c>
      <c r="G93" t="s">
        <v>155</v>
      </c>
      <c r="H93">
        <v>1</v>
      </c>
      <c r="I93">
        <v>0</v>
      </c>
      <c r="J93">
        <v>1</v>
      </c>
      <c r="K93">
        <v>1</v>
      </c>
    </row>
    <row r="94" spans="1:13" x14ac:dyDescent="0.25">
      <c r="A94" s="41">
        <v>35</v>
      </c>
      <c r="B94" s="83" t="s">
        <v>443</v>
      </c>
      <c r="C94" s="41" t="s">
        <v>108</v>
      </c>
      <c r="D94" s="41" t="s">
        <v>61</v>
      </c>
      <c r="E94" s="41" t="s">
        <v>189</v>
      </c>
      <c r="F94" s="41" t="s">
        <v>154</v>
      </c>
      <c r="G94" s="41" t="s">
        <v>155</v>
      </c>
      <c r="H94" s="41">
        <v>0</v>
      </c>
      <c r="I94" s="41">
        <v>0</v>
      </c>
      <c r="J94" s="41">
        <v>0</v>
      </c>
      <c r="K94" s="41">
        <v>0</v>
      </c>
      <c r="M94" t="s">
        <v>343</v>
      </c>
    </row>
    <row r="95" spans="1:13" x14ac:dyDescent="0.25">
      <c r="A95" s="41">
        <v>35</v>
      </c>
      <c r="B95" s="85" t="s">
        <v>443</v>
      </c>
      <c r="C95" s="41" t="s">
        <v>112</v>
      </c>
      <c r="D95" s="41" t="s">
        <v>61</v>
      </c>
      <c r="E95" s="41" t="s">
        <v>212</v>
      </c>
      <c r="F95" s="41" t="s">
        <v>154</v>
      </c>
      <c r="G95" s="41" t="s">
        <v>155</v>
      </c>
      <c r="H95" s="41">
        <v>1</v>
      </c>
      <c r="I95" s="41">
        <v>2</v>
      </c>
      <c r="J95" s="41">
        <v>3</v>
      </c>
      <c r="K95" s="41">
        <v>3</v>
      </c>
    </row>
    <row r="96" spans="1:13" x14ac:dyDescent="0.25">
      <c r="B96" s="85"/>
      <c r="D96" s="41"/>
    </row>
    <row r="97" spans="1:11" x14ac:dyDescent="0.25">
      <c r="A97" s="41"/>
      <c r="B97" s="84"/>
      <c r="C97" s="41"/>
      <c r="D97" s="41"/>
      <c r="E97" s="41"/>
      <c r="F97" s="41"/>
      <c r="G97" s="41"/>
      <c r="H97" s="41"/>
      <c r="I97" s="41"/>
      <c r="J97" s="41"/>
      <c r="K97" s="41"/>
    </row>
    <row r="98" spans="1:11" x14ac:dyDescent="0.25">
      <c r="A98" s="41"/>
      <c r="B98" s="83"/>
      <c r="C98" s="41"/>
      <c r="D98" s="41"/>
      <c r="E98" s="41"/>
      <c r="F98" s="41"/>
      <c r="G98" s="41"/>
      <c r="H98" s="41"/>
      <c r="I98" s="41"/>
      <c r="J98" s="41"/>
      <c r="K98" s="41"/>
    </row>
  </sheetData>
  <sortState ref="A2:W111">
    <sortCondition ref="D2:D11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I17" sqref="I1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228</v>
      </c>
      <c r="C5" s="2">
        <v>283</v>
      </c>
      <c r="D5" s="2">
        <v>511</v>
      </c>
      <c r="G5" s="1" t="s">
        <v>9</v>
      </c>
      <c r="H5" s="2">
        <f>GETPIVOTDATA("Sum of Cx pipiens",$A$4,"Zone","LV")</f>
        <v>228</v>
      </c>
      <c r="I5" s="2">
        <f>GETPIVOTDATA("Sum of Cx tarsalis",$A$4,"Zone","LV")</f>
        <v>283</v>
      </c>
      <c r="J5" s="2">
        <f>GETPIVOTDATA("Sum of Total CX",$A$4,"Zone","LV")</f>
        <v>511</v>
      </c>
    </row>
    <row r="6" spans="1:10" x14ac:dyDescent="0.25">
      <c r="A6" s="1" t="s">
        <v>59</v>
      </c>
      <c r="B6" s="2">
        <v>352</v>
      </c>
      <c r="C6" s="2">
        <v>142</v>
      </c>
      <c r="D6" s="2">
        <v>494</v>
      </c>
      <c r="G6" s="1" t="s">
        <v>59</v>
      </c>
      <c r="H6" s="2">
        <f>GETPIVOTDATA("Sum of Cx pipiens",$A$4,"Zone","NE")</f>
        <v>352</v>
      </c>
      <c r="I6" s="2">
        <f>GETPIVOTDATA("Sum of Cx tarsalis",$A$4,"Zone","NE")</f>
        <v>142</v>
      </c>
      <c r="J6" s="2">
        <f>GETPIVOTDATA("Sum of Total CX",$A$4,"Zone","NE")</f>
        <v>494</v>
      </c>
    </row>
    <row r="7" spans="1:10" x14ac:dyDescent="0.25">
      <c r="A7" s="1" t="s">
        <v>58</v>
      </c>
      <c r="B7" s="2">
        <v>72</v>
      </c>
      <c r="C7" s="2">
        <v>48</v>
      </c>
      <c r="D7" s="2">
        <v>120</v>
      </c>
      <c r="G7" s="1" t="s">
        <v>58</v>
      </c>
      <c r="H7" s="2">
        <f>GETPIVOTDATA("Sum of Cx pipiens",$A$4,"Zone","NW")</f>
        <v>72</v>
      </c>
      <c r="I7" s="2">
        <f>GETPIVOTDATA("Sum of Cx tarsalis",$A$4,"Zone","NW")</f>
        <v>48</v>
      </c>
      <c r="J7" s="2">
        <f>GETPIVOTDATA("Sum of Total CX",$A$4,"Zone","NW")</f>
        <v>120</v>
      </c>
    </row>
    <row r="8" spans="1:10" x14ac:dyDescent="0.25">
      <c r="A8" s="1" t="s">
        <v>60</v>
      </c>
      <c r="B8" s="2">
        <v>79</v>
      </c>
      <c r="C8" s="2">
        <v>150</v>
      </c>
      <c r="D8" s="2">
        <v>229</v>
      </c>
      <c r="G8" s="1" t="s">
        <v>60</v>
      </c>
      <c r="H8" s="2">
        <f>GETPIVOTDATA("Sum of Cx pipiens",$A$4,"Zone","SE")</f>
        <v>79</v>
      </c>
      <c r="I8" s="2">
        <f>GETPIVOTDATA("Sum of Cx tarsalis",$A$4,"Zone","SE")</f>
        <v>150</v>
      </c>
      <c r="J8" s="2">
        <f>GETPIVOTDATA("Sum of Total CX",$A$4,"Zone","SE")</f>
        <v>229</v>
      </c>
    </row>
    <row r="9" spans="1:10" x14ac:dyDescent="0.25">
      <c r="A9" s="1" t="s">
        <v>61</v>
      </c>
      <c r="B9" s="2">
        <v>6</v>
      </c>
      <c r="C9" s="2">
        <v>17</v>
      </c>
      <c r="D9" s="2">
        <v>23</v>
      </c>
      <c r="G9" s="1" t="s">
        <v>61</v>
      </c>
      <c r="H9" s="2">
        <f>GETPIVOTDATA("Sum of Cx pipiens",$A$4,"Zone","SW")</f>
        <v>6</v>
      </c>
      <c r="I9" s="2">
        <f>GETPIVOTDATA("Sum of Cx tarsalis",$A$4,"Zone","SW")</f>
        <v>17</v>
      </c>
      <c r="J9" s="2">
        <f>GETPIVOTDATA("Sum of Total CX",$A$4,"Zone","SW")</f>
        <v>23</v>
      </c>
    </row>
    <row r="10" spans="1:10" x14ac:dyDescent="0.25">
      <c r="A10" s="1" t="s">
        <v>196</v>
      </c>
      <c r="B10" s="2">
        <v>15</v>
      </c>
      <c r="C10" s="2">
        <v>19</v>
      </c>
      <c r="D10" s="2">
        <v>34</v>
      </c>
      <c r="G10" s="1" t="s">
        <v>196</v>
      </c>
      <c r="H10">
        <f>GETPIVOTDATA("Sum of Cx pipiens",$A$4,"Zone","BE")</f>
        <v>15</v>
      </c>
      <c r="I10">
        <f>GETPIVOTDATA("Sum of Cx tarsalis",$A$4,"Zone","BE")</f>
        <v>19</v>
      </c>
      <c r="J10">
        <f>GETPIVOTDATA("Sum of Total CX",$A$4,"Zone","BE")</f>
        <v>34</v>
      </c>
    </row>
    <row r="11" spans="1:10" x14ac:dyDescent="0.25">
      <c r="A11" s="1" t="s">
        <v>103</v>
      </c>
      <c r="B11" s="2">
        <v>62</v>
      </c>
      <c r="C11" s="2">
        <v>119</v>
      </c>
      <c r="D11" s="2">
        <v>181</v>
      </c>
    </row>
    <row r="12" spans="1:10" x14ac:dyDescent="0.25">
      <c r="A12" s="1" t="s">
        <v>7</v>
      </c>
      <c r="B12" s="2">
        <v>814</v>
      </c>
      <c r="C12" s="2">
        <v>778</v>
      </c>
      <c r="D12" s="2">
        <v>1592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10" sqref="D10"/>
    </sheetView>
  </sheetViews>
  <sheetFormatPr defaultRowHeight="15" x14ac:dyDescent="0.25"/>
  <cols>
    <col min="1" max="1" width="13.140625" bestFit="1" customWidth="1"/>
    <col min="2" max="2" width="16.28515625" customWidth="1"/>
    <col min="3" max="3" width="9.140625" customWidth="1"/>
    <col min="4" max="4" width="11.28515625" bestFit="1" customWidth="1"/>
  </cols>
  <sheetData>
    <row r="1" spans="1:11" x14ac:dyDescent="0.25">
      <c r="A1" s="98" t="s">
        <v>77</v>
      </c>
      <c r="B1" s="98"/>
      <c r="H1" s="98" t="s">
        <v>53</v>
      </c>
      <c r="I1" s="98"/>
    </row>
    <row r="2" spans="1:11" x14ac:dyDescent="0.25">
      <c r="A2" s="3" t="s">
        <v>8</v>
      </c>
      <c r="B2" t="s">
        <v>1</v>
      </c>
    </row>
    <row r="4" spans="1:11" x14ac:dyDescent="0.25">
      <c r="A4" s="3" t="s">
        <v>2</v>
      </c>
      <c r="B4" s="3" t="s">
        <v>3</v>
      </c>
      <c r="H4" s="24" t="s">
        <v>2</v>
      </c>
      <c r="I4" s="24" t="s">
        <v>3</v>
      </c>
      <c r="J4" s="24"/>
      <c r="K4" s="24"/>
    </row>
    <row r="5" spans="1:11" x14ac:dyDescent="0.25">
      <c r="A5" s="3" t="s">
        <v>4</v>
      </c>
      <c r="B5" t="s">
        <v>218</v>
      </c>
      <c r="C5" t="s">
        <v>217</v>
      </c>
      <c r="D5" t="s">
        <v>7</v>
      </c>
      <c r="H5" s="25" t="s">
        <v>4</v>
      </c>
      <c r="I5" s="25" t="s">
        <v>5</v>
      </c>
      <c r="J5" s="25" t="s">
        <v>6</v>
      </c>
      <c r="K5" s="25" t="s">
        <v>7</v>
      </c>
    </row>
    <row r="6" spans="1:11" x14ac:dyDescent="0.25">
      <c r="A6" s="1" t="s">
        <v>9</v>
      </c>
      <c r="B6" s="2">
        <v>23</v>
      </c>
      <c r="C6" s="2">
        <v>86</v>
      </c>
      <c r="D6" s="2">
        <v>109</v>
      </c>
      <c r="H6" s="1" t="s">
        <v>9</v>
      </c>
      <c r="I6" s="2">
        <f>GETPIVOTDATA("Total",$A$4,"Zone","LV","Spp","pipiens")</f>
        <v>23</v>
      </c>
      <c r="J6" s="2">
        <f>GETPIVOTDATA("Total",$A$4,"Zone","LV","Spp","tarsalis")</f>
        <v>86</v>
      </c>
      <c r="K6" s="2">
        <f>GETPIVOTDATA("Total",$A$4,"Zone","LV")</f>
        <v>109</v>
      </c>
    </row>
    <row r="7" spans="1:11" x14ac:dyDescent="0.25">
      <c r="A7" s="1" t="s">
        <v>59</v>
      </c>
      <c r="B7" s="2">
        <v>453</v>
      </c>
      <c r="C7" s="2">
        <v>142</v>
      </c>
      <c r="D7" s="2">
        <v>595</v>
      </c>
      <c r="H7" s="1" t="s">
        <v>59</v>
      </c>
      <c r="I7" s="2">
        <f>GETPIVOTDATA("Total",$A$4,"Zone","NE","Spp","pipiens")</f>
        <v>453</v>
      </c>
      <c r="J7" s="2">
        <f>GETPIVOTDATA("Total",$A$4,"Zone","NE","Spp","tarsalis")</f>
        <v>142</v>
      </c>
      <c r="K7" s="2">
        <f>GETPIVOTDATA("Total",$A$4,"Zone","NE")</f>
        <v>595</v>
      </c>
    </row>
    <row r="8" spans="1:11" x14ac:dyDescent="0.25">
      <c r="A8" s="1" t="s">
        <v>58</v>
      </c>
      <c r="B8" s="2">
        <v>113</v>
      </c>
      <c r="C8" s="2">
        <v>48</v>
      </c>
      <c r="D8" s="2">
        <v>161</v>
      </c>
      <c r="H8" s="1" t="s">
        <v>58</v>
      </c>
      <c r="I8" s="2">
        <f>GETPIVOTDATA("Total",$A$4,"Zone","NW","Spp","pipiens")</f>
        <v>113</v>
      </c>
      <c r="J8" s="2">
        <f>GETPIVOTDATA("Total",$A$4,"Zone","NW","Spp","tarsalis")</f>
        <v>48</v>
      </c>
      <c r="K8" s="2">
        <f>GETPIVOTDATA("Total",$A$4,"Zone","NW")</f>
        <v>161</v>
      </c>
    </row>
    <row r="9" spans="1:11" x14ac:dyDescent="0.25">
      <c r="A9" s="1" t="s">
        <v>60</v>
      </c>
      <c r="B9" s="2">
        <v>189</v>
      </c>
      <c r="C9" s="2">
        <v>150</v>
      </c>
      <c r="D9" s="2">
        <v>339</v>
      </c>
      <c r="H9" s="1" t="s">
        <v>60</v>
      </c>
      <c r="I9" s="2">
        <f>GETPIVOTDATA("Total",$A$4,"Zone","SE","Spp","pipiens")</f>
        <v>189</v>
      </c>
      <c r="J9" s="2">
        <f>GETPIVOTDATA("Total",$A$4,"Zone","SE","Spp","tarsalis")</f>
        <v>150</v>
      </c>
      <c r="K9" s="2">
        <f>GETPIVOTDATA("Total",$A$4,"Zone","SE")</f>
        <v>339</v>
      </c>
    </row>
    <row r="10" spans="1:11" x14ac:dyDescent="0.25">
      <c r="A10" s="1" t="s">
        <v>61</v>
      </c>
      <c r="B10" s="2">
        <v>25</v>
      </c>
      <c r="C10" s="2">
        <v>17</v>
      </c>
      <c r="D10" s="2">
        <v>42</v>
      </c>
      <c r="H10" s="1" t="s">
        <v>61</v>
      </c>
      <c r="I10" s="2">
        <f>GETPIVOTDATA("Total",$A$4,"Zone","SW","Spp","pipiens")</f>
        <v>25</v>
      </c>
      <c r="J10" s="2">
        <f>GETPIVOTDATA("Total",$A$4,"Zone","SW","Spp","tarsalis")</f>
        <v>17</v>
      </c>
      <c r="K10" s="2">
        <f>GETPIVOTDATA("Total",$A$4,"Zone","SW")</f>
        <v>42</v>
      </c>
    </row>
    <row r="11" spans="1:11" x14ac:dyDescent="0.25">
      <c r="A11" s="1" t="s">
        <v>196</v>
      </c>
      <c r="B11" s="2">
        <v>15</v>
      </c>
      <c r="C11" s="2">
        <v>19</v>
      </c>
      <c r="D11" s="2">
        <v>34</v>
      </c>
      <c r="H11" s="1" t="s">
        <v>196</v>
      </c>
      <c r="I11">
        <f>GETPIVOTDATA("Total",$A$4,"Zone","BE","Spp","pipiens")</f>
        <v>15</v>
      </c>
      <c r="J11">
        <f>GETPIVOTDATA("Total",$A$4,"Zone","BE","Spp","tarsalis")</f>
        <v>19</v>
      </c>
      <c r="K11">
        <f>GETPIVOTDATA("Total",$A$4,"Zone","BE")</f>
        <v>34</v>
      </c>
    </row>
    <row r="12" spans="1:11" x14ac:dyDescent="0.25">
      <c r="A12" s="1" t="s">
        <v>7</v>
      </c>
      <c r="B12" s="2">
        <v>818</v>
      </c>
      <c r="C12" s="2">
        <v>462</v>
      </c>
      <c r="D12" s="2">
        <v>1280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F9C7C71B-FD2F-4A06-90E6-0B2AF79042D9}"/>
</file>

<file path=customXml/itemProps2.xml><?xml version="1.0" encoding="utf-8"?>
<ds:datastoreItem xmlns:ds="http://schemas.openxmlformats.org/officeDocument/2006/customXml" ds:itemID="{56B97700-68EE-4CD8-A2BB-1A15CF5EC63D}"/>
</file>

<file path=customXml/itemProps3.xml><?xml version="1.0" encoding="utf-8"?>
<ds:datastoreItem xmlns:ds="http://schemas.openxmlformats.org/officeDocument/2006/customXml" ds:itemID="{5B531F67-205A-4C5F-8C8B-AC760B0D0D9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2019-03-15T18:18:49Z</cp:lastPrinted>
  <dcterms:created xsi:type="dcterms:W3CDTF">2014-05-12T19:16:27Z</dcterms:created>
  <dcterms:modified xsi:type="dcterms:W3CDTF">2019-03-15T18:51:39Z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1265200</vt:r8>
  </property>
</Properties>
</file>