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174" r:id="rId3"/>
    <sheet name="InfRateZone" sheetId="170" r:id="rId4"/>
    <sheet name="InfRateCI" sheetId="166" r:id="rId5"/>
    <sheet name="InfRateZO" sheetId="168"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4" r:id="rId15"/>
    <pivotCache cacheId="9" r:id="rId16"/>
  </pivotCaches>
</workbook>
</file>

<file path=xl/calcChain.xml><?xml version="1.0" encoding="utf-8"?>
<calcChain xmlns="http://schemas.openxmlformats.org/spreadsheetml/2006/main">
  <c r="M71" i="5" l="1"/>
  <c r="M70" i="5"/>
  <c r="M76" i="5" l="1"/>
  <c r="F13" i="5" s="1"/>
  <c r="L76" i="5"/>
  <c r="E13" i="5" s="1"/>
  <c r="G12" i="6"/>
  <c r="H12" i="6"/>
  <c r="I12" i="6"/>
  <c r="I11" i="6"/>
  <c r="H11" i="6"/>
  <c r="G11" i="6"/>
  <c r="H11" i="64"/>
  <c r="J10" i="64"/>
  <c r="I11" i="64"/>
  <c r="I10" i="64"/>
  <c r="H10" i="64"/>
  <c r="J11" i="64"/>
  <c r="K10" i="61"/>
  <c r="I10" i="61"/>
  <c r="J10" i="61"/>
  <c r="I11" i="61"/>
  <c r="K11" i="61"/>
  <c r="J11" i="61"/>
  <c r="H5" i="63"/>
  <c r="I5" i="63"/>
  <c r="H10" i="63"/>
  <c r="J10" i="63"/>
  <c r="I10" i="63"/>
  <c r="J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F8" i="5"/>
  <c r="F7" i="5"/>
  <c r="M69" i="5"/>
  <c r="F6" i="5" s="1"/>
  <c r="L72" i="5"/>
  <c r="E9" i="5" s="1"/>
  <c r="L71" i="5"/>
  <c r="E8" i="5" s="1"/>
  <c r="L70" i="5"/>
  <c r="E7" i="5" s="1"/>
  <c r="L69" i="5"/>
  <c r="E6" i="5" s="1"/>
  <c r="G10" i="6"/>
  <c r="G7" i="6"/>
  <c r="H10" i="6"/>
  <c r="G8" i="6"/>
  <c r="G9" i="6"/>
  <c r="I8" i="6"/>
  <c r="H8" i="6"/>
  <c r="I7" i="6"/>
  <c r="H9" i="6"/>
  <c r="H7" i="6"/>
  <c r="I10" i="6"/>
  <c r="I9" i="6"/>
  <c r="J7" i="64"/>
  <c r="I9" i="64"/>
  <c r="J6" i="64"/>
  <c r="H9" i="64"/>
  <c r="J9" i="64"/>
  <c r="H6" i="64"/>
  <c r="I6" i="64"/>
  <c r="I7" i="64"/>
  <c r="I8" i="64"/>
  <c r="H8" i="64"/>
  <c r="H7" i="64"/>
  <c r="J8" i="64"/>
  <c r="K6" i="61"/>
  <c r="I7" i="61"/>
  <c r="J7" i="61"/>
  <c r="I9" i="61"/>
  <c r="K8" i="61"/>
  <c r="I8" i="61"/>
  <c r="J9" i="61"/>
  <c r="J8" i="61"/>
  <c r="I6" i="61"/>
  <c r="J6" i="61"/>
  <c r="K7" i="61"/>
  <c r="K9" i="61"/>
  <c r="H7" i="63"/>
  <c r="J6" i="63"/>
  <c r="H6" i="63"/>
  <c r="I7" i="63"/>
  <c r="J8" i="63"/>
  <c r="H8" i="63"/>
  <c r="J7" i="63"/>
  <c r="H9" i="63"/>
  <c r="I6" i="63"/>
  <c r="J9" i="63"/>
  <c r="I8" i="63"/>
  <c r="I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<sst xmlns="http://schemas.openxmlformats.org/spreadsheetml/2006/main" count="1111" uniqueCount="277">
  <si>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</si>
  <si>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</si>
  <si>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</si>
  <si>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</si>
  <si>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</si>
  <si>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</si>
  <si>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</si>
  <si>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</si>
  <si>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</si>
  <si>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</si>
  <si>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</si>
  <si>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</si>
  <si>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</si>
  <si>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</si>
  <si>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</si>
  <si>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</si>
  <si>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</si>
  <si>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</si>
  <si>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</si>
  <si>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</si>
  <si>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</si>
  <si>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</si>
  <si>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</si>
  <si>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</si>
  <si>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</si>
  <si>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</si>
  <si>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</si>
  <si>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</si>
  <si>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</si>
  <si>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</si>
  <si>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</si>
  <si>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</si>
  <si>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</si>
  <si>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</si>
  <si>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</si>
  <si>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</si>
  <si>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</si>
  <si>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</si>
  <si>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</si>
  <si>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</si>
  <si>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</si>
  <si>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</si>
  <si>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</si>
  <si>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</si>
  <si>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</si>
  <si>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</si>
  <si>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</si>
  <si>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</si>
  <si>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</si>
  <si>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</si>
  <si>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</si>
  <si>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</si>
  <si>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</si>
  <si>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</si>
  <si>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</si>
  <si>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</si>
  <si>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</si>
  <si>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</si>
  <si>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</si>
  <si>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</si>
  <si>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</si>
  <si>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</si>
  <si>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</si>
  <si>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</si>
  <si>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</si>
  <si>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</si>
  <si>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</si>
  <si>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</si>
  <si>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</si>
  <si>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</si>
  <si>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</si>
  <si>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</si>
  <si>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</si>
  <si>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</si>
  <si>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</si>
  <si>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</si>
  <si>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</si>
  <si>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</si>
  <si>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</si>
  <si>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</si>
  <si>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</si>
  <si>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</si>
  <si>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</si>
  <si>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</si>
  <si>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</si>
  <si>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</si>
  <si>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</si>
  <si>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</si>
  <si>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</si>
  <si>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</si>
  <si>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</si>
  <si>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</si>
  <si>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</si>
  <si>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</si>
  <si>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</si>
  <si>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</si>
  <si>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</si>
  <si>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</si>
  <si>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</si>
  <si>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</si>
  <si>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</si>
  <si>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</si>
  <si>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</si>
  <si>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</si>
  <si>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</si>
  <si>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</si>
  <si>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</si>
  <si>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</si>
  <si>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</si>
  <si>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</si>
  <si>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</si>
  <si>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</si>
  <si>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</si>
  <si>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</si>
  <si>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</si>
  <si>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</si>
  <si>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</si>
  <si>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FC-031</t>
  </si>
  <si>
    <t>FC-047</t>
  </si>
  <si>
    <t>FC-046</t>
  </si>
  <si>
    <t>FC-050</t>
  </si>
  <si>
    <t>FC-023</t>
  </si>
  <si>
    <t>FC-059</t>
  </si>
  <si>
    <t>FC-027</t>
  </si>
  <si>
    <t>FC-004</t>
  </si>
  <si>
    <t>FC-053</t>
  </si>
  <si>
    <t>FC-039</t>
  </si>
  <si>
    <t>FC-064</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</si>
  <si>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</si>
  <si>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</si>
  <si>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</si>
  <si>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</si>
  <si>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</si>
  <si>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</si>
  <si>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</si>
  <si>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</si>
  <si>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</si>
  <si>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</si>
  <si>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</si>
  <si>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</si>
  <si>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</si>
  <si>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</si>
  <si>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</si>
  <si>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</si>
  <si>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</si>
  <si>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</si>
  <si>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</si>
  <si>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</si>
  <si>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</si>
  <si>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</si>
  <si>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</si>
  <si>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</si>
  <si>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</si>
  <si>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</si>
  <si>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</si>
  <si>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</si>
  <si>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</si>
  <si>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</si>
  <si>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</si>
  <si>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</si>
  <si>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</si>
  <si>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</si>
  <si>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</si>
  <si>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</si>
  <si>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</si>
  <si>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</si>
  <si>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</si>
  <si>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</si>
  <si>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</si>
  <si>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</si>
  <si>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</si>
  <si>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</si>
  <si>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</si>
  <si>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</si>
  <si>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</si>
  <si>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</si>
  <si>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</si>
  <si>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</si>
  <si>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</si>
  <si>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</si>
  <si>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</si>
  <si>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</si>
  <si>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</si>
  <si>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</si>
  <si>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</si>
  <si>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</si>
  <si>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San Luis</t>
  </si>
  <si>
    <t>North Sage Creek</t>
  </si>
  <si>
    <t>West Chase @ Kechter Farm</t>
  </si>
  <si>
    <t>118 Grant</t>
  </si>
  <si>
    <t>Bens Park</t>
  </si>
  <si>
    <t>Golden Currant</t>
  </si>
  <si>
    <t>Fort Collins Vistors Center</t>
  </si>
  <si>
    <t>Holley Environ. Plant Research Ctr</t>
  </si>
  <si>
    <t>Fossil Creek South (Greenstone)</t>
  </si>
  <si>
    <t>Lopez Elementary School</t>
  </si>
  <si>
    <t>737 Parliament Court</t>
  </si>
  <si>
    <t>Registry Ridge- End of Ranger Dr</t>
  </si>
  <si>
    <t>502 Crest Drive</t>
  </si>
  <si>
    <t>TARSALIS</t>
  </si>
  <si>
    <t>PIPIENS</t>
  </si>
  <si>
    <t>FC-063gr</t>
  </si>
  <si>
    <t>FC-040gr</t>
  </si>
  <si>
    <t>FC-088gr</t>
  </si>
  <si>
    <t>FC-075gr</t>
  </si>
  <si>
    <t>FC-090gr</t>
  </si>
  <si>
    <t>FC-074</t>
  </si>
  <si>
    <t>Rockcreek</t>
  </si>
  <si>
    <t>FC-029gr</t>
  </si>
  <si>
    <t>FC-089gr</t>
  </si>
  <si>
    <t>FC-066gr</t>
  </si>
  <si>
    <t>Negative</t>
  </si>
  <si>
    <t>Positive</t>
  </si>
  <si>
    <t>FC-PIP</t>
  </si>
  <si>
    <t>FC-TAR</t>
  </si>
  <si>
    <t>NE-PIP</t>
  </si>
  <si>
    <t>NE-TAR</t>
  </si>
  <si>
    <t>NW-TAR</t>
  </si>
  <si>
    <t>NW-PIP</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</si>
  <si>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</si>
  <si>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</si>
  <si>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</si>
  <si>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</si>
  <si>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</si>
  <si>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</si>
  <si>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</si>
  <si>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</si>
  <si>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</si>
  <si>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</si>
  <si>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</si>
  <si>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</si>
  <si>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</si>
  <si>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</si>
  <si>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FC-092gr</t>
  </si>
  <si>
    <t>Score</t>
  </si>
  <si>
    <t>N/A</t>
  </si>
  <si>
    <t>CSU-12867</t>
  </si>
  <si>
    <t>CSU-12868</t>
  </si>
  <si>
    <t>CSU-12869</t>
  </si>
  <si>
    <t>CSU-12870</t>
  </si>
  <si>
    <t>CSU-12871</t>
  </si>
  <si>
    <t>CSU-12872</t>
  </si>
  <si>
    <t>CSU-12873</t>
  </si>
  <si>
    <t>CSU-12874</t>
  </si>
  <si>
    <t>CSU-12875</t>
  </si>
  <si>
    <t>CSU-12876</t>
  </si>
  <si>
    <t>CSU-12877</t>
  </si>
  <si>
    <t>CSU-12878</t>
  </si>
  <si>
    <t>CSU-12879</t>
  </si>
  <si>
    <t>CSU-12880</t>
  </si>
  <si>
    <t>CSU-12881</t>
  </si>
  <si>
    <t>CSU-12882</t>
  </si>
  <si>
    <t>CSU-12883</t>
  </si>
  <si>
    <t>CSU-12884</t>
  </si>
  <si>
    <t>CSU-12885</t>
  </si>
  <si>
    <t>CSU-12886</t>
  </si>
  <si>
    <t>CSU-12887</t>
  </si>
  <si>
    <t>CSU-12888</t>
  </si>
  <si>
    <t>CSU-12889</t>
  </si>
  <si>
    <t>CSU-12890</t>
  </si>
  <si>
    <t>CSU-12891</t>
  </si>
  <si>
    <t>CSU-12892</t>
  </si>
  <si>
    <t>CSU-12893</t>
  </si>
  <si>
    <t>CSU-12894</t>
  </si>
  <si>
    <t>CSU-12895</t>
  </si>
  <si>
    <t>CSU-12896</t>
  </si>
  <si>
    <t>CSU-12897</t>
  </si>
  <si>
    <t>CSU-12898</t>
  </si>
  <si>
    <t>CSU-12899</t>
  </si>
  <si>
    <t>CSU-12900</t>
  </si>
  <si>
    <t>CSU-12901</t>
  </si>
  <si>
    <t>CSU-12902</t>
  </si>
  <si>
    <t>CSU-12903</t>
  </si>
  <si>
    <t>CSU-12904</t>
  </si>
  <si>
    <t>CSU-12905</t>
  </si>
  <si>
    <t>CSU-12906</t>
  </si>
  <si>
    <t>EBO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</si>
</sst>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60.299434375003" createdVersion="4" refreshedVersion="4" minRefreshableVersion="3" recordCount="43">
  <cacheSource type="worksheet">
    <worksheetSource ref="A1:L44" sheet="Weekly 009 input (- Grav, Mal)"/>
  </cacheSource>
  <cacheFields count="12">
    <cacheField name="Week" numFmtId="0">
      <sharedItems containsSemiMixedTypes="0" containsString="0" containsNumber="1" containsInteger="1" minValue="37" maxValue="37" count="1">
        <n v="37"/>
      </sharedItems>
    </cacheField>
    <cacheField name="Trap Date" numFmtId="14">
      <sharedItems containsSemiMixedTypes="0" containsNonDate="0" containsDate="1" containsString="0" minDate="2018-09-11T00:00:00" maxDate="2018-09-13T00:00:00"/>
    </cacheField>
    <cacheField name="Trap Number" numFmtId="0">
      <sharedItems/>
    </cacheField>
    <cacheField name="Zone" numFmtId="0">
      <sharedItems count="4">
        <s v="SW"/>
        <s v="SE"/>
        <s v="NE"/>
        <s v="N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8"/>
    </cacheField>
    <cacheField name="Cx pipiens" numFmtId="0">
      <sharedItems containsSemiMixedTypes="0" containsString="0" containsNumber="1" containsInteger="1" minValue="0" maxValue="89"/>
    </cacheField>
    <cacheField name="Total CX" numFmtId="0">
      <sharedItems containsSemiMixedTypes="0" containsString="0" containsNumber="1" containsInteger="1" minValue="0" maxValue="89"/>
    </cacheField>
    <cacheField name="Total Females" numFmtId="0">
      <sharedItems containsSemiMixedTypes="0" containsString="0" containsNumber="1" containsInteger="1" minValue="0" maxValue="98"/>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60.305862384259" createdVersion="4" refreshedVersion="4" minRefreshableVersion="3" recordCount="40">
  <cacheSource type="worksheet">
    <worksheetSource ref="A1:R41"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473" maxValue="22512"/>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8-09-11T00:00:00" maxDate="2018-09-13T00:00:00" count="2">
        <d v="2018-09-11T00:00:00"/>
        <d v="2018-09-12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2"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x v="0"/>
    <d v="2018-09-12T00:00:00"/>
    <s v="FC-001"/>
    <x v="0"/>
    <s v="Magic Carpet"/>
    <s v="LIGHT"/>
    <s v="NO"/>
    <n v="0"/>
    <n v="0"/>
    <n v="0"/>
    <n v="0"/>
    <m/>
  </r>
  <r>
    <x v="0"/>
    <d v="2018-09-11T00:00:00"/>
    <s v="FC-004"/>
    <x v="1"/>
    <s v="Bighorn Drive"/>
    <s v="LIGHT"/>
    <s v="NO"/>
    <n v="0"/>
    <n v="2"/>
    <n v="2"/>
    <n v="2"/>
    <m/>
  </r>
  <r>
    <x v="0"/>
    <d v="2018-09-11T00:00:00"/>
    <s v="FC-006"/>
    <x v="2"/>
    <s v="North Linden"/>
    <s v="LIGHT"/>
    <s v="NO"/>
    <n v="0"/>
    <n v="6"/>
    <n v="6"/>
    <n v="50"/>
    <m/>
  </r>
  <r>
    <x v="0"/>
    <d v="2018-09-12T00:00:00"/>
    <s v="FC-011"/>
    <x v="3"/>
    <s v="Golden Currant"/>
    <s v="LIGHT"/>
    <s v="NO"/>
    <n v="0"/>
    <n v="17"/>
    <n v="17"/>
    <n v="18"/>
    <m/>
  </r>
  <r>
    <x v="0"/>
    <d v="2018-09-11T00:00:00"/>
    <s v="FC-014"/>
    <x v="2"/>
    <s v="Fort Collins Vistors Center"/>
    <s v="LIGHT"/>
    <s v="NO"/>
    <n v="0"/>
    <n v="36"/>
    <n v="36"/>
    <n v="40"/>
    <m/>
  </r>
  <r>
    <x v="0"/>
    <d v="2018-09-12T00:00:00"/>
    <s v="FC-015"/>
    <x v="3"/>
    <s v="Stuart and Dorset"/>
    <s v="LIGHT"/>
    <s v="NO"/>
    <n v="0"/>
    <n v="0"/>
    <n v="0"/>
    <n v="0"/>
    <m/>
  </r>
  <r>
    <x v="0"/>
    <d v="2018-09-11T00:00:00"/>
    <s v="FC-019"/>
    <x v="2"/>
    <s v="Edora Park"/>
    <s v="LIGHT"/>
    <s v="NO"/>
    <n v="5"/>
    <n v="0"/>
    <n v="5"/>
    <n v="5"/>
    <m/>
  </r>
  <r>
    <x v="0"/>
    <d v="2018-09-11T00:00:00"/>
    <s v="FC-023"/>
    <x v="1"/>
    <s v="Boltz"/>
    <s v="LIGHT"/>
    <s v="NO"/>
    <n v="0"/>
    <n v="5"/>
    <n v="5"/>
    <n v="5"/>
    <m/>
  </r>
  <r>
    <x v="0"/>
    <d v="2018-09-11T00:00:00"/>
    <s v="FC-027"/>
    <x v="1"/>
    <s v="San Luis"/>
    <s v="LIGHT"/>
    <s v="NO"/>
    <n v="0"/>
    <n v="3"/>
    <n v="3"/>
    <n v="3"/>
    <m/>
  </r>
  <r>
    <x v="0"/>
    <d v="2018-09-12T00:00:00"/>
    <s v="FC-029"/>
    <x v="1"/>
    <s v="Bens Park"/>
    <s v="LIGHT"/>
    <s v="NO"/>
    <n v="0"/>
    <n v="0"/>
    <n v="0"/>
    <n v="0"/>
    <m/>
  </r>
  <r>
    <x v="0"/>
    <d v="2018-09-11T00:00:00"/>
    <s v="FC-031"/>
    <x v="1"/>
    <s v="Willow Springs"/>
    <s v="LIGHT"/>
    <s v="NO"/>
    <n v="0"/>
    <n v="0"/>
    <n v="0"/>
    <n v="2"/>
    <m/>
  </r>
  <r>
    <x v="0"/>
    <d v="2018-09-11T00:00:00"/>
    <s v="FC-034"/>
    <x v="2"/>
    <s v="Country Club"/>
    <s v="LIGHT"/>
    <s v="NO"/>
    <n v="6"/>
    <n v="0"/>
    <n v="6"/>
    <n v="8"/>
    <m/>
  </r>
  <r>
    <x v="0"/>
    <d v="2018-09-11T00:00:00"/>
    <s v="FC-036"/>
    <x v="3"/>
    <s v="Hemlock"/>
    <s v="LIGHT"/>
    <s v="NO"/>
    <n v="5"/>
    <n v="4"/>
    <n v="9"/>
    <n v="96"/>
    <m/>
  </r>
  <r>
    <x v="0"/>
    <d v="2018-09-12T00:00:00"/>
    <s v="FC-037"/>
    <x v="0"/>
    <s v="Chelsea Ridge"/>
    <s v="LIGHT"/>
    <s v="NO"/>
    <n v="0"/>
    <n v="0"/>
    <n v="0"/>
    <n v="1"/>
    <m/>
  </r>
  <r>
    <x v="0"/>
    <d v="2018-09-11T00:00:00"/>
    <s v="FC-038"/>
    <x v="2"/>
    <s v="Lochside Lane"/>
    <s v="LIGHT"/>
    <s v="NO"/>
    <n v="0"/>
    <n v="39"/>
    <n v="39"/>
    <n v="55"/>
    <m/>
  </r>
  <r>
    <x v="0"/>
    <d v="2018-09-11T00:00:00"/>
    <s v="FC-039"/>
    <x v="1"/>
    <s v="Fossil Creek South (Greenstone)"/>
    <s v="LIGHT"/>
    <s v="NO"/>
    <n v="0"/>
    <n v="0"/>
    <n v="0"/>
    <n v="4"/>
    <m/>
  </r>
  <r>
    <x v="0"/>
    <d v="2018-09-11T00:00:00"/>
    <s v="FC-040"/>
    <x v="2"/>
    <s v="Redwood"/>
    <s v="LIGHT"/>
    <s v="NO"/>
    <n v="4"/>
    <n v="11"/>
    <n v="15"/>
    <n v="26"/>
    <m/>
  </r>
  <r>
    <x v="0"/>
    <d v="2018-09-12T00:00:00"/>
    <s v="FC-041"/>
    <x v="3"/>
    <s v="Fishback"/>
    <s v="LIGHT"/>
    <s v="NO"/>
    <n v="0"/>
    <n v="7"/>
    <n v="7"/>
    <n v="7"/>
    <m/>
  </r>
  <r>
    <x v="0"/>
    <d v="2018-09-11T00:00:00"/>
    <s v="FC-046"/>
    <x v="1"/>
    <s v="725 Westshore Court"/>
    <s v="LIGHT"/>
    <s v="NO"/>
    <n v="0"/>
    <n v="4"/>
    <n v="4"/>
    <n v="4"/>
    <m/>
  </r>
  <r>
    <x v="0"/>
    <d v="2018-09-11T00:00:00"/>
    <s v="FC-047"/>
    <x v="1"/>
    <s v="Keenland &amp; Twin Oak"/>
    <s v="LIGHT"/>
    <s v="NO"/>
    <n v="0"/>
    <n v="3"/>
    <n v="3"/>
    <n v="4"/>
    <m/>
  </r>
  <r>
    <x v="0"/>
    <d v="2018-09-12T00:00:00"/>
    <s v="FC-049"/>
    <x v="0"/>
    <s v="Casa Grande and Downing"/>
    <s v="LIGHT"/>
    <s v="NO"/>
    <n v="4"/>
    <n v="0"/>
    <n v="4"/>
    <n v="4"/>
    <m/>
  </r>
  <r>
    <x v="0"/>
    <d v="2018-09-11T00:00:00"/>
    <s v="FC-050"/>
    <x v="1"/>
    <s v="Golden Meadows Ditch"/>
    <s v="LIGHT"/>
    <s v="NO"/>
    <n v="0"/>
    <n v="0"/>
    <n v="0"/>
    <n v="0"/>
    <m/>
  </r>
  <r>
    <x v="0"/>
    <d v="2018-09-12T00:00:00"/>
    <s v="FC-052"/>
    <x v="3"/>
    <s v="603 Gilgalad Way"/>
    <s v="LIGHT"/>
    <s v="NO"/>
    <n v="2"/>
    <n v="0"/>
    <n v="2"/>
    <n v="2"/>
    <m/>
  </r>
  <r>
    <x v="0"/>
    <d v="2018-09-11T00:00:00"/>
    <s v="FC-053"/>
    <x v="1"/>
    <s v="Egret and Rookery"/>
    <s v="LIGHT"/>
    <s v="NO"/>
    <n v="0"/>
    <n v="0"/>
    <n v="0"/>
    <n v="5"/>
    <m/>
  </r>
  <r>
    <x v="0"/>
    <d v="2018-09-12T00:00:00"/>
    <s v="FC-054"/>
    <x v="1"/>
    <s v="737 Parliament Court"/>
    <s v="LIGHT"/>
    <s v="NO"/>
    <n v="0"/>
    <n v="0"/>
    <n v="0"/>
    <n v="2"/>
    <m/>
  </r>
  <r>
    <x v="0"/>
    <d v="2018-09-12T00:00:00"/>
    <s v="FC-057"/>
    <x v="0"/>
    <s v="Registry Ridge- End of Ranger Dr"/>
    <s v="LIGHT"/>
    <s v="NO"/>
    <n v="0"/>
    <n v="0"/>
    <n v="0"/>
    <n v="1"/>
    <m/>
  </r>
  <r>
    <x v="0"/>
    <d v="2018-09-12T00:00:00"/>
    <s v="FC-058"/>
    <x v="0"/>
    <s v="Spring Creek Trail @ Michener Dr"/>
    <s v="LIGHT"/>
    <s v="NO"/>
    <n v="0"/>
    <n v="0"/>
    <n v="0"/>
    <n v="0"/>
    <m/>
  </r>
  <r>
    <x v="0"/>
    <d v="2018-09-11T00:00:00"/>
    <s v="FC-059"/>
    <x v="1"/>
    <s v="Springwood and Lockwood"/>
    <s v="LIGHT"/>
    <s v="NO"/>
    <n v="0"/>
    <n v="0"/>
    <n v="0"/>
    <n v="0"/>
    <m/>
  </r>
  <r>
    <x v="0"/>
    <d v="2018-09-12T00:00:00"/>
    <s v="FC-060"/>
    <x v="3"/>
    <s v="808 Pondersosa"/>
    <s v="LIGHT"/>
    <s v="NO"/>
    <n v="0"/>
    <n v="0"/>
    <n v="0"/>
    <n v="1"/>
    <m/>
  </r>
  <r>
    <x v="0"/>
    <d v="2018-09-12T00:00:00"/>
    <s v="FC-061"/>
    <x v="3"/>
    <s v="Holley Environ. Plant Research Ctr"/>
    <s v="LIGHT"/>
    <s v="NO"/>
    <n v="0"/>
    <n v="5"/>
    <n v="5"/>
    <n v="5"/>
    <m/>
  </r>
  <r>
    <x v="0"/>
    <d v="2018-09-12T00:00:00"/>
    <s v="FC-062"/>
    <x v="0"/>
    <s v="Waters Edge at Blue Mesa"/>
    <s v="LIGHT"/>
    <s v="NO"/>
    <n v="0"/>
    <n v="0"/>
    <n v="0"/>
    <n v="0"/>
    <m/>
  </r>
  <r>
    <x v="0"/>
    <d v="2018-09-12T00:00:00"/>
    <s v="FC-063"/>
    <x v="3"/>
    <s v="Red Fox Meadows FCNA"/>
    <s v="LIGHT"/>
    <s v="NO"/>
    <n v="8"/>
    <n v="0"/>
    <n v="8"/>
    <n v="11"/>
    <m/>
  </r>
  <r>
    <x v="0"/>
    <d v="2018-09-11T00:00:00"/>
    <s v="FC-064"/>
    <x v="1"/>
    <s v="West Chase @ Kechter Farm"/>
    <s v="LIGHT"/>
    <s v="NO"/>
    <n v="0"/>
    <n v="0"/>
    <n v="0"/>
    <n v="4"/>
    <m/>
  </r>
  <r>
    <x v="0"/>
    <d v="2018-09-11T00:00:00"/>
    <s v="FC-066"/>
    <x v="2"/>
    <s v="Prospect Ponds @ Drake Water"/>
    <s v="LIGHT"/>
    <s v="NO"/>
    <n v="0"/>
    <n v="89"/>
    <n v="89"/>
    <n v="98"/>
    <m/>
  </r>
  <r>
    <x v="0"/>
    <d v="2018-09-12T00:00:00"/>
    <s v="FC-067"/>
    <x v="2"/>
    <s v="Poudre River Drive at bike trail"/>
    <s v="LIGHT"/>
    <s v="NO"/>
    <n v="6"/>
    <n v="0"/>
    <n v="6"/>
    <n v="6"/>
    <m/>
  </r>
  <r>
    <x v="0"/>
    <d v="2018-09-12T00:00:00"/>
    <s v="FC-068"/>
    <x v="0"/>
    <s v="502 Crest Drive"/>
    <s v="LIGHT"/>
    <s v="NO"/>
    <n v="0"/>
    <n v="0"/>
    <n v="0"/>
    <n v="1"/>
    <m/>
  </r>
  <r>
    <x v="0"/>
    <d v="2018-09-11T00:00:00"/>
    <s v="FC-069"/>
    <x v="2"/>
    <s v="Linden Lake Rd"/>
    <s v="LIGHT"/>
    <s v="NO"/>
    <n v="0"/>
    <n v="0"/>
    <n v="0"/>
    <n v="4"/>
    <m/>
  </r>
  <r>
    <x v="0"/>
    <d v="2018-09-12T00:00:00"/>
    <s v="FC-071"/>
    <x v="0"/>
    <s v="Silvergate Road"/>
    <s v="LIGHT"/>
    <s v="NO"/>
    <n v="5"/>
    <n v="0"/>
    <n v="5"/>
    <n v="5"/>
    <m/>
  </r>
  <r>
    <x v="0"/>
    <d v="2018-09-11T00:00:00"/>
    <s v="FC-072"/>
    <x v="2"/>
    <s v="422 Lake Drive Alley"/>
    <s v="LIGHT"/>
    <s v="NO"/>
    <n v="0"/>
    <n v="0"/>
    <n v="0"/>
    <n v="0"/>
    <m/>
  </r>
  <r>
    <x v="0"/>
    <d v="2018-09-12T00:00:00"/>
    <s v="FC-073"/>
    <x v="3"/>
    <s v="118 Grant"/>
    <s v="LIGHT"/>
    <s v="NO"/>
    <n v="2"/>
    <n v="0"/>
    <n v="2"/>
    <n v="4"/>
    <m/>
  </r>
  <r>
    <x v="0"/>
    <d v="2018-09-11T00:00:00"/>
    <s v="FC-074"/>
    <x v="1"/>
    <s v="Rockcreek"/>
    <s v="LIGHT"/>
    <s v="NO"/>
    <n v="0"/>
    <n v="0"/>
    <n v="0"/>
    <n v="21"/>
    <m/>
  </r>
  <r>
    <x v="0"/>
    <d v="2018-09-11T00:00:00"/>
    <s v="FC-075"/>
    <x v="1"/>
    <s v="North Sage Creek"/>
    <s v="LIGHT"/>
    <s v="NO"/>
    <n v="0"/>
    <n v="4"/>
    <n v="4"/>
    <n v="6"/>
    <m/>
  </r>
  <r>
    <x v="0"/>
    <d v="2018-09-12T00:00:00"/>
    <s v="FC-093"/>
    <x v="0"/>
    <s v="Lopez Elementary School"/>
    <s v="LIGHT"/>
    <s v="NO"/>
    <n v="0"/>
    <n v="0"/>
    <n v="0"/>
    <n v="4"/>
    <m/>
  </r>
</pivotCacheRecords>
</file>

<file path=xl/pivotCache/pivotCacheRecords2.xml><?xml version="1.0" encoding="utf-8"?>
<pivotCacheRecords xmlns="http://schemas.openxmlformats.org/spreadsheetml/2006/main" xmlns:r="http://schemas.openxmlformats.org/officeDocument/2006/relationships" count="40">
  <r>
    <n v="2018"/>
    <s v="CSU-12867"/>
    <n v="22473"/>
    <x v="0"/>
    <x v="0"/>
    <s v="LC"/>
    <s v="FC"/>
    <s v="FC-019"/>
    <x v="0"/>
    <s v="L"/>
    <s v="Cx."/>
    <x v="0"/>
    <s v="F"/>
    <m/>
    <n v="5"/>
    <n v="5"/>
    <n v="0"/>
    <s v="Negative"/>
  </r>
  <r>
    <n v="2018"/>
    <s v="CSU-12868"/>
    <n v="22474"/>
    <x v="0"/>
    <x v="0"/>
    <s v="LC"/>
    <s v="FC"/>
    <s v="FC-092gr"/>
    <x v="0"/>
    <s v="G"/>
    <s v="Cx."/>
    <x v="1"/>
    <s v="F"/>
    <n v="50"/>
    <m/>
    <n v="50"/>
    <n v="1"/>
    <s v="Positive"/>
  </r>
  <r>
    <n v="2018"/>
    <s v="CSU-12869"/>
    <n v="22475"/>
    <x v="0"/>
    <x v="0"/>
    <s v="LC"/>
    <s v="FC"/>
    <s v="FC-092gr"/>
    <x v="0"/>
    <s v="G"/>
    <s v="Cx."/>
    <x v="1"/>
    <s v="F"/>
    <n v="21"/>
    <m/>
    <n v="21"/>
    <n v="0"/>
    <s v="Negative"/>
  </r>
  <r>
    <n v="2018"/>
    <s v="CSU-12870"/>
    <n v="22476"/>
    <x v="0"/>
    <x v="0"/>
    <s v="LC"/>
    <s v="FC"/>
    <s v="FC-014"/>
    <x v="0"/>
    <s v="L"/>
    <s v="Cx."/>
    <x v="1"/>
    <s v="F"/>
    <m/>
    <n v="36"/>
    <n v="36"/>
    <n v="0"/>
    <s v="Negative"/>
  </r>
  <r>
    <n v="2018"/>
    <s v="CSU-12871"/>
    <n v="22477"/>
    <x v="0"/>
    <x v="0"/>
    <s v="LC"/>
    <s v="FC"/>
    <s v="FC-040gr"/>
    <x v="0"/>
    <s v="G"/>
    <s v="Cx."/>
    <x v="1"/>
    <s v="F"/>
    <n v="14"/>
    <m/>
    <n v="14"/>
    <n v="1"/>
    <s v="Positive"/>
  </r>
  <r>
    <n v="2018"/>
    <s v="CSU-12872"/>
    <n v="22478"/>
    <x v="0"/>
    <x v="0"/>
    <s v="LC"/>
    <s v="FC"/>
    <s v="FC-036"/>
    <x v="1"/>
    <s v="L"/>
    <s v="Cx."/>
    <x v="0"/>
    <s v="F"/>
    <m/>
    <n v="5"/>
    <n v="5"/>
    <n v="0"/>
    <s v="Negative"/>
  </r>
  <r>
    <n v="2018"/>
    <s v="CSU-12873"/>
    <n v="22479"/>
    <x v="0"/>
    <x v="0"/>
    <s v="LC"/>
    <s v="FC"/>
    <s v="FC-036"/>
    <x v="1"/>
    <s v="L"/>
    <s v="Cx."/>
    <x v="1"/>
    <s v="F"/>
    <m/>
    <n v="4"/>
    <n v="4"/>
    <n v="0"/>
    <s v="Negative"/>
  </r>
  <r>
    <n v="2018"/>
    <s v="CSU-12874"/>
    <n v="22480"/>
    <x v="0"/>
    <x v="0"/>
    <s v="LC"/>
    <s v="FC"/>
    <s v="FC-088gr"/>
    <x v="2"/>
    <s v="G"/>
    <s v="Cx."/>
    <x v="1"/>
    <s v="F"/>
    <n v="2"/>
    <m/>
    <n v="2"/>
    <n v="0"/>
    <s v="Negative"/>
  </r>
  <r>
    <n v="2018"/>
    <s v="CSU-12875"/>
    <n v="22481"/>
    <x v="0"/>
    <x v="0"/>
    <s v="LC"/>
    <s v="FC"/>
    <s v="FC-004"/>
    <x v="2"/>
    <s v="L"/>
    <s v="Cx."/>
    <x v="1"/>
    <s v="F"/>
    <m/>
    <n v="2"/>
    <n v="2"/>
    <n v="0"/>
    <s v="Negative"/>
  </r>
  <r>
    <n v="2018"/>
    <s v="CSU-12876"/>
    <n v="22482"/>
    <x v="0"/>
    <x v="0"/>
    <s v="LC"/>
    <s v="FC"/>
    <s v="FC-006"/>
    <x v="0"/>
    <s v="L"/>
    <s v="Cx."/>
    <x v="1"/>
    <s v="F"/>
    <m/>
    <n v="6"/>
    <n v="6"/>
    <n v="0"/>
    <s v="Negative"/>
  </r>
  <r>
    <n v="2018"/>
    <s v="CSU-12877"/>
    <n v="22483"/>
    <x v="0"/>
    <x v="0"/>
    <s v="LC"/>
    <s v="FC"/>
    <s v="FC-027"/>
    <x v="2"/>
    <s v="L"/>
    <s v="Cx."/>
    <x v="1"/>
    <s v="F"/>
    <m/>
    <n v="3"/>
    <n v="3"/>
    <n v="0"/>
    <s v="Negative"/>
  </r>
  <r>
    <n v="2018"/>
    <s v="CSU-12878"/>
    <n v="22484"/>
    <x v="0"/>
    <x v="0"/>
    <s v="LC"/>
    <s v="FC"/>
    <s v="FC-040"/>
    <x v="0"/>
    <s v="L"/>
    <s v="Cx."/>
    <x v="0"/>
    <s v="F"/>
    <m/>
    <n v="4"/>
    <n v="4"/>
    <n v="0"/>
    <s v="Negative"/>
  </r>
  <r>
    <n v="2018"/>
    <s v="CSU-12879"/>
    <n v="22485"/>
    <x v="0"/>
    <x v="0"/>
    <s v="LC"/>
    <s v="FC"/>
    <s v="FC-040"/>
    <x v="0"/>
    <s v="L"/>
    <s v="Cx."/>
    <x v="1"/>
    <s v="F"/>
    <m/>
    <n v="11"/>
    <n v="11"/>
    <n v="0"/>
    <s v="Negative"/>
  </r>
  <r>
    <n v="2018"/>
    <s v="CSU-12880"/>
    <n v="22486"/>
    <x v="0"/>
    <x v="0"/>
    <s v="LC"/>
    <s v="FC"/>
    <s v="FC-034"/>
    <x v="0"/>
    <s v="L"/>
    <s v="Cx."/>
    <x v="0"/>
    <s v="F"/>
    <m/>
    <n v="6"/>
    <n v="6"/>
    <n v="0"/>
    <s v="Negative"/>
  </r>
  <r>
    <n v="2018"/>
    <s v="CSU-12881"/>
    <n v="22487"/>
    <x v="0"/>
    <x v="0"/>
    <s v="LC"/>
    <s v="FC"/>
    <s v="FC-066gr"/>
    <x v="0"/>
    <s v="G"/>
    <s v="Cx."/>
    <x v="1"/>
    <s v="F"/>
    <n v="11"/>
    <m/>
    <n v="11"/>
    <n v="0"/>
    <s v="Negative"/>
  </r>
  <r>
    <n v="2018"/>
    <s v="CSU-12882"/>
    <n v="22488"/>
    <x v="0"/>
    <x v="0"/>
    <s v="LC"/>
    <s v="FC"/>
    <s v="FC-038"/>
    <x v="0"/>
    <s v="L"/>
    <s v="Cx."/>
    <x v="1"/>
    <s v="F"/>
    <m/>
    <n v="39"/>
    <n v="39"/>
    <n v="0"/>
    <s v="Negative"/>
  </r>
  <r>
    <n v="2018"/>
    <s v="CSU-12883"/>
    <n v="22489"/>
    <x v="0"/>
    <x v="0"/>
    <s v="LC"/>
    <s v="FC"/>
    <s v="FC-066"/>
    <x v="0"/>
    <s v="L"/>
    <s v="Cx."/>
    <x v="1"/>
    <s v="F"/>
    <m/>
    <n v="50"/>
    <n v="50"/>
    <n v="0"/>
    <s v="Negative"/>
  </r>
  <r>
    <n v="2018"/>
    <s v="CSU-12884"/>
    <n v="22490"/>
    <x v="0"/>
    <x v="0"/>
    <s v="LC"/>
    <s v="FC"/>
    <s v="FC-066"/>
    <x v="0"/>
    <s v="L"/>
    <s v="Cx."/>
    <x v="1"/>
    <s v="F"/>
    <m/>
    <n v="39"/>
    <n v="39"/>
    <n v="0"/>
    <s v="Negative"/>
  </r>
  <r>
    <n v="2018"/>
    <s v="CSU-12885"/>
    <n v="22491"/>
    <x v="0"/>
    <x v="0"/>
    <s v="LC"/>
    <s v="FC"/>
    <s v="FC-023"/>
    <x v="2"/>
    <s v="L"/>
    <s v="Cx."/>
    <x v="1"/>
    <s v="F"/>
    <m/>
    <n v="5"/>
    <n v="5"/>
    <n v="0"/>
    <s v="Negative"/>
  </r>
  <r>
    <n v="2018"/>
    <s v="CSU-12886"/>
    <n v="22492"/>
    <x v="0"/>
    <x v="0"/>
    <s v="LC"/>
    <s v="FC"/>
    <s v="FC-046"/>
    <x v="2"/>
    <s v="L"/>
    <s v="Cx."/>
    <x v="1"/>
    <s v="F"/>
    <m/>
    <n v="4"/>
    <n v="4"/>
    <n v="0"/>
    <s v="Negative"/>
  </r>
  <r>
    <n v="2018"/>
    <s v="CSU-12887"/>
    <n v="22493"/>
    <x v="0"/>
    <x v="0"/>
    <s v="LC"/>
    <s v="FC"/>
    <s v="FC-075"/>
    <x v="2"/>
    <s v="L"/>
    <s v="Cx."/>
    <x v="1"/>
    <s v="F"/>
    <m/>
    <n v="4"/>
    <n v="4"/>
    <n v="0"/>
    <s v="Negative"/>
  </r>
  <r>
    <n v="2018"/>
    <s v="CSU-12888"/>
    <n v="22494"/>
    <x v="0"/>
    <x v="0"/>
    <s v="LC"/>
    <s v="FC"/>
    <s v="FC-047"/>
    <x v="2"/>
    <s v="L"/>
    <s v="Cx."/>
    <x v="1"/>
    <s v="F"/>
    <m/>
    <n v="3"/>
    <n v="3"/>
    <n v="0"/>
    <s v="Negative"/>
  </r>
  <r>
    <n v="2018"/>
    <s v="CSU-12889"/>
    <n v="22495"/>
    <x v="0"/>
    <x v="0"/>
    <s v="LC"/>
    <s v="FC"/>
    <s v="FC-075gr"/>
    <x v="2"/>
    <s v="G"/>
    <s v="Cx."/>
    <x v="1"/>
    <s v="F"/>
    <n v="50"/>
    <m/>
    <n v="50"/>
    <n v="0"/>
    <s v="Negative"/>
  </r>
  <r>
    <n v="2018"/>
    <s v="CSU-12890"/>
    <n v="22496"/>
    <x v="0"/>
    <x v="0"/>
    <s v="LC"/>
    <s v="FC"/>
    <s v="FC-075gr"/>
    <x v="2"/>
    <s v="G"/>
    <s v="Cx."/>
    <x v="1"/>
    <s v="F"/>
    <n v="50"/>
    <m/>
    <n v="50"/>
    <n v="1"/>
    <s v="Positive"/>
  </r>
  <r>
    <n v="2018"/>
    <s v="CSU-12891"/>
    <n v="22497"/>
    <x v="0"/>
    <x v="0"/>
    <s v="LC"/>
    <s v="FC"/>
    <s v="FC-075gr"/>
    <x v="2"/>
    <s v="G"/>
    <s v="Cx."/>
    <x v="1"/>
    <s v="F"/>
    <n v="50"/>
    <m/>
    <n v="50"/>
    <n v="0"/>
    <s v="Negative"/>
  </r>
  <r>
    <n v="2018"/>
    <s v="CSU-12892"/>
    <n v="22498"/>
    <x v="0"/>
    <x v="0"/>
    <s v="LC"/>
    <s v="FC"/>
    <s v="FC-075gr"/>
    <x v="2"/>
    <s v="G"/>
    <s v="Cx."/>
    <x v="1"/>
    <s v="F"/>
    <n v="17"/>
    <m/>
    <n v="17"/>
    <n v="1"/>
    <s v="Positive"/>
  </r>
  <r>
    <n v="2018"/>
    <s v="CSU-12893"/>
    <n v="22499"/>
    <x v="0"/>
    <x v="1"/>
    <s v="LC"/>
    <s v="FC"/>
    <s v="FC-073"/>
    <x v="1"/>
    <s v="L"/>
    <s v="Cx."/>
    <x v="0"/>
    <s v="F"/>
    <m/>
    <n v="2"/>
    <n v="2"/>
    <n v="0"/>
    <s v="Negative"/>
  </r>
  <r>
    <n v="2018"/>
    <s v="CSU-12894"/>
    <n v="22500"/>
    <x v="0"/>
    <x v="1"/>
    <s v="LC"/>
    <s v="FC"/>
    <s v="FC-090gr"/>
    <x v="1"/>
    <s v="G"/>
    <s v="Cx."/>
    <x v="1"/>
    <s v="F"/>
    <n v="28"/>
    <m/>
    <n v="28"/>
    <n v="1"/>
    <s v="Positive"/>
  </r>
  <r>
    <n v="2018"/>
    <s v="CSU-12895"/>
    <n v="22501"/>
    <x v="0"/>
    <x v="1"/>
    <s v="LC"/>
    <s v="FC"/>
    <s v="FC-071"/>
    <x v="3"/>
    <s v="L"/>
    <s v="Cx."/>
    <x v="0"/>
    <s v="F"/>
    <m/>
    <n v="5"/>
    <n v="5"/>
    <n v="0"/>
    <s v="Negative"/>
  </r>
  <r>
    <n v="2018"/>
    <s v="CSU-12896"/>
    <n v="22502"/>
    <x v="0"/>
    <x v="1"/>
    <s v="LC"/>
    <s v="FC"/>
    <s v="FC-089gr"/>
    <x v="3"/>
    <s v="G"/>
    <s v="Cx."/>
    <x v="1"/>
    <s v="F"/>
    <n v="10"/>
    <m/>
    <n v="10"/>
    <n v="0"/>
    <s v="Negative"/>
  </r>
  <r>
    <n v="2018"/>
    <s v="CSU-12897"/>
    <n v="22503"/>
    <x v="0"/>
    <x v="1"/>
    <s v="LC"/>
    <s v="FC"/>
    <s v="FC-067"/>
    <x v="0"/>
    <s v="L"/>
    <s v="Cx."/>
    <x v="0"/>
    <s v="F"/>
    <m/>
    <n v="6"/>
    <n v="6"/>
    <n v="0"/>
    <s v="Negative"/>
  </r>
  <r>
    <n v="2018"/>
    <s v="CSU-12898"/>
    <n v="22504"/>
    <x v="0"/>
    <x v="1"/>
    <s v="LC"/>
    <s v="FC"/>
    <s v="FC-049"/>
    <x v="3"/>
    <s v="L"/>
    <s v="Cx."/>
    <x v="0"/>
    <s v="F"/>
    <m/>
    <n v="4"/>
    <n v="4"/>
    <n v="0"/>
    <s v="Negative"/>
  </r>
  <r>
    <n v="2018"/>
    <s v="CSU-12899"/>
    <n v="22505"/>
    <x v="0"/>
    <x v="1"/>
    <s v="LC"/>
    <s v="FC"/>
    <s v="FC-063"/>
    <x v="1"/>
    <s v="L"/>
    <s v="Cx."/>
    <x v="0"/>
    <s v="F"/>
    <m/>
    <n v="8"/>
    <n v="8"/>
    <n v="0"/>
    <s v="Negative"/>
  </r>
  <r>
    <n v="2018"/>
    <s v="CSU-12900"/>
    <n v="22506"/>
    <x v="0"/>
    <x v="1"/>
    <s v="LC"/>
    <s v="FC"/>
    <s v="FC-063gr"/>
    <x v="1"/>
    <s v="G"/>
    <s v="Cx."/>
    <x v="1"/>
    <s v="F"/>
    <n v="50"/>
    <m/>
    <n v="50"/>
    <n v="1"/>
    <s v="Positive"/>
  </r>
  <r>
    <n v="2018"/>
    <s v="CSU-12901"/>
    <n v="22507"/>
    <x v="0"/>
    <x v="1"/>
    <s v="LC"/>
    <s v="FC"/>
    <s v="FC-063gr"/>
    <x v="1"/>
    <s v="G"/>
    <s v="Cx."/>
    <x v="1"/>
    <s v="F"/>
    <n v="48"/>
    <m/>
    <n v="48"/>
    <n v="0"/>
    <s v="Negative"/>
  </r>
  <r>
    <n v="2018"/>
    <s v="CSU-12902"/>
    <n v="22508"/>
    <x v="0"/>
    <x v="1"/>
    <s v="LC"/>
    <s v="FC"/>
    <s v="FC-041"/>
    <x v="1"/>
    <s v="L"/>
    <s v="Cx."/>
    <x v="1"/>
    <s v="F"/>
    <m/>
    <n v="7"/>
    <n v="7"/>
    <n v="0"/>
    <s v="Negative"/>
  </r>
  <r>
    <n v="2018"/>
    <s v="CSU-12903"/>
    <n v="22509"/>
    <x v="0"/>
    <x v="1"/>
    <s v="LC"/>
    <s v="FC"/>
    <s v="FC-029gr"/>
    <x v="2"/>
    <s v="G"/>
    <s v="Cx."/>
    <x v="1"/>
    <s v="F"/>
    <n v="48"/>
    <m/>
    <n v="48"/>
    <n v="0"/>
    <s v="Negative"/>
  </r>
  <r>
    <n v="2018"/>
    <s v="CSU-12904"/>
    <n v="22510"/>
    <x v="0"/>
    <x v="1"/>
    <s v="LC"/>
    <s v="FC"/>
    <s v="FC-011"/>
    <x v="1"/>
    <s v="L"/>
    <s v="Cx."/>
    <x v="1"/>
    <s v="F"/>
    <m/>
    <n v="17"/>
    <n v="17"/>
    <n v="0"/>
    <s v="Negative"/>
  </r>
  <r>
    <n v="2018"/>
    <s v="CSU-12905"/>
    <n v="22511"/>
    <x v="0"/>
    <x v="1"/>
    <s v="LC"/>
    <s v="FC"/>
    <s v="FC-052"/>
    <x v="1"/>
    <s v="L"/>
    <s v="Cx."/>
    <x v="0"/>
    <s v="F"/>
    <m/>
    <n v="2"/>
    <n v="2"/>
    <n v="0"/>
    <s v="Negative"/>
  </r>
  <r>
    <n v="2018"/>
    <s v="CSU-12906"/>
    <n v="22512"/>
    <x v="0"/>
    <x v="1"/>
    <s v="LC"/>
    <s v="FC"/>
    <s v="FC-061"/>
    <x v="1"/>
    <s v="L"/>
    <s v="Cx."/>
    <x v="1"/>
    <s v="F"/>
    <m/>
    <n v="5"/>
    <n v="5"/>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9" firstHeaderRow="0" firstDataRow="1" firstDataCol="1" rowPageCount="1" colPageCount="1"/>
  <pivotFields count="12">
    <pivotField axis="axisPage" showAll="0">
      <items count="2">
        <item x="0"/>
        <item t="default"/>
      </items>
    </pivotField>
    <pivotField showAll="0"/>
    <pivotField showAll="0"/>
    <pivotField axis="axisRow" showAll="0">
      <items count="5">
        <item x="2"/>
        <item x="3"/>
        <item x="1"/>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C9" sqref="C9"/>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6" t="s">
        <v>53</v>
      </c>
      <c r="H1" s="96"/>
    </row>
    <row r="2" spans="1:10" x14ac:dyDescent="0.25">
      <c r="A2" s="3" t="s">
        <v>8</v>
      </c>
      <c r="B2" t="s">
        <v>1</v>
      </c>
    </row>
    <row r="4" spans="1:10" x14ac:dyDescent="0.25">
      <c r="A4" s="3" t="s">
        <v>89</v>
      </c>
      <c r="B4" s="3" t="s">
        <v>3</v>
      </c>
      <c r="G4" s="24" t="s">
        <v>89</v>
      </c>
      <c r="H4" s="24" t="s">
        <v>3</v>
      </c>
      <c r="I4" s="24"/>
      <c r="J4" s="24"/>
    </row>
    <row r="5" spans="1:10" x14ac:dyDescent="0.25">
      <c r="A5" s="3" t="s">
        <v>4</v>
      </c>
      <c r="B5" t="s">
        <v>200</v>
      </c>
      <c r="C5" t="s">
        <v>199</v>
      </c>
      <c r="D5" t="s">
        <v>7</v>
      </c>
      <c r="G5" s="25" t="s">
        <v>4</v>
      </c>
      <c r="H5" s="25" t="s">
        <v>5</v>
      </c>
      <c r="I5" s="25" t="s">
        <v>6</v>
      </c>
      <c r="J5" s="25" t="s">
        <v>7</v>
      </c>
    </row>
    <row r="6" spans="1:10" x14ac:dyDescent="0.25">
      <c r="A6" s="1" t="s">
        <v>59</v>
      </c>
      <c r="B6" s="2">
        <v>10</v>
      </c>
      <c r="C6" s="2">
        <v>4</v>
      </c>
      <c r="D6" s="2">
        <v>14</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58</v>
      </c>
      <c r="B7" s="2">
        <v>7</v>
      </c>
      <c r="C7" s="2">
        <v>4</v>
      </c>
      <c r="D7" s="2">
        <v>11</v>
      </c>
      <c r="G7" s="1" t="s">
        <v>59</v>
      </c>
      <c r="H7" s="2">
        <f>GETPIVOTDATA("CSU Pool Number     (CMC enters)",$A$4,"Zone","NE","Spp","pipiens")</f>
        <v>10</v>
      </c>
      <c r="I7" s="2">
        <f>GETPIVOTDATA("CSU Pool Number     (CMC enters)",$A$4,"Zone","NE","Spp","tarsalis")</f>
        <v>4</v>
      </c>
      <c r="J7" s="2">
        <f>GETPIVOTDATA("CSU Pool Number     (CMC enters)",$A$4,"Zone","NE")</f>
        <v>14</v>
      </c>
    </row>
    <row r="8" spans="1:10" x14ac:dyDescent="0.25">
      <c r="A8" s="1" t="s">
        <v>60</v>
      </c>
      <c r="B8" s="2">
        <v>12</v>
      </c>
      <c r="C8" s="2"/>
      <c r="D8" s="2">
        <v>12</v>
      </c>
      <c r="G8" s="1" t="s">
        <v>58</v>
      </c>
      <c r="H8" s="2">
        <f>GETPIVOTDATA("CSU Pool Number     (CMC enters)",$A$4,"Zone","NW","Spp","pipiens")</f>
        <v>7</v>
      </c>
      <c r="I8" s="2">
        <f>GETPIVOTDATA("CSU Pool Number     (CMC enters)",$A$4,"Zone","NW","Spp","tarsalis")</f>
        <v>4</v>
      </c>
      <c r="J8" s="2">
        <f>GETPIVOTDATA("CSU Pool Number     (CMC enters)",$A$4,"Zone","NW")</f>
        <v>11</v>
      </c>
    </row>
    <row r="9" spans="1:10" x14ac:dyDescent="0.25">
      <c r="A9" s="1" t="s">
        <v>61</v>
      </c>
      <c r="B9" s="2">
        <v>1</v>
      </c>
      <c r="C9" s="2">
        <v>2</v>
      </c>
      <c r="D9" s="2">
        <v>3</v>
      </c>
      <c r="G9" s="1" t="s">
        <v>60</v>
      </c>
      <c r="H9" s="2">
        <f>GETPIVOTDATA("CSU Pool Number     (CMC enters)",$A$4,"Zone","SE","Spp","pipiens")</f>
        <v>12</v>
      </c>
      <c r="I9" s="2">
        <f>GETPIVOTDATA("CSU Pool Number     (CMC enters)",$A$4,"Zone","SE","Spp","tarsalis")</f>
        <v>0</v>
      </c>
      <c r="J9" s="2">
        <f>GETPIVOTDATA("CSU Pool Number     (CMC enters)",$A$4,"Zone","SE")</f>
        <v>12</v>
      </c>
    </row>
    <row r="10" spans="1:10" x14ac:dyDescent="0.25">
      <c r="A10" s="1" t="s">
        <v>7</v>
      </c>
      <c r="B10" s="2">
        <v>30</v>
      </c>
      <c r="C10" s="2">
        <v>10</v>
      </c>
      <c r="D10" s="2">
        <v>40</v>
      </c>
      <c r="G10" s="1" t="s">
        <v>61</v>
      </c>
      <c r="H10" s="2">
        <f>GETPIVOTDATA("CSU Pool Number     (CMC enters)",$A$4,"Zone","SW","Spp","pipiens")</f>
        <v>1</v>
      </c>
      <c r="I10" s="2">
        <f>GETPIVOTDATA("CSU Pool Number     (CMC enters)",$A$4,"Zone","SW","Spp","tarsalis")</f>
        <v>2</v>
      </c>
      <c r="J10" s="2">
        <f>GETPIVOTDATA("CSU Pool Number     (CMC enters)",$A$4,"Zone","SW")</f>
        <v>3</v>
      </c>
    </row>
    <row r="11" spans="1:10" x14ac:dyDescent="0.25">
      <c r="G11" s="1" t="s">
        <v>185</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11" sqref="C11"/>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6" t="s">
        <v>77</v>
      </c>
      <c r="B1" s="96"/>
      <c r="C1" s="96"/>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200</v>
      </c>
      <c r="C6" t="s">
        <v>199</v>
      </c>
      <c r="D6" t="s">
        <v>7</v>
      </c>
      <c r="F6" s="25" t="s">
        <v>4</v>
      </c>
      <c r="G6" s="25" t="s">
        <v>5</v>
      </c>
      <c r="H6" s="25" t="s">
        <v>6</v>
      </c>
      <c r="I6" s="25" t="s">
        <v>7</v>
      </c>
    </row>
    <row r="7" spans="1:9" x14ac:dyDescent="0.25">
      <c r="A7" s="1" t="s">
        <v>58</v>
      </c>
      <c r="B7" s="2">
        <v>2</v>
      </c>
      <c r="C7" s="2">
        <v>0</v>
      </c>
      <c r="D7" s="2">
        <v>2</v>
      </c>
      <c r="F7" s="1" t="s">
        <v>58</v>
      </c>
      <c r="G7" s="2">
        <f>GETPIVOTDATA("Test code (CSU enters)",$A$5,"Zone","NW","Spp","pipiens")</f>
        <v>2</v>
      </c>
      <c r="H7" s="2">
        <f>GETPIVOTDATA("Test code (CSU enters)",$A$5,"Zone","NW","Spp","tarsalis")</f>
        <v>0</v>
      </c>
      <c r="I7" s="2">
        <f>GETPIVOTDATA("Test code (CSU enters)",$A$5,"Zone","NW")</f>
        <v>2</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2</v>
      </c>
      <c r="C9" s="2"/>
      <c r="D9" s="2">
        <v>2</v>
      </c>
      <c r="F9" s="1" t="s">
        <v>60</v>
      </c>
      <c r="G9" s="2">
        <f>GETPIVOTDATA("Test code (CSU enters)",$A$5,"Zone","SE","Spp","pipiens")</f>
        <v>2</v>
      </c>
      <c r="H9" s="2">
        <f>GETPIVOTDATA("Test code (CSU enters)",$A$5,"Zone","SE","Spp","tarsalis")</f>
        <v>0</v>
      </c>
      <c r="I9" s="2">
        <f>GETPIVOTDATA("Test code (CSU enters)",$A$5,"Zone","SE")</f>
        <v>2</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7</v>
      </c>
      <c r="B11" s="2">
        <v>6</v>
      </c>
      <c r="C11" s="2">
        <v>0</v>
      </c>
      <c r="D11" s="2">
        <v>6</v>
      </c>
      <c r="F11" s="1" t="s">
        <v>9</v>
      </c>
      <c r="G11" s="2" t="e">
        <f>GETPIVOTDATA("Test code (CSU enters)",$A$5,"Zone","LV","Spp","pipiens")</f>
        <v>#REF!</v>
      </c>
      <c r="H11" s="2" t="e">
        <f>GETPIVOTDATA("Test code (CSU enters)",$A$5,"Zone","LV","Spp","tarsalis")</f>
        <v>#REF!</v>
      </c>
      <c r="I11" s="2" t="e">
        <f>GETPIVOTDATA("Test code (CSU enters)",$A$5,"Zone","LV")</f>
        <v>#REF!</v>
      </c>
    </row>
    <row r="12" spans="1:9" x14ac:dyDescent="0.25">
      <c r="F12" s="1" t="s">
        <v>185</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J12" sqref="J12"/>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10.097214330065331</v>
      </c>
      <c r="H2" s="31"/>
    </row>
    <row r="3" spans="1:11" x14ac:dyDescent="0.25">
      <c r="A3" t="s">
        <v>47</v>
      </c>
      <c r="B3" t="s">
        <v>16</v>
      </c>
      <c r="C3" s="31">
        <v>0</v>
      </c>
      <c r="I3" s="31"/>
    </row>
    <row r="4" spans="1:11" x14ac:dyDescent="0.25">
      <c r="A4" t="s">
        <v>9</v>
      </c>
      <c r="B4" t="s">
        <v>15</v>
      </c>
      <c r="C4" s="86" t="s">
        <v>235</v>
      </c>
      <c r="I4" s="31"/>
    </row>
    <row r="5" spans="1:11" x14ac:dyDescent="0.25">
      <c r="A5" t="s">
        <v>9</v>
      </c>
      <c r="B5" t="s">
        <v>16</v>
      </c>
      <c r="C5" s="86" t="s">
        <v>235</v>
      </c>
      <c r="H5" s="31"/>
    </row>
    <row r="6" spans="1:11" x14ac:dyDescent="0.25">
      <c r="A6" t="s">
        <v>185</v>
      </c>
      <c r="B6" t="s">
        <v>15</v>
      </c>
      <c r="C6" s="86" t="s">
        <v>235</v>
      </c>
      <c r="H6" s="31"/>
    </row>
    <row r="7" spans="1:11" x14ac:dyDescent="0.25">
      <c r="A7" t="s">
        <v>185</v>
      </c>
      <c r="B7" t="s">
        <v>16</v>
      </c>
      <c r="C7" s="86" t="s">
        <v>235</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7" sqref="C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14.64358537894234</v>
      </c>
      <c r="G2" s="31"/>
      <c r="I2" s="31"/>
    </row>
    <row r="3" spans="1:12" x14ac:dyDescent="0.25">
      <c r="A3" t="s">
        <v>58</v>
      </c>
      <c r="B3" t="s">
        <v>16</v>
      </c>
      <c r="C3" s="31">
        <v>0</v>
      </c>
      <c r="G3" s="31"/>
      <c r="I3" s="31"/>
    </row>
    <row r="4" spans="1:12" x14ac:dyDescent="0.25">
      <c r="A4" t="s">
        <v>59</v>
      </c>
      <c r="B4" t="s">
        <v>15</v>
      </c>
      <c r="C4" s="31">
        <v>7.5860610578250345</v>
      </c>
      <c r="G4" s="31"/>
      <c r="I4" s="31"/>
    </row>
    <row r="5" spans="1:12" x14ac:dyDescent="0.25">
      <c r="A5" t="s">
        <v>59</v>
      </c>
      <c r="B5" t="s">
        <v>16</v>
      </c>
      <c r="C5" s="31">
        <v>0</v>
      </c>
      <c r="G5" s="31"/>
      <c r="I5" s="31"/>
    </row>
    <row r="6" spans="1:12" x14ac:dyDescent="0.25">
      <c r="A6" t="s">
        <v>60</v>
      </c>
      <c r="B6" t="s">
        <v>15</v>
      </c>
      <c r="C6" s="31">
        <v>8.80848038619094</v>
      </c>
      <c r="G6" s="31"/>
      <c r="I6" s="31"/>
    </row>
    <row r="7" spans="1:12" x14ac:dyDescent="0.25">
      <c r="A7" t="s">
        <v>60</v>
      </c>
      <c r="B7" t="s">
        <v>16</v>
      </c>
      <c r="C7" s="86">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70"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181</v>
      </c>
      <c r="B1" s="4"/>
      <c r="C1" s="110" t="s">
        <v>11</v>
      </c>
      <c r="D1" s="112"/>
      <c r="E1" s="110" t="s">
        <v>12</v>
      </c>
      <c r="F1" s="112"/>
      <c r="G1" s="128"/>
      <c r="H1" s="129"/>
      <c r="I1" s="130"/>
    </row>
    <row r="2" spans="1:14" ht="27" customHeight="1" x14ac:dyDescent="0.25">
      <c r="B2" s="5"/>
      <c r="C2" s="113"/>
      <c r="D2" s="115"/>
      <c r="E2" s="113" t="s">
        <v>13</v>
      </c>
      <c r="F2" s="115"/>
      <c r="G2" s="131" t="s">
        <v>14</v>
      </c>
      <c r="H2" s="132"/>
      <c r="I2" s="133"/>
    </row>
    <row r="3" spans="1:14" ht="15.75" thickBot="1" x14ac:dyDescent="0.3">
      <c r="B3" s="5"/>
      <c r="C3" s="117"/>
      <c r="D3" s="119"/>
      <c r="E3" s="107"/>
      <c r="F3" s="109"/>
      <c r="G3" s="107"/>
      <c r="H3" s="108"/>
      <c r="I3" s="109"/>
    </row>
    <row r="4" spans="1:14" ht="15.75" customHeight="1" x14ac:dyDescent="0.25">
      <c r="B4" s="5" t="s">
        <v>10</v>
      </c>
      <c r="C4" s="120" t="s">
        <v>15</v>
      </c>
      <c r="D4" s="120" t="s">
        <v>16</v>
      </c>
      <c r="E4" s="7" t="s">
        <v>17</v>
      </c>
      <c r="F4" s="7" t="s">
        <v>17</v>
      </c>
      <c r="G4" s="126" t="s">
        <v>18</v>
      </c>
      <c r="H4" s="126" t="s">
        <v>19</v>
      </c>
      <c r="I4" s="9" t="s">
        <v>20</v>
      </c>
    </row>
    <row r="5" spans="1:14" ht="15.75" thickBot="1" x14ac:dyDescent="0.3">
      <c r="B5" s="6"/>
      <c r="C5" s="121"/>
      <c r="D5" s="121"/>
      <c r="E5" s="8" t="s">
        <v>5</v>
      </c>
      <c r="F5" s="8" t="s">
        <v>6</v>
      </c>
      <c r="G5" s="127"/>
      <c r="H5" s="127"/>
      <c r="I5" s="10" t="s">
        <v>21</v>
      </c>
    </row>
    <row r="6" spans="1:14" ht="26.25" thickBot="1" x14ac:dyDescent="0.3">
      <c r="B6" s="11" t="s">
        <v>54</v>
      </c>
      <c r="C6" s="26">
        <f t="shared" ref="C6:D10" si="0">G38</f>
        <v>3.6666666666666665</v>
      </c>
      <c r="D6" s="26">
        <f t="shared" si="0"/>
        <v>1.8888888888888888</v>
      </c>
      <c r="E6" s="42">
        <f t="shared" ref="E6:F10" si="1">L69/1000</f>
        <v>1.464358537894234E-2</v>
      </c>
      <c r="F6" s="42">
        <f t="shared" si="1"/>
        <v>0</v>
      </c>
      <c r="G6" s="32">
        <f t="shared" ref="G6:H10" si="2">C6*E6</f>
        <v>5.3693146389455243E-2</v>
      </c>
      <c r="H6" s="32">
        <f t="shared" si="2"/>
        <v>0</v>
      </c>
      <c r="I6" s="32">
        <f>G6+H6</f>
        <v>5.3693146389455243E-2</v>
      </c>
    </row>
    <row r="7" spans="1:14" ht="26.25" thickBot="1" x14ac:dyDescent="0.3">
      <c r="B7" s="11" t="s">
        <v>55</v>
      </c>
      <c r="C7" s="26">
        <f t="shared" si="0"/>
        <v>18.100000000000001</v>
      </c>
      <c r="D7" s="26">
        <f t="shared" si="0"/>
        <v>2.1</v>
      </c>
      <c r="E7" s="42">
        <f t="shared" si="1"/>
        <v>7.5860610578250345E-3</v>
      </c>
      <c r="F7" s="42">
        <f t="shared" si="1"/>
        <v>0</v>
      </c>
      <c r="G7" s="32">
        <f t="shared" si="2"/>
        <v>0.13730770514663312</v>
      </c>
      <c r="H7" s="32">
        <f t="shared" si="2"/>
        <v>0</v>
      </c>
      <c r="I7" s="32">
        <f>G7+H7</f>
        <v>0.13730770514663312</v>
      </c>
    </row>
    <row r="8" spans="1:14" ht="26.25" thickBot="1" x14ac:dyDescent="0.3">
      <c r="B8" s="11" t="s">
        <v>57</v>
      </c>
      <c r="C8" s="26">
        <f t="shared" si="0"/>
        <v>1.4</v>
      </c>
      <c r="D8" s="26">
        <f t="shared" si="0"/>
        <v>0</v>
      </c>
      <c r="E8" s="42">
        <f t="shared" si="1"/>
        <v>8.8084803861909408E-3</v>
      </c>
      <c r="F8" s="42">
        <f t="shared" si="1"/>
        <v>0</v>
      </c>
      <c r="G8" s="32">
        <f t="shared" si="2"/>
        <v>1.2331872540667317E-2</v>
      </c>
      <c r="H8" s="32">
        <f t="shared" si="2"/>
        <v>0</v>
      </c>
      <c r="I8" s="32">
        <f>G8+H8</f>
        <v>1.2331872540667317E-2</v>
      </c>
    </row>
    <row r="9" spans="1:14" ht="26.25" thickBot="1" x14ac:dyDescent="0.3">
      <c r="B9" s="11" t="s">
        <v>56</v>
      </c>
      <c r="C9" s="26">
        <f t="shared" si="0"/>
        <v>0</v>
      </c>
      <c r="D9" s="26">
        <f t="shared" si="0"/>
        <v>1</v>
      </c>
      <c r="E9" s="42">
        <f t="shared" si="1"/>
        <v>0</v>
      </c>
      <c r="F9" s="42">
        <f t="shared" si="1"/>
        <v>0</v>
      </c>
      <c r="G9" s="32">
        <f t="shared" si="2"/>
        <v>0</v>
      </c>
      <c r="H9" s="32">
        <f t="shared" si="2"/>
        <v>0</v>
      </c>
      <c r="I9" s="32">
        <f>G9+H9</f>
        <v>0</v>
      </c>
    </row>
    <row r="10" spans="1:14" ht="26.25" thickBot="1" x14ac:dyDescent="0.3">
      <c r="B10" s="11" t="s">
        <v>22</v>
      </c>
      <c r="C10" s="26">
        <f t="shared" si="0"/>
        <v>5.4651162790697674</v>
      </c>
      <c r="D10" s="26">
        <f t="shared" si="0"/>
        <v>1.0930232558139534</v>
      </c>
      <c r="E10" s="42">
        <f t="shared" si="1"/>
        <v>1.0097214330065331E-2</v>
      </c>
      <c r="F10" s="42">
        <f t="shared" si="1"/>
        <v>0</v>
      </c>
      <c r="G10" s="32">
        <f t="shared" si="2"/>
        <v>5.5182450408496578E-2</v>
      </c>
      <c r="H10" s="32">
        <f t="shared" si="2"/>
        <v>0</v>
      </c>
      <c r="I10" s="32">
        <f>G10+H10</f>
        <v>5.5182450408496578E-2</v>
      </c>
      <c r="N10" s="31"/>
    </row>
    <row r="11" spans="1:14" ht="15.75" thickBot="1" x14ac:dyDescent="0.3">
      <c r="B11" s="11"/>
      <c r="C11" s="12"/>
      <c r="D11" s="12"/>
      <c r="E11" s="42"/>
      <c r="F11" s="42"/>
      <c r="G11" s="32"/>
      <c r="H11" s="32"/>
      <c r="I11" s="32"/>
    </row>
    <row r="12" spans="1:14" ht="15.75" thickBot="1" x14ac:dyDescent="0.3">
      <c r="B12" s="11" t="s">
        <v>9</v>
      </c>
      <c r="C12" s="29" t="e">
        <f>G44</f>
        <v>#REF!</v>
      </c>
      <c r="D12" s="29" t="e">
        <f>H44</f>
        <v>#REF!</v>
      </c>
      <c r="E12" s="42" t="e">
        <f>L75/1000</f>
        <v>#VALUE!</v>
      </c>
      <c r="F12" s="42" t="e">
        <f>M75/1000</f>
        <v>#VALUE!</v>
      </c>
      <c r="G12" s="32" t="e">
        <f>C12*E12</f>
        <v>#REF!</v>
      </c>
      <c r="H12" s="32" t="e">
        <f>D12*F12</f>
        <v>#REF!</v>
      </c>
      <c r="I12" s="32" t="e">
        <f>G12+H12</f>
        <v>#REF!</v>
      </c>
    </row>
    <row r="13" spans="1:14" ht="15.75" thickBot="1" x14ac:dyDescent="0.3">
      <c r="B13" s="11" t="s">
        <v>185</v>
      </c>
      <c r="C13" s="29" t="e">
        <f>G45</f>
        <v>#REF!</v>
      </c>
      <c r="D13" s="29" t="e">
        <f>H45</f>
        <v>#REF!</v>
      </c>
      <c r="E13" s="42" t="e">
        <f>L76/1000</f>
        <v>#VALUE!</v>
      </c>
      <c r="F13" s="42" t="e">
        <f>M76/1000</f>
        <v>#VALUE!</v>
      </c>
      <c r="G13" s="32" t="e">
        <f>C13*E13</f>
        <v>#REF!</v>
      </c>
      <c r="H13" s="32" t="e">
        <f>D13*F13</f>
        <v>#REF!</v>
      </c>
      <c r="I13" s="32" t="e">
        <f>G13+H13</f>
        <v>#REF!</v>
      </c>
    </row>
    <row r="14" spans="1:14" ht="15.75" thickBot="1" x14ac:dyDescent="0.3"/>
    <row r="15" spans="1:14" ht="15" customHeight="1" x14ac:dyDescent="0.25">
      <c r="A15" t="s">
        <v>182</v>
      </c>
      <c r="B15" s="16"/>
      <c r="C15" s="97" t="s">
        <v>54</v>
      </c>
      <c r="D15" s="99"/>
      <c r="E15" s="97" t="s">
        <v>55</v>
      </c>
      <c r="F15" s="99"/>
      <c r="G15" s="97" t="s">
        <v>57</v>
      </c>
      <c r="H15" s="99"/>
      <c r="I15" s="97" t="s">
        <v>56</v>
      </c>
      <c r="J15" s="99"/>
      <c r="K15" s="97" t="s">
        <v>22</v>
      </c>
      <c r="L15" s="99"/>
      <c r="M15" s="19"/>
      <c r="N15" s="57"/>
    </row>
    <row r="16" spans="1:14" ht="15.75" thickBot="1" x14ac:dyDescent="0.3">
      <c r="B16" s="17"/>
      <c r="C16" s="103"/>
      <c r="D16" s="105"/>
      <c r="E16" s="103"/>
      <c r="F16" s="105"/>
      <c r="G16" s="103"/>
      <c r="H16" s="105"/>
      <c r="I16" s="103"/>
      <c r="J16" s="105"/>
      <c r="K16" s="103"/>
      <c r="L16" s="105"/>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185</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v>0.15035114714996428</v>
      </c>
      <c r="D28" s="45">
        <v>0.13692864276036304</v>
      </c>
      <c r="E28" s="48">
        <v>0.24654371080880327</v>
      </c>
      <c r="F28" s="45">
        <v>0.15169533961757323</v>
      </c>
      <c r="G28" s="48">
        <v>0.19193926075918544</v>
      </c>
      <c r="H28" s="45">
        <v>0.31404464669536269</v>
      </c>
      <c r="I28" s="48">
        <v>1.7665645740714379E-2</v>
      </c>
      <c r="J28" s="45">
        <v>4.6096243556262927E-2</v>
      </c>
      <c r="K28" s="48">
        <v>0.17602230968709637</v>
      </c>
      <c r="L28" s="45">
        <v>0.17986247001610783</v>
      </c>
      <c r="M28" s="48">
        <v>0</v>
      </c>
      <c r="N28" s="48">
        <v>0</v>
      </c>
    </row>
    <row r="29" spans="2:14" ht="15.75" thickBot="1" x14ac:dyDescent="0.3">
      <c r="B29" s="44">
        <v>35</v>
      </c>
      <c r="C29" s="48">
        <v>7.556624822123012E-2</v>
      </c>
      <c r="D29" s="45">
        <v>4.7080788104326782E-2</v>
      </c>
      <c r="E29" s="48">
        <v>0.43245785880550353</v>
      </c>
      <c r="F29" s="45">
        <v>0.14215558173023635</v>
      </c>
      <c r="G29" s="48">
        <v>0.50745043985905058</v>
      </c>
      <c r="H29" s="45">
        <v>0.20826161691130313</v>
      </c>
      <c r="I29" s="48">
        <v>2.9567436415221304E-2</v>
      </c>
      <c r="J29" s="45">
        <v>0.13320948692011367</v>
      </c>
      <c r="K29" s="48">
        <v>0.30830704626560135</v>
      </c>
      <c r="L29" s="45">
        <v>0.1445229721667462</v>
      </c>
      <c r="M29" s="48">
        <v>0</v>
      </c>
      <c r="N29" s="48">
        <v>0</v>
      </c>
    </row>
    <row r="30" spans="2:14" ht="15.75" thickBot="1" x14ac:dyDescent="0.3">
      <c r="B30" s="44">
        <v>36</v>
      </c>
      <c r="C30" s="48">
        <v>5.0968850922538805E-2</v>
      </c>
      <c r="D30" s="47">
        <v>2.5861518752717968E-2</v>
      </c>
      <c r="E30" s="48">
        <v>0.1891940696505745</v>
      </c>
      <c r="F30" s="47">
        <v>4.1776588079272772E-2</v>
      </c>
      <c r="G30" s="48">
        <v>0</v>
      </c>
      <c r="H30" s="47">
        <v>0</v>
      </c>
      <c r="I30" s="48">
        <v>7.3478797825860809E-2</v>
      </c>
      <c r="J30" s="47">
        <v>0</v>
      </c>
      <c r="K30" s="48">
        <v>7.562728399097135E-2</v>
      </c>
      <c r="L30" s="47">
        <v>1.7958192604180613E-2</v>
      </c>
      <c r="M30" s="48" t="s">
        <v>235</v>
      </c>
      <c r="N30" s="46" t="s">
        <v>235</v>
      </c>
    </row>
    <row r="31" spans="2:14" ht="15.75" thickBot="1" x14ac:dyDescent="0.3">
      <c r="B31" s="44">
        <v>37</v>
      </c>
      <c r="C31" s="48">
        <v>5.3693146389455243E-2</v>
      </c>
      <c r="D31" s="48">
        <v>4.6546275256811681E-2</v>
      </c>
      <c r="E31" s="48">
        <v>0.13730770514663312</v>
      </c>
      <c r="F31" s="48">
        <v>2.5208000000000001E-2</v>
      </c>
      <c r="G31" s="48">
        <v>1.2331872540667317E-2</v>
      </c>
      <c r="H31" s="48">
        <v>1.35E-2</v>
      </c>
      <c r="I31" s="48">
        <v>0</v>
      </c>
      <c r="J31" s="48">
        <v>0</v>
      </c>
      <c r="K31" s="48">
        <v>5.5182450408496578E-2</v>
      </c>
      <c r="L31" s="48">
        <v>2.0049168233544599E-2</v>
      </c>
      <c r="M31" s="46" t="s">
        <v>235</v>
      </c>
      <c r="N31" s="46" t="s">
        <v>235</v>
      </c>
    </row>
    <row r="32" spans="2:14" ht="15.75" thickBot="1" x14ac:dyDescent="0.3"/>
    <row r="33" spans="1:14" x14ac:dyDescent="0.25">
      <c r="A33" t="s">
        <v>49</v>
      </c>
      <c r="B33" s="4"/>
      <c r="C33" s="110" t="s">
        <v>25</v>
      </c>
      <c r="D33" s="111"/>
      <c r="E33" s="112"/>
      <c r="F33" s="15"/>
      <c r="G33" s="110" t="s">
        <v>28</v>
      </c>
      <c r="H33" s="111"/>
      <c r="I33" s="112"/>
    </row>
    <row r="34" spans="1:14" ht="38.25" x14ac:dyDescent="0.25">
      <c r="B34" s="5"/>
      <c r="C34" s="113" t="s">
        <v>26</v>
      </c>
      <c r="D34" s="114"/>
      <c r="E34" s="115"/>
      <c r="F34" s="14" t="s">
        <v>27</v>
      </c>
      <c r="G34" s="113"/>
      <c r="H34" s="116"/>
      <c r="I34" s="115"/>
    </row>
    <row r="35" spans="1:14" ht="15.75" thickBot="1" x14ac:dyDescent="0.3">
      <c r="B35" s="5"/>
      <c r="C35" s="107"/>
      <c r="D35" s="108"/>
      <c r="E35" s="109"/>
      <c r="F35" s="22"/>
      <c r="G35" s="117"/>
      <c r="H35" s="118"/>
      <c r="I35" s="119"/>
    </row>
    <row r="36" spans="1:14" x14ac:dyDescent="0.25">
      <c r="B36" s="5" t="s">
        <v>10</v>
      </c>
      <c r="C36" s="120" t="s">
        <v>15</v>
      </c>
      <c r="D36" s="120" t="s">
        <v>16</v>
      </c>
      <c r="E36" s="122" t="s">
        <v>29</v>
      </c>
      <c r="F36" s="22"/>
      <c r="G36" s="124" t="s">
        <v>30</v>
      </c>
      <c r="H36" s="124" t="s">
        <v>31</v>
      </c>
      <c r="I36" s="27" t="s">
        <v>20</v>
      </c>
    </row>
    <row r="37" spans="1:14" ht="15.75" thickBot="1" x14ac:dyDescent="0.3">
      <c r="B37" s="6"/>
      <c r="C37" s="121"/>
      <c r="D37" s="121"/>
      <c r="E37" s="123"/>
      <c r="F37" s="13"/>
      <c r="G37" s="125"/>
      <c r="H37" s="125"/>
      <c r="I37" s="28" t="s">
        <v>32</v>
      </c>
    </row>
    <row r="38" spans="1:14" ht="26.25" thickBot="1" x14ac:dyDescent="0.3">
      <c r="B38" s="11" t="s">
        <v>54</v>
      </c>
      <c r="C38" s="53">
        <f>'Total Number Of Ind'!H7</f>
        <v>33</v>
      </c>
      <c r="D38" s="53">
        <f>'Total Number Of Ind'!I7</f>
        <v>17</v>
      </c>
      <c r="E38" s="53">
        <f>C38+D38</f>
        <v>50</v>
      </c>
      <c r="F38" s="53">
        <v>9</v>
      </c>
      <c r="G38" s="26">
        <f>C38/F38</f>
        <v>3.6666666666666665</v>
      </c>
      <c r="H38" s="26">
        <f>D38/F38</f>
        <v>1.8888888888888888</v>
      </c>
      <c r="I38" s="26">
        <f>E38/F38</f>
        <v>5.5555555555555554</v>
      </c>
    </row>
    <row r="39" spans="1:14" ht="26.25" thickBot="1" x14ac:dyDescent="0.3">
      <c r="B39" s="11" t="s">
        <v>55</v>
      </c>
      <c r="C39" s="53">
        <f>'Total Number Of Ind'!H6</f>
        <v>181</v>
      </c>
      <c r="D39" s="53">
        <f>'Total Number Of Ind'!I6</f>
        <v>21</v>
      </c>
      <c r="E39" s="53">
        <f>C39+D39</f>
        <v>202</v>
      </c>
      <c r="F39" s="53">
        <v>10</v>
      </c>
      <c r="G39" s="26">
        <f t="shared" ref="G39:G44" si="3">C39/F39</f>
        <v>18.100000000000001</v>
      </c>
      <c r="H39" s="26">
        <f>D39/F39</f>
        <v>2.1</v>
      </c>
      <c r="I39" s="26">
        <f>E39/F39</f>
        <v>20.2</v>
      </c>
    </row>
    <row r="40" spans="1:14" ht="26.25" thickBot="1" x14ac:dyDescent="0.3">
      <c r="B40" s="11" t="s">
        <v>57</v>
      </c>
      <c r="C40" s="53">
        <f>'Total Number Of Ind'!H8</f>
        <v>21</v>
      </c>
      <c r="D40" s="53">
        <f>'Total Number Of Ind'!I8</f>
        <v>0</v>
      </c>
      <c r="E40" s="53">
        <f>C40+D40</f>
        <v>21</v>
      </c>
      <c r="F40" s="53">
        <v>15</v>
      </c>
      <c r="G40" s="26">
        <f t="shared" si="3"/>
        <v>1.4</v>
      </c>
      <c r="H40" s="26">
        <f>D40/F40</f>
        <v>0</v>
      </c>
      <c r="I40" s="26">
        <f>E40/F40</f>
        <v>1.4</v>
      </c>
    </row>
    <row r="41" spans="1:14" ht="26.25" thickBot="1" x14ac:dyDescent="0.3">
      <c r="B41" s="11" t="s">
        <v>56</v>
      </c>
      <c r="C41" s="53">
        <f>'Total Number Of Ind'!H9</f>
        <v>0</v>
      </c>
      <c r="D41" s="53">
        <f>'Total Number Of Ind'!I9</f>
        <v>9</v>
      </c>
      <c r="E41" s="53">
        <f>C41+D41</f>
        <v>9</v>
      </c>
      <c r="F41" s="53">
        <v>9</v>
      </c>
      <c r="G41" s="26">
        <f t="shared" si="3"/>
        <v>0</v>
      </c>
      <c r="H41" s="26">
        <f>D41/F41</f>
        <v>1</v>
      </c>
      <c r="I41" s="26">
        <f>E41/F41</f>
        <v>1</v>
      </c>
    </row>
    <row r="42" spans="1:14" ht="26.25" thickBot="1" x14ac:dyDescent="0.3">
      <c r="B42" s="11" t="s">
        <v>22</v>
      </c>
      <c r="C42" s="53">
        <f>SUM(C38:C41)</f>
        <v>235</v>
      </c>
      <c r="D42" s="53">
        <f>SUM(D38:D41)</f>
        <v>47</v>
      </c>
      <c r="E42" s="53">
        <f>SUM(E38:E41)</f>
        <v>282</v>
      </c>
      <c r="F42" s="53">
        <f>SUM(F38:F41)</f>
        <v>43</v>
      </c>
      <c r="G42" s="26">
        <f t="shared" si="3"/>
        <v>5.4651162790697674</v>
      </c>
      <c r="H42" s="26">
        <f>D42/F42</f>
        <v>1.0930232558139534</v>
      </c>
      <c r="I42" s="26">
        <f>E42/F42</f>
        <v>6.558139534883721</v>
      </c>
    </row>
    <row r="43" spans="1:14" ht="15.75" thickBot="1" x14ac:dyDescent="0.3">
      <c r="B43" s="11"/>
      <c r="C43" s="53"/>
      <c r="D43" s="53"/>
      <c r="E43" s="53"/>
      <c r="F43" s="53"/>
      <c r="G43" s="26"/>
      <c r="H43" s="26"/>
      <c r="I43" s="26"/>
    </row>
    <row r="44" spans="1:14" ht="15.75" thickBot="1" x14ac:dyDescent="0.3">
      <c r="B44" s="11" t="s">
        <v>9</v>
      </c>
      <c r="C44" s="53" t="e">
        <f>'Total Number Of Ind'!H5</f>
        <v>#REF!</v>
      </c>
      <c r="D44" s="53" t="e">
        <f>'Total Number Of Ind'!I5</f>
        <v>#REF!</v>
      </c>
      <c r="E44" s="53" t="e">
        <f>C44+D44</f>
        <v>#REF!</v>
      </c>
      <c r="F44" s="53">
        <v>0</v>
      </c>
      <c r="G44" s="26" t="e">
        <f t="shared" si="3"/>
        <v>#REF!</v>
      </c>
      <c r="H44" s="26" t="e">
        <f>D44/F44</f>
        <v>#REF!</v>
      </c>
      <c r="I44" s="26" t="e">
        <f>E44/F44</f>
        <v>#REF!</v>
      </c>
    </row>
    <row r="45" spans="1:14" ht="15.75" thickBot="1" x14ac:dyDescent="0.3">
      <c r="B45" s="11" t="s">
        <v>185</v>
      </c>
      <c r="C45" s="53" t="e">
        <f>'Total Number Of Ind'!H10</f>
        <v>#REF!</v>
      </c>
      <c r="D45" s="53" t="e">
        <f>'Total Number Of Ind'!I10</f>
        <v>#REF!</v>
      </c>
      <c r="E45" s="53" t="e">
        <f>C45+D45</f>
        <v>#REF!</v>
      </c>
      <c r="F45" s="53">
        <v>0</v>
      </c>
      <c r="G45" s="26" t="e">
        <f>C45/F45</f>
        <v>#REF!</v>
      </c>
      <c r="H45" s="26" t="e">
        <f>D45/F45</f>
        <v>#REF!</v>
      </c>
      <c r="I45" s="26" t="e">
        <f>E45/F45</f>
        <v>#REF!</v>
      </c>
    </row>
    <row r="46" spans="1:14" ht="15.75" thickBot="1" x14ac:dyDescent="0.3"/>
    <row r="47" spans="1:14" x14ac:dyDescent="0.25">
      <c r="A47" t="s">
        <v>50</v>
      </c>
      <c r="B47" s="16"/>
      <c r="C47" s="97" t="s">
        <v>54</v>
      </c>
      <c r="D47" s="99"/>
      <c r="E47" s="97" t="s">
        <v>55</v>
      </c>
      <c r="F47" s="99"/>
      <c r="G47" s="97" t="s">
        <v>57</v>
      </c>
      <c r="H47" s="99"/>
      <c r="I47" s="97" t="s">
        <v>56</v>
      </c>
      <c r="J47" s="99"/>
      <c r="K47" s="97" t="s">
        <v>22</v>
      </c>
      <c r="L47" s="99"/>
      <c r="M47" s="19"/>
      <c r="N47" s="57"/>
    </row>
    <row r="48" spans="1:14" ht="15.75" thickBot="1" x14ac:dyDescent="0.3">
      <c r="B48" s="17"/>
      <c r="C48" s="103"/>
      <c r="D48" s="105"/>
      <c r="E48" s="103"/>
      <c r="F48" s="105"/>
      <c r="G48" s="103"/>
      <c r="H48" s="105"/>
      <c r="I48" s="103"/>
      <c r="J48" s="105"/>
      <c r="K48" s="103"/>
      <c r="L48" s="105"/>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185</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v>20.666666666666668</v>
      </c>
      <c r="D60" s="49">
        <v>19.157031746031741</v>
      </c>
      <c r="E60" s="30">
        <v>37.299999999999997</v>
      </c>
      <c r="F60" s="49">
        <v>41.746212121212125</v>
      </c>
      <c r="G60" s="30">
        <v>23</v>
      </c>
      <c r="H60" s="49">
        <v>24.611904761904761</v>
      </c>
      <c r="I60" s="30">
        <v>7.7777777777777777</v>
      </c>
      <c r="J60" s="49">
        <v>6.8003333333333327</v>
      </c>
      <c r="K60" s="30">
        <v>22.651162790697676</v>
      </c>
      <c r="L60" s="49">
        <v>25.011849640077763</v>
      </c>
      <c r="M60" s="30">
        <v>12.684210526315789</v>
      </c>
      <c r="N60" s="30">
        <v>10.25</v>
      </c>
    </row>
    <row r="61" spans="1:14" ht="15.75" thickBot="1" x14ac:dyDescent="0.3">
      <c r="B61" s="18">
        <v>35</v>
      </c>
      <c r="C61" s="30">
        <v>13.333333333333334</v>
      </c>
      <c r="D61" s="49">
        <v>8.7274444444444441</v>
      </c>
      <c r="E61" s="30">
        <v>49.4</v>
      </c>
      <c r="F61" s="49">
        <v>18.967388167388165</v>
      </c>
      <c r="G61" s="30">
        <v>15.266666666666667</v>
      </c>
      <c r="H61" s="49">
        <v>12.713290043290044</v>
      </c>
      <c r="I61" s="30">
        <v>2.5555555555555554</v>
      </c>
      <c r="J61" s="49">
        <v>3.7185396825396828</v>
      </c>
      <c r="K61" s="30">
        <v>20.13953488372093</v>
      </c>
      <c r="L61" s="49">
        <v>11.601285362462235</v>
      </c>
      <c r="M61" s="30">
        <v>13.810810810810811</v>
      </c>
      <c r="N61" s="30">
        <v>8.5</v>
      </c>
    </row>
    <row r="62" spans="1:14" ht="15.75" thickBot="1" x14ac:dyDescent="0.3">
      <c r="B62" s="18">
        <v>36</v>
      </c>
      <c r="C62" s="30">
        <v>13.444444444444445</v>
      </c>
      <c r="D62" s="50">
        <v>11.002222222222221</v>
      </c>
      <c r="E62" s="30">
        <v>53.6</v>
      </c>
      <c r="F62" s="50">
        <v>22.15</v>
      </c>
      <c r="G62" s="30">
        <v>6.7333333333333334</v>
      </c>
      <c r="H62" s="50">
        <v>6.7316666666666665</v>
      </c>
      <c r="I62" s="30">
        <v>3.1111111111111112</v>
      </c>
      <c r="J62" s="50">
        <v>3.1111111111111112</v>
      </c>
      <c r="K62" s="30">
        <v>18.279069767441861</v>
      </c>
      <c r="L62" s="50">
        <v>10.453837209302325</v>
      </c>
      <c r="M62" s="30">
        <v>33.25</v>
      </c>
      <c r="N62" s="59" t="s">
        <v>235</v>
      </c>
    </row>
    <row r="63" spans="1:14" ht="15.75" thickBot="1" x14ac:dyDescent="0.3">
      <c r="B63" s="18">
        <v>37</v>
      </c>
      <c r="C63" s="30">
        <v>5.5555555555555554</v>
      </c>
      <c r="D63" s="50">
        <v>12.057777777777778</v>
      </c>
      <c r="E63" s="30">
        <v>20.2</v>
      </c>
      <c r="F63" s="50">
        <v>10.600000000000001</v>
      </c>
      <c r="G63" s="30">
        <v>1.4</v>
      </c>
      <c r="H63" s="50">
        <v>4.8016666666666667</v>
      </c>
      <c r="I63" s="30">
        <v>1</v>
      </c>
      <c r="J63" s="50">
        <v>1.5572222222222223</v>
      </c>
      <c r="K63" s="30">
        <v>6.558139534883721</v>
      </c>
      <c r="L63" s="50">
        <v>6.9883720930232558</v>
      </c>
      <c r="M63" s="21" t="s">
        <v>235</v>
      </c>
      <c r="N63" s="59" t="s">
        <v>235</v>
      </c>
    </row>
    <row r="64" spans="1:14" ht="15.75" thickBot="1" x14ac:dyDescent="0.3"/>
    <row r="65" spans="1:20" x14ac:dyDescent="0.25">
      <c r="A65" t="s">
        <v>51</v>
      </c>
      <c r="B65" s="16"/>
      <c r="C65" s="97" t="s">
        <v>34</v>
      </c>
      <c r="D65" s="98"/>
      <c r="E65" s="99"/>
      <c r="F65" s="97" t="s">
        <v>35</v>
      </c>
      <c r="G65" s="98"/>
      <c r="H65" s="99"/>
      <c r="I65" s="97" t="s">
        <v>33</v>
      </c>
      <c r="J65" s="98"/>
      <c r="K65" s="99"/>
      <c r="L65" s="97" t="s">
        <v>37</v>
      </c>
      <c r="M65" s="98"/>
      <c r="N65" s="99"/>
      <c r="Q65" s="55"/>
      <c r="R65" s="65"/>
    </row>
    <row r="66" spans="1:20" x14ac:dyDescent="0.25">
      <c r="B66" s="17"/>
      <c r="C66" s="100"/>
      <c r="D66" s="101"/>
      <c r="E66" s="102"/>
      <c r="F66" s="100"/>
      <c r="G66" s="101"/>
      <c r="H66" s="102"/>
      <c r="I66" s="100" t="s">
        <v>36</v>
      </c>
      <c r="J66" s="106"/>
      <c r="K66" s="102"/>
      <c r="L66" s="100"/>
      <c r="M66" s="101"/>
      <c r="N66" s="102"/>
      <c r="Q66" s="55"/>
      <c r="R66" s="65"/>
    </row>
    <row r="67" spans="1:20" ht="15.75" thickBot="1" x14ac:dyDescent="0.3">
      <c r="B67" s="17"/>
      <c r="C67" s="103"/>
      <c r="D67" s="104"/>
      <c r="E67" s="105"/>
      <c r="F67" s="103"/>
      <c r="G67" s="104"/>
      <c r="H67" s="105"/>
      <c r="I67" s="107"/>
      <c r="J67" s="108"/>
      <c r="K67" s="109"/>
      <c r="L67" s="103"/>
      <c r="M67" s="104"/>
      <c r="N67" s="105"/>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159</v>
      </c>
      <c r="D69" s="53">
        <f>'Total Number Ind Examined '!J8</f>
        <v>17</v>
      </c>
      <c r="E69" s="53">
        <f>C69+D69</f>
        <v>176</v>
      </c>
      <c r="F69" s="54">
        <f>'Total Number of Pools Examined'!H8</f>
        <v>7</v>
      </c>
      <c r="G69" s="54">
        <f>'Total Number of Pools Examined'!I8</f>
        <v>4</v>
      </c>
      <c r="H69" s="54">
        <f>F69+G69</f>
        <v>11</v>
      </c>
      <c r="I69" s="54">
        <f>'Total Number of WNV + Pools'!G7</f>
        <v>2</v>
      </c>
      <c r="J69" s="54">
        <f>'Total Number of WNV + Pools'!H7</f>
        <v>0</v>
      </c>
      <c r="K69" s="54">
        <f>'Total Number of WNV + Pools'!I7</f>
        <v>2</v>
      </c>
      <c r="L69" s="30">
        <f>ZONEINFRATE!C2</f>
        <v>14.64358537894234</v>
      </c>
      <c r="M69" s="30">
        <f>ZONEINFRATE!C3</f>
        <v>0</v>
      </c>
      <c r="N69" s="30">
        <v>13.244824064374818</v>
      </c>
      <c r="P69" t="s">
        <v>180</v>
      </c>
      <c r="R69" s="31"/>
      <c r="S69" s="31"/>
      <c r="T69" s="31"/>
    </row>
    <row r="70" spans="1:20" ht="24.75" thickBot="1" x14ac:dyDescent="0.3">
      <c r="B70" s="18" t="s">
        <v>55</v>
      </c>
      <c r="C70" s="53">
        <f>'Total Number Ind Examined '!I7</f>
        <v>277</v>
      </c>
      <c r="D70" s="53">
        <f>'Total Number Ind Examined '!J7</f>
        <v>21</v>
      </c>
      <c r="E70" s="53">
        <f>C70+D70</f>
        <v>298</v>
      </c>
      <c r="F70" s="54">
        <f>'Total Number of Pools Examined'!H7</f>
        <v>10</v>
      </c>
      <c r="G70" s="54">
        <f>'Total Number of Pools Examined'!I7</f>
        <v>4</v>
      </c>
      <c r="H70" s="54">
        <f>F70+G70</f>
        <v>14</v>
      </c>
      <c r="I70" s="54">
        <f>'Total Number of WNV + Pools'!G8</f>
        <v>2</v>
      </c>
      <c r="J70" s="54">
        <f>'Total Number of WNV + Pools'!H8</f>
        <v>0</v>
      </c>
      <c r="K70" s="54">
        <f>'Total Number of WNV + Pools'!I8</f>
        <v>2</v>
      </c>
      <c r="L70" s="30">
        <f>ZONEINFRATE!C4</f>
        <v>7.5860610578250345</v>
      </c>
      <c r="M70" s="30">
        <f>ZONEINFRATE!C5</f>
        <v>0</v>
      </c>
      <c r="N70" s="30">
        <v>7.0657011975831763</v>
      </c>
      <c r="R70" s="31"/>
      <c r="S70" s="31"/>
      <c r="T70" s="31"/>
    </row>
    <row r="71" spans="1:20" ht="24.75" thickBot="1" x14ac:dyDescent="0.3">
      <c r="B71" s="18" t="s">
        <v>57</v>
      </c>
      <c r="C71" s="53">
        <f>'Total Number Ind Examined '!I9</f>
        <v>238</v>
      </c>
      <c r="D71" s="53">
        <f>'Total Number Ind Examined '!J9</f>
        <v>0</v>
      </c>
      <c r="E71" s="53">
        <f>C71+D71</f>
        <v>238</v>
      </c>
      <c r="F71" s="54">
        <f>'Total Number of Pools Examined'!H9</f>
        <v>12</v>
      </c>
      <c r="G71" s="54">
        <f>'Total Number of Pools Examined'!I9</f>
        <v>0</v>
      </c>
      <c r="H71" s="54">
        <f>F71+G71</f>
        <v>12</v>
      </c>
      <c r="I71" s="54">
        <f>'Total Number of WNV + Pools'!G9</f>
        <v>2</v>
      </c>
      <c r="J71" s="54">
        <f>'Total Number of WNV + Pools'!H9</f>
        <v>0</v>
      </c>
      <c r="K71" s="54">
        <f>'Total Number of WNV + Pools'!I9</f>
        <v>2</v>
      </c>
      <c r="L71" s="30">
        <f>ZONEINFRATE!C6</f>
        <v>8.80848038619094</v>
      </c>
      <c r="M71" s="30">
        <f>ZONEINFRATE!C7</f>
        <v>0</v>
      </c>
      <c r="N71" s="30">
        <v>8.80848038619094</v>
      </c>
      <c r="R71" s="31"/>
      <c r="S71" s="31"/>
      <c r="T71" s="31"/>
    </row>
    <row r="72" spans="1:20" ht="24.75" thickBot="1" x14ac:dyDescent="0.3">
      <c r="B72" s="18" t="s">
        <v>56</v>
      </c>
      <c r="C72" s="53">
        <f>'Total Number Ind Examined '!I10</f>
        <v>10</v>
      </c>
      <c r="D72" s="53">
        <f>'Total Number Ind Examined '!J10</f>
        <v>9</v>
      </c>
      <c r="E72" s="53">
        <f>C72+D72</f>
        <v>19</v>
      </c>
      <c r="F72" s="54">
        <f>'Total Number of Pools Examined'!H10</f>
        <v>1</v>
      </c>
      <c r="G72" s="54">
        <f>'Total Number of Pools Examined'!I10</f>
        <v>2</v>
      </c>
      <c r="H72" s="54">
        <f>F72+G72</f>
        <v>3</v>
      </c>
      <c r="I72" s="54">
        <f>'Total Number of WNV + Pools'!G10</f>
        <v>0</v>
      </c>
      <c r="J72" s="54">
        <f>'Total Number of WNV + Pools'!H10</f>
        <v>0</v>
      </c>
      <c r="K72" s="54">
        <f>'Total Number of WNV + Pools'!I10</f>
        <v>0</v>
      </c>
      <c r="L72" s="30">
        <f>ZONEINFRATE!C8</f>
        <v>0</v>
      </c>
      <c r="M72" s="30">
        <f>ZONEINFRATE!C9</f>
        <v>0</v>
      </c>
      <c r="N72" s="30">
        <v>0</v>
      </c>
      <c r="R72" s="31"/>
      <c r="S72" s="31"/>
      <c r="T72" s="31"/>
    </row>
    <row r="73" spans="1:20" ht="24.75" thickBot="1" x14ac:dyDescent="0.3">
      <c r="B73" s="18" t="s">
        <v>22</v>
      </c>
      <c r="C73" s="53">
        <f>SUM(C69:C72)</f>
        <v>684</v>
      </c>
      <c r="D73" s="53">
        <f>SUM(D69:D72)</f>
        <v>47</v>
      </c>
      <c r="E73" s="53">
        <f>C73+D73</f>
        <v>731</v>
      </c>
      <c r="F73" s="54">
        <f t="shared" ref="F73:K73" si="4">SUM(F69:F72)</f>
        <v>30</v>
      </c>
      <c r="G73" s="54">
        <f t="shared" si="4"/>
        <v>10</v>
      </c>
      <c r="H73" s="54">
        <f>F73+G73</f>
        <v>40</v>
      </c>
      <c r="I73" s="54">
        <f t="shared" si="4"/>
        <v>6</v>
      </c>
      <c r="J73" s="54">
        <f t="shared" si="4"/>
        <v>0</v>
      </c>
      <c r="K73" s="54">
        <f t="shared" si="4"/>
        <v>6</v>
      </c>
      <c r="L73" s="30">
        <f>CITYINFRATE!C2</f>
        <v>10.097214330065331</v>
      </c>
      <c r="M73" s="30">
        <f>CITYINFRATE!C3</f>
        <v>0</v>
      </c>
      <c r="N73" s="30">
        <v>9.3715271248322924</v>
      </c>
      <c r="P73" s="31" t="s">
        <v>179</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t="e">
        <f>'Total Number Ind Examined '!I6</f>
        <v>#REF!</v>
      </c>
      <c r="D75" s="54" t="e">
        <f>'Total Number Ind Examined '!J6</f>
        <v>#REF!</v>
      </c>
      <c r="E75" s="54" t="e">
        <f>C75+D75</f>
        <v>#REF!</v>
      </c>
      <c r="F75" s="54" t="e">
        <f>'Total Number of Pools Examined'!H6</f>
        <v>#REF!</v>
      </c>
      <c r="G75" s="54" t="e">
        <f>'Total Number of Pools Examined'!I6</f>
        <v>#REF!</v>
      </c>
      <c r="H75" s="54" t="e">
        <f>F75+G75</f>
        <v>#REF!</v>
      </c>
      <c r="I75" s="54" t="e">
        <f>'Total Number of WNV + Pools'!G11</f>
        <v>#REF!</v>
      </c>
      <c r="J75" s="54" t="e">
        <f>'Total Number of WNV + Pools'!H11</f>
        <v>#REF!</v>
      </c>
      <c r="K75" s="54" t="e">
        <f>I75+J75</f>
        <v>#REF!</v>
      </c>
      <c r="L75" s="30" t="str">
        <f>CITYINFRATE!C4</f>
        <v>N/A</v>
      </c>
      <c r="M75" s="30" t="str">
        <f>CITYINFRATE!C5</f>
        <v>N/A</v>
      </c>
      <c r="N75" s="30" t="s">
        <v>235</v>
      </c>
      <c r="R75" s="31"/>
      <c r="S75" s="31"/>
      <c r="T75" s="31"/>
    </row>
    <row r="76" spans="1:20" ht="15.75" thickBot="1" x14ac:dyDescent="0.3">
      <c r="B76" s="18" t="s">
        <v>185</v>
      </c>
      <c r="C76" s="54" t="e">
        <f>'Total Number Ind Examined '!I11</f>
        <v>#REF!</v>
      </c>
      <c r="D76" s="54" t="e">
        <f>'Total Number Ind Examined '!J11</f>
        <v>#REF!</v>
      </c>
      <c r="E76" s="54" t="e">
        <f>C76+D76</f>
        <v>#REF!</v>
      </c>
      <c r="F76" s="54" t="e">
        <f>'Total Number of Pools Examined'!H11</f>
        <v>#REF!</v>
      </c>
      <c r="G76" s="54" t="e">
        <f>'Total Number of Pools Examined'!I11</f>
        <v>#REF!</v>
      </c>
      <c r="H76" s="54" t="e">
        <f>F76+G76</f>
        <v>#REF!</v>
      </c>
      <c r="I76" s="54" t="e">
        <f>'Total Number of WNV + Pools'!G12</f>
        <v>#REF!</v>
      </c>
      <c r="J76" s="54" t="e">
        <f>'Total Number of WNV + Pools'!H12</f>
        <v>#REF!</v>
      </c>
      <c r="K76" s="54" t="e">
        <f>I76+J76</f>
        <v>#REF!</v>
      </c>
      <c r="L76" s="30" t="str">
        <f>CITYINFRATE!C6</f>
        <v>N/A</v>
      </c>
      <c r="M76" s="30" t="str">
        <f>CITYINFRATE!C7</f>
        <v>N/A</v>
      </c>
      <c r="N76" s="30" t="s">
        <v>235</v>
      </c>
      <c r="R76" s="31"/>
      <c r="S76" s="31"/>
      <c r="T76" s="31"/>
    </row>
    <row r="77" spans="1:20" ht="15.75" thickBot="1" x14ac:dyDescent="0.3">
      <c r="R77" s="31"/>
      <c r="S77" s="65"/>
      <c r="T77" s="31"/>
    </row>
    <row r="78" spans="1:20" x14ac:dyDescent="0.25">
      <c r="A78" t="s">
        <v>52</v>
      </c>
      <c r="B78" s="16"/>
      <c r="C78" s="97" t="s">
        <v>54</v>
      </c>
      <c r="D78" s="99"/>
      <c r="E78" s="97" t="s">
        <v>55</v>
      </c>
      <c r="F78" s="99"/>
      <c r="G78" s="97" t="s">
        <v>57</v>
      </c>
      <c r="H78" s="99"/>
      <c r="I78" s="97" t="s">
        <v>56</v>
      </c>
      <c r="J78" s="99"/>
      <c r="K78" s="97" t="s">
        <v>22</v>
      </c>
      <c r="L78" s="99"/>
      <c r="M78" s="19"/>
      <c r="N78" s="57"/>
      <c r="S78" s="31"/>
    </row>
    <row r="79" spans="1:20" ht="15.75" thickBot="1" x14ac:dyDescent="0.3">
      <c r="B79" s="17"/>
      <c r="C79" s="103"/>
      <c r="D79" s="105"/>
      <c r="E79" s="103"/>
      <c r="F79" s="105"/>
      <c r="G79" s="103"/>
      <c r="H79" s="105"/>
      <c r="I79" s="103"/>
      <c r="J79" s="105"/>
      <c r="K79" s="103"/>
      <c r="L79" s="105"/>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185</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30">
        <v>10.145778845320248</v>
      </c>
      <c r="D91" s="51">
        <v>7.5146654315554207</v>
      </c>
      <c r="E91" s="30">
        <v>7.107480568477933</v>
      </c>
      <c r="F91" s="51">
        <v>4.2534614243031124</v>
      </c>
      <c r="G91" s="30">
        <v>10.540728375665005</v>
      </c>
      <c r="H91" s="51">
        <v>11.553235928058379</v>
      </c>
      <c r="I91" s="30">
        <v>7.5275706228040251</v>
      </c>
      <c r="J91" s="51">
        <v>10.434117019439311</v>
      </c>
      <c r="K91" s="30">
        <v>9.3654447012597473</v>
      </c>
      <c r="L91" s="51">
        <v>7.9367037472016841</v>
      </c>
      <c r="M91" s="30">
        <v>0</v>
      </c>
      <c r="N91" s="30">
        <v>0</v>
      </c>
      <c r="P91" s="31"/>
    </row>
    <row r="92" spans="2:16" ht="15.75" thickBot="1" x14ac:dyDescent="0.3">
      <c r="B92" s="18">
        <v>35</v>
      </c>
      <c r="C92" s="30">
        <v>6.6192941061907513</v>
      </c>
      <c r="D92" s="51">
        <v>9.6979924998127061</v>
      </c>
      <c r="E92" s="30">
        <v>9.094878647414701</v>
      </c>
      <c r="F92" s="51">
        <v>5.9920261646490811</v>
      </c>
      <c r="G92" s="30">
        <v>35.778171873396154</v>
      </c>
      <c r="H92" s="51">
        <v>15.630470474373897</v>
      </c>
      <c r="I92" s="30">
        <v>25.861259992026199</v>
      </c>
      <c r="J92" s="51">
        <v>45.885908436928389</v>
      </c>
      <c r="K92" s="30">
        <v>15.870961480433085</v>
      </c>
      <c r="L92" s="51">
        <v>11.121404412424742</v>
      </c>
      <c r="M92" s="30">
        <v>0</v>
      </c>
      <c r="N92" s="30">
        <v>0</v>
      </c>
    </row>
    <row r="93" spans="2:16" ht="15.75" thickBot="1" x14ac:dyDescent="0.3">
      <c r="B93" s="18">
        <v>36</v>
      </c>
      <c r="C93" s="30">
        <v>4.5752534114427048</v>
      </c>
      <c r="D93" s="52">
        <v>10.96</v>
      </c>
      <c r="E93" s="30">
        <v>3.2084508464397596</v>
      </c>
      <c r="F93" s="52">
        <v>2.4300000000000002</v>
      </c>
      <c r="G93" s="30">
        <v>0</v>
      </c>
      <c r="H93" s="52">
        <v>0</v>
      </c>
      <c r="I93" s="30">
        <v>28.168786062978594</v>
      </c>
      <c r="J93" s="52">
        <v>0</v>
      </c>
      <c r="K93" s="30">
        <v>4.0698373612725405</v>
      </c>
      <c r="L93" s="52">
        <v>1.68</v>
      </c>
      <c r="M93" s="30" t="s">
        <v>235</v>
      </c>
      <c r="N93" s="95" t="s">
        <v>235</v>
      </c>
    </row>
    <row r="94" spans="2:16" ht="15.75" thickBot="1" x14ac:dyDescent="0.3">
      <c r="B94" s="18">
        <v>37</v>
      </c>
      <c r="C94" s="30">
        <v>13.244824064374818</v>
      </c>
      <c r="D94" s="50">
        <v>2.2112860453990315</v>
      </c>
      <c r="E94" s="30">
        <v>7.0657011975831763</v>
      </c>
      <c r="F94" s="50">
        <v>2.52</v>
      </c>
      <c r="G94" s="30">
        <v>8.80848038619094</v>
      </c>
      <c r="H94" s="50">
        <v>1.85</v>
      </c>
      <c r="I94" s="30">
        <v>0</v>
      </c>
      <c r="J94" s="50">
        <v>0</v>
      </c>
      <c r="K94" s="30">
        <v>9.3715271248322924</v>
      </c>
      <c r="L94" s="50">
        <v>3.0122452035621778</v>
      </c>
      <c r="M94" s="95" t="s">
        <v>235</v>
      </c>
      <c r="N94" s="95" t="s">
        <v>235</v>
      </c>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A10" zoomScaleNormal="100" workbookViewId="0">
      <selection activeCell="G20" sqref="G20"/>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72">
        <v>2018</v>
      </c>
      <c r="B2" s="60" t="s">
        <v>236</v>
      </c>
      <c r="C2" s="60">
        <v>22473</v>
      </c>
      <c r="D2" s="61">
        <v>37</v>
      </c>
      <c r="E2" s="80">
        <v>43354</v>
      </c>
      <c r="F2" s="60" t="s">
        <v>103</v>
      </c>
      <c r="G2" s="60" t="s">
        <v>47</v>
      </c>
      <c r="H2" s="60" t="s">
        <v>140</v>
      </c>
      <c r="I2" s="56" t="s">
        <v>59</v>
      </c>
      <c r="J2" s="60" t="s">
        <v>105</v>
      </c>
      <c r="K2" s="60" t="s">
        <v>106</v>
      </c>
      <c r="L2" s="60" t="s">
        <v>199</v>
      </c>
      <c r="M2" s="60" t="s">
        <v>107</v>
      </c>
      <c r="N2" s="72"/>
      <c r="O2" s="72">
        <v>5</v>
      </c>
      <c r="P2" s="72">
        <v>5</v>
      </c>
      <c r="Q2" s="62">
        <v>0</v>
      </c>
      <c r="R2" s="56" t="s">
        <v>211</v>
      </c>
      <c r="T2" s="56" t="s">
        <v>214</v>
      </c>
      <c r="U2" s="56" t="s">
        <v>216</v>
      </c>
    </row>
    <row r="3" spans="1:28" s="56" customFormat="1" x14ac:dyDescent="0.2">
      <c r="A3" s="87">
        <v>2018</v>
      </c>
      <c r="B3" s="88" t="s">
        <v>237</v>
      </c>
      <c r="C3" s="88">
        <v>22474</v>
      </c>
      <c r="D3" s="89">
        <v>37</v>
      </c>
      <c r="E3" s="90">
        <v>43354</v>
      </c>
      <c r="F3" s="88" t="s">
        <v>103</v>
      </c>
      <c r="G3" s="88" t="s">
        <v>47</v>
      </c>
      <c r="H3" s="88" t="s">
        <v>233</v>
      </c>
      <c r="I3" s="91" t="s">
        <v>59</v>
      </c>
      <c r="J3" s="88" t="s">
        <v>111</v>
      </c>
      <c r="K3" s="88" t="s">
        <v>106</v>
      </c>
      <c r="L3" s="88" t="s">
        <v>200</v>
      </c>
      <c r="M3" s="88" t="s">
        <v>107</v>
      </c>
      <c r="N3" s="87">
        <v>50</v>
      </c>
      <c r="O3" s="87"/>
      <c r="P3" s="87">
        <v>50</v>
      </c>
      <c r="Q3" s="92">
        <v>1</v>
      </c>
      <c r="R3" s="91" t="s">
        <v>212</v>
      </c>
      <c r="S3" s="91"/>
      <c r="T3" s="91" t="s">
        <v>213</v>
      </c>
      <c r="U3" s="91" t="s">
        <v>215</v>
      </c>
    </row>
    <row r="4" spans="1:28" s="56" customFormat="1" x14ac:dyDescent="0.2">
      <c r="A4" s="72">
        <v>2018</v>
      </c>
      <c r="B4" s="60" t="s">
        <v>238</v>
      </c>
      <c r="C4" s="60">
        <v>22475</v>
      </c>
      <c r="D4" s="61">
        <v>37</v>
      </c>
      <c r="E4" s="80">
        <v>43354</v>
      </c>
      <c r="F4" s="60" t="s">
        <v>103</v>
      </c>
      <c r="G4" s="60" t="s">
        <v>47</v>
      </c>
      <c r="H4" s="60" t="s">
        <v>233</v>
      </c>
      <c r="I4" s="56" t="s">
        <v>59</v>
      </c>
      <c r="J4" s="60" t="s">
        <v>111</v>
      </c>
      <c r="K4" s="60" t="s">
        <v>106</v>
      </c>
      <c r="L4" s="60" t="s">
        <v>200</v>
      </c>
      <c r="M4" s="60" t="s">
        <v>107</v>
      </c>
      <c r="N4" s="72">
        <v>21</v>
      </c>
      <c r="O4" s="72"/>
      <c r="P4" s="72">
        <v>21</v>
      </c>
      <c r="Q4" s="62">
        <v>0</v>
      </c>
      <c r="R4" s="56" t="s">
        <v>211</v>
      </c>
      <c r="T4" s="56" t="s">
        <v>213</v>
      </c>
      <c r="U4" s="56" t="s">
        <v>215</v>
      </c>
    </row>
    <row r="5" spans="1:28" s="56" customFormat="1" x14ac:dyDescent="0.2">
      <c r="A5" s="72">
        <v>2018</v>
      </c>
      <c r="B5" s="60" t="s">
        <v>239</v>
      </c>
      <c r="C5" s="60">
        <v>22476</v>
      </c>
      <c r="D5" s="61">
        <v>37</v>
      </c>
      <c r="E5" s="80">
        <v>43354</v>
      </c>
      <c r="F5" s="60" t="s">
        <v>103</v>
      </c>
      <c r="G5" s="60" t="s">
        <v>47</v>
      </c>
      <c r="H5" s="60" t="s">
        <v>146</v>
      </c>
      <c r="I5" s="56" t="s">
        <v>59</v>
      </c>
      <c r="J5" s="60" t="s">
        <v>105</v>
      </c>
      <c r="K5" s="60" t="s">
        <v>106</v>
      </c>
      <c r="L5" s="60" t="s">
        <v>200</v>
      </c>
      <c r="M5" s="60" t="s">
        <v>107</v>
      </c>
      <c r="N5" s="72"/>
      <c r="O5" s="72">
        <v>36</v>
      </c>
      <c r="P5" s="72">
        <v>36</v>
      </c>
      <c r="Q5" s="62">
        <v>0</v>
      </c>
      <c r="R5" s="56" t="s">
        <v>211</v>
      </c>
      <c r="T5" s="56" t="s">
        <v>213</v>
      </c>
      <c r="U5" s="56" t="s">
        <v>215</v>
      </c>
    </row>
    <row r="6" spans="1:28" s="56" customFormat="1" x14ac:dyDescent="0.2">
      <c r="A6" s="87">
        <v>2018</v>
      </c>
      <c r="B6" s="88" t="s">
        <v>240</v>
      </c>
      <c r="C6" s="88">
        <v>22477</v>
      </c>
      <c r="D6" s="89">
        <v>37</v>
      </c>
      <c r="E6" s="90">
        <v>43354</v>
      </c>
      <c r="F6" s="88" t="s">
        <v>103</v>
      </c>
      <c r="G6" s="88" t="s">
        <v>47</v>
      </c>
      <c r="H6" s="88" t="s">
        <v>202</v>
      </c>
      <c r="I6" s="91" t="s">
        <v>59</v>
      </c>
      <c r="J6" s="88" t="s">
        <v>111</v>
      </c>
      <c r="K6" s="88" t="s">
        <v>106</v>
      </c>
      <c r="L6" s="88" t="s">
        <v>200</v>
      </c>
      <c r="M6" s="88" t="s">
        <v>107</v>
      </c>
      <c r="N6" s="87">
        <v>14</v>
      </c>
      <c r="O6" s="87"/>
      <c r="P6" s="87">
        <v>14</v>
      </c>
      <c r="Q6" s="92">
        <v>1</v>
      </c>
      <c r="R6" s="91" t="s">
        <v>212</v>
      </c>
      <c r="S6" s="91"/>
      <c r="T6" s="91" t="s">
        <v>213</v>
      </c>
      <c r="U6" s="91" t="s">
        <v>215</v>
      </c>
    </row>
    <row r="7" spans="1:28" s="56" customFormat="1" x14ac:dyDescent="0.2">
      <c r="A7" s="72">
        <v>2018</v>
      </c>
      <c r="B7" s="60" t="s">
        <v>241</v>
      </c>
      <c r="C7" s="60">
        <v>22478</v>
      </c>
      <c r="D7" s="61">
        <v>37</v>
      </c>
      <c r="E7" s="80">
        <v>43354</v>
      </c>
      <c r="F7" s="60" t="s">
        <v>103</v>
      </c>
      <c r="G7" s="60" t="s">
        <v>47</v>
      </c>
      <c r="H7" s="60" t="s">
        <v>142</v>
      </c>
      <c r="I7" s="56" t="s">
        <v>58</v>
      </c>
      <c r="J7" s="60" t="s">
        <v>105</v>
      </c>
      <c r="K7" s="60" t="s">
        <v>106</v>
      </c>
      <c r="L7" s="60" t="s">
        <v>199</v>
      </c>
      <c r="M7" s="60" t="s">
        <v>107</v>
      </c>
      <c r="N7" s="72"/>
      <c r="O7" s="72">
        <v>5</v>
      </c>
      <c r="P7" s="72">
        <v>5</v>
      </c>
      <c r="Q7" s="62">
        <v>0</v>
      </c>
      <c r="R7" s="56" t="s">
        <v>211</v>
      </c>
      <c r="T7" s="56" t="s">
        <v>214</v>
      </c>
      <c r="U7" s="56" t="s">
        <v>217</v>
      </c>
    </row>
    <row r="8" spans="1:28" s="56" customFormat="1" x14ac:dyDescent="0.2">
      <c r="A8" s="72">
        <v>2018</v>
      </c>
      <c r="B8" s="60" t="s">
        <v>242</v>
      </c>
      <c r="C8" s="60">
        <v>22479</v>
      </c>
      <c r="D8" s="61">
        <v>37</v>
      </c>
      <c r="E8" s="80">
        <v>43354</v>
      </c>
      <c r="F8" s="60" t="s">
        <v>103</v>
      </c>
      <c r="G8" s="60" t="s">
        <v>47</v>
      </c>
      <c r="H8" s="60" t="s">
        <v>142</v>
      </c>
      <c r="I8" s="56" t="s">
        <v>58</v>
      </c>
      <c r="J8" s="60" t="s">
        <v>105</v>
      </c>
      <c r="K8" s="60" t="s">
        <v>106</v>
      </c>
      <c r="L8" s="60" t="s">
        <v>200</v>
      </c>
      <c r="M8" s="60" t="s">
        <v>107</v>
      </c>
      <c r="N8" s="72"/>
      <c r="O8" s="72">
        <v>4</v>
      </c>
      <c r="P8" s="72">
        <v>4</v>
      </c>
      <c r="Q8" s="62">
        <v>0</v>
      </c>
      <c r="R8" s="56" t="s">
        <v>211</v>
      </c>
      <c r="T8" s="56" t="s">
        <v>213</v>
      </c>
      <c r="U8" s="56" t="s">
        <v>218</v>
      </c>
    </row>
    <row r="9" spans="1:28" s="56" customFormat="1" x14ac:dyDescent="0.2">
      <c r="A9" s="72">
        <v>2018</v>
      </c>
      <c r="B9" s="60" t="s">
        <v>243</v>
      </c>
      <c r="C9" s="60">
        <v>22480</v>
      </c>
      <c r="D9" s="61">
        <v>37</v>
      </c>
      <c r="E9" s="80">
        <v>43354</v>
      </c>
      <c r="F9" s="60" t="s">
        <v>103</v>
      </c>
      <c r="G9" s="60" t="s">
        <v>47</v>
      </c>
      <c r="H9" s="60" t="s">
        <v>203</v>
      </c>
      <c r="I9" s="56" t="s">
        <v>60</v>
      </c>
      <c r="J9" s="60" t="s">
        <v>111</v>
      </c>
      <c r="K9" s="60" t="s">
        <v>106</v>
      </c>
      <c r="L9" s="60" t="s">
        <v>200</v>
      </c>
      <c r="M9" s="60" t="s">
        <v>107</v>
      </c>
      <c r="N9" s="72">
        <v>2</v>
      </c>
      <c r="O9" s="72"/>
      <c r="P9" s="72">
        <v>2</v>
      </c>
      <c r="Q9" s="62">
        <v>0</v>
      </c>
      <c r="R9" s="56" t="s">
        <v>211</v>
      </c>
      <c r="T9" s="56" t="s">
        <v>213</v>
      </c>
      <c r="U9" s="56" t="s">
        <v>219</v>
      </c>
    </row>
    <row r="10" spans="1:28" s="56" customFormat="1" x14ac:dyDescent="0.2">
      <c r="A10" s="72">
        <v>2018</v>
      </c>
      <c r="B10" s="60" t="s">
        <v>244</v>
      </c>
      <c r="C10" s="60">
        <v>22481</v>
      </c>
      <c r="D10" s="61">
        <v>37</v>
      </c>
      <c r="E10" s="80">
        <v>43354</v>
      </c>
      <c r="F10" s="60" t="s">
        <v>103</v>
      </c>
      <c r="G10" s="60" t="s">
        <v>47</v>
      </c>
      <c r="H10" s="60" t="s">
        <v>124</v>
      </c>
      <c r="I10" s="56" t="s">
        <v>60</v>
      </c>
      <c r="J10" s="60" t="s">
        <v>105</v>
      </c>
      <c r="K10" s="60" t="s">
        <v>106</v>
      </c>
      <c r="L10" s="60" t="s">
        <v>200</v>
      </c>
      <c r="M10" s="60" t="s">
        <v>107</v>
      </c>
      <c r="N10" s="72"/>
      <c r="O10" s="72">
        <v>2</v>
      </c>
      <c r="P10" s="72">
        <v>2</v>
      </c>
      <c r="Q10" s="62">
        <v>0</v>
      </c>
      <c r="R10" s="56" t="s">
        <v>211</v>
      </c>
      <c r="T10" s="56" t="s">
        <v>213</v>
      </c>
      <c r="U10" s="56" t="s">
        <v>219</v>
      </c>
    </row>
    <row r="11" spans="1:28" s="56" customFormat="1" x14ac:dyDescent="0.2">
      <c r="A11" s="72">
        <v>2018</v>
      </c>
      <c r="B11" s="60" t="s">
        <v>245</v>
      </c>
      <c r="C11" s="60">
        <v>22482</v>
      </c>
      <c r="D11" s="61">
        <v>37</v>
      </c>
      <c r="E11" s="80">
        <v>43354</v>
      </c>
      <c r="F11" s="60" t="s">
        <v>103</v>
      </c>
      <c r="G11" s="60" t="s">
        <v>47</v>
      </c>
      <c r="H11" s="60" t="s">
        <v>144</v>
      </c>
      <c r="I11" s="56" t="s">
        <v>59</v>
      </c>
      <c r="J11" s="60" t="s">
        <v>105</v>
      </c>
      <c r="K11" s="60" t="s">
        <v>106</v>
      </c>
      <c r="L11" s="60" t="s">
        <v>200</v>
      </c>
      <c r="M11" s="60" t="s">
        <v>107</v>
      </c>
      <c r="N11" s="72"/>
      <c r="O11" s="72">
        <v>6</v>
      </c>
      <c r="P11" s="72">
        <v>6</v>
      </c>
      <c r="Q11" s="62">
        <v>0</v>
      </c>
      <c r="R11" s="56" t="s">
        <v>211</v>
      </c>
      <c r="T11" s="56" t="s">
        <v>213</v>
      </c>
      <c r="U11" s="56" t="s">
        <v>215</v>
      </c>
    </row>
    <row r="12" spans="1:28" s="56" customFormat="1" x14ac:dyDescent="0.2">
      <c r="A12" s="72">
        <v>2018</v>
      </c>
      <c r="B12" s="60" t="s">
        <v>246</v>
      </c>
      <c r="C12" s="60">
        <v>22483</v>
      </c>
      <c r="D12" s="61">
        <v>37</v>
      </c>
      <c r="E12" s="80">
        <v>43354</v>
      </c>
      <c r="F12" s="60" t="s">
        <v>103</v>
      </c>
      <c r="G12" s="60" t="s">
        <v>47</v>
      </c>
      <c r="H12" s="60" t="s">
        <v>123</v>
      </c>
      <c r="I12" s="56" t="s">
        <v>60</v>
      </c>
      <c r="J12" s="60" t="s">
        <v>105</v>
      </c>
      <c r="K12" s="60" t="s">
        <v>106</v>
      </c>
      <c r="L12" s="60" t="s">
        <v>200</v>
      </c>
      <c r="M12" s="60" t="s">
        <v>107</v>
      </c>
      <c r="N12" s="72"/>
      <c r="O12" s="72">
        <v>3</v>
      </c>
      <c r="P12" s="72">
        <v>3</v>
      </c>
      <c r="Q12" s="62">
        <v>0</v>
      </c>
      <c r="R12" s="56" t="s">
        <v>211</v>
      </c>
      <c r="T12" s="56" t="s">
        <v>213</v>
      </c>
      <c r="U12" s="56" t="s">
        <v>219</v>
      </c>
    </row>
    <row r="13" spans="1:28" s="56" customFormat="1" x14ac:dyDescent="0.2">
      <c r="A13" s="72">
        <v>2018</v>
      </c>
      <c r="B13" s="60" t="s">
        <v>247</v>
      </c>
      <c r="C13" s="60">
        <v>22484</v>
      </c>
      <c r="D13" s="61">
        <v>37</v>
      </c>
      <c r="E13" s="80">
        <v>43354</v>
      </c>
      <c r="F13" s="60" t="s">
        <v>103</v>
      </c>
      <c r="G13" s="60" t="s">
        <v>47</v>
      </c>
      <c r="H13" s="60" t="s">
        <v>143</v>
      </c>
      <c r="I13" s="56" t="s">
        <v>59</v>
      </c>
      <c r="J13" s="60" t="s">
        <v>105</v>
      </c>
      <c r="K13" s="60" t="s">
        <v>106</v>
      </c>
      <c r="L13" s="60" t="s">
        <v>199</v>
      </c>
      <c r="M13" s="60" t="s">
        <v>107</v>
      </c>
      <c r="N13" s="72"/>
      <c r="O13" s="72">
        <v>4</v>
      </c>
      <c r="P13" s="72">
        <v>4</v>
      </c>
      <c r="Q13" s="62">
        <v>0</v>
      </c>
      <c r="R13" s="56" t="s">
        <v>211</v>
      </c>
      <c r="T13" s="56" t="s">
        <v>214</v>
      </c>
      <c r="U13" s="56" t="s">
        <v>216</v>
      </c>
    </row>
    <row r="14" spans="1:28" s="56" customFormat="1" x14ac:dyDescent="0.2">
      <c r="A14" s="72">
        <v>2018</v>
      </c>
      <c r="B14" s="60" t="s">
        <v>248</v>
      </c>
      <c r="C14" s="60">
        <v>22485</v>
      </c>
      <c r="D14" s="61">
        <v>37</v>
      </c>
      <c r="E14" s="80">
        <v>43354</v>
      </c>
      <c r="F14" s="60" t="s">
        <v>103</v>
      </c>
      <c r="G14" s="60" t="s">
        <v>47</v>
      </c>
      <c r="H14" s="60" t="s">
        <v>143</v>
      </c>
      <c r="I14" s="56" t="s">
        <v>59</v>
      </c>
      <c r="J14" s="60" t="s">
        <v>105</v>
      </c>
      <c r="K14" s="60" t="s">
        <v>106</v>
      </c>
      <c r="L14" s="60" t="s">
        <v>200</v>
      </c>
      <c r="M14" s="60" t="s">
        <v>107</v>
      </c>
      <c r="N14" s="72"/>
      <c r="O14" s="72">
        <v>11</v>
      </c>
      <c r="P14" s="72">
        <v>11</v>
      </c>
      <c r="Q14" s="62">
        <v>0</v>
      </c>
      <c r="R14" s="56" t="s">
        <v>211</v>
      </c>
      <c r="T14" s="56" t="s">
        <v>213</v>
      </c>
      <c r="U14" s="56" t="s">
        <v>215</v>
      </c>
    </row>
    <row r="15" spans="1:28" s="56" customFormat="1" x14ac:dyDescent="0.2">
      <c r="A15" s="72">
        <v>2018</v>
      </c>
      <c r="B15" s="60" t="s">
        <v>249</v>
      </c>
      <c r="C15" s="60">
        <v>22486</v>
      </c>
      <c r="D15" s="61">
        <v>37</v>
      </c>
      <c r="E15" s="80">
        <v>43354</v>
      </c>
      <c r="F15" s="60" t="s">
        <v>103</v>
      </c>
      <c r="G15" s="60" t="s">
        <v>47</v>
      </c>
      <c r="H15" s="60" t="s">
        <v>152</v>
      </c>
      <c r="I15" s="56" t="s">
        <v>59</v>
      </c>
      <c r="J15" s="60" t="s">
        <v>105</v>
      </c>
      <c r="K15" s="60" t="s">
        <v>106</v>
      </c>
      <c r="L15" s="60" t="s">
        <v>199</v>
      </c>
      <c r="M15" s="60" t="s">
        <v>107</v>
      </c>
      <c r="N15" s="72"/>
      <c r="O15" s="72">
        <v>6</v>
      </c>
      <c r="P15" s="72">
        <v>6</v>
      </c>
      <c r="Q15" s="62">
        <v>0</v>
      </c>
      <c r="R15" s="56" t="s">
        <v>211</v>
      </c>
      <c r="T15" s="56" t="s">
        <v>214</v>
      </c>
      <c r="U15" s="56" t="s">
        <v>216</v>
      </c>
    </row>
    <row r="16" spans="1:28" s="56" customFormat="1" x14ac:dyDescent="0.2">
      <c r="A16" s="72">
        <v>2018</v>
      </c>
      <c r="B16" s="60" t="s">
        <v>250</v>
      </c>
      <c r="C16" s="60">
        <v>22487</v>
      </c>
      <c r="D16" s="61">
        <v>37</v>
      </c>
      <c r="E16" s="80">
        <v>43354</v>
      </c>
      <c r="F16" s="60" t="s">
        <v>103</v>
      </c>
      <c r="G16" s="60" t="s">
        <v>47</v>
      </c>
      <c r="H16" s="60" t="s">
        <v>210</v>
      </c>
      <c r="I16" s="56" t="s">
        <v>59</v>
      </c>
      <c r="J16" s="60" t="s">
        <v>111</v>
      </c>
      <c r="K16" s="60" t="s">
        <v>106</v>
      </c>
      <c r="L16" s="60" t="s">
        <v>200</v>
      </c>
      <c r="M16" s="60" t="s">
        <v>107</v>
      </c>
      <c r="N16" s="72">
        <v>11</v>
      </c>
      <c r="O16" s="72"/>
      <c r="P16" s="72">
        <v>11</v>
      </c>
      <c r="Q16" s="62">
        <v>0</v>
      </c>
      <c r="R16" s="56" t="s">
        <v>211</v>
      </c>
      <c r="T16" s="56" t="s">
        <v>213</v>
      </c>
      <c r="U16" s="56" t="s">
        <v>215</v>
      </c>
    </row>
    <row r="17" spans="1:21" s="56" customFormat="1" x14ac:dyDescent="0.2">
      <c r="A17" s="72">
        <v>2018</v>
      </c>
      <c r="B17" s="60" t="s">
        <v>251</v>
      </c>
      <c r="C17" s="60">
        <v>22488</v>
      </c>
      <c r="D17" s="61">
        <v>37</v>
      </c>
      <c r="E17" s="80">
        <v>43354</v>
      </c>
      <c r="F17" s="60" t="s">
        <v>103</v>
      </c>
      <c r="G17" s="60" t="s">
        <v>47</v>
      </c>
      <c r="H17" s="60" t="s">
        <v>147</v>
      </c>
      <c r="I17" s="56" t="s">
        <v>59</v>
      </c>
      <c r="J17" s="60" t="s">
        <v>105</v>
      </c>
      <c r="K17" s="60" t="s">
        <v>106</v>
      </c>
      <c r="L17" s="60" t="s">
        <v>200</v>
      </c>
      <c r="M17" s="60" t="s">
        <v>107</v>
      </c>
      <c r="N17" s="72"/>
      <c r="O17" s="72">
        <v>39</v>
      </c>
      <c r="P17" s="72">
        <v>39</v>
      </c>
      <c r="Q17" s="62">
        <v>0</v>
      </c>
      <c r="R17" s="56" t="s">
        <v>211</v>
      </c>
      <c r="T17" s="56" t="s">
        <v>213</v>
      </c>
      <c r="U17" s="56" t="s">
        <v>215</v>
      </c>
    </row>
    <row r="18" spans="1:21" s="56" customFormat="1" x14ac:dyDescent="0.2">
      <c r="A18" s="72">
        <v>2018</v>
      </c>
      <c r="B18" s="60" t="s">
        <v>252</v>
      </c>
      <c r="C18" s="60">
        <v>22489</v>
      </c>
      <c r="D18" s="61">
        <v>37</v>
      </c>
      <c r="E18" s="80">
        <v>43354</v>
      </c>
      <c r="F18" s="60" t="s">
        <v>103</v>
      </c>
      <c r="G18" s="60" t="s">
        <v>47</v>
      </c>
      <c r="H18" s="60" t="s">
        <v>139</v>
      </c>
      <c r="I18" s="56" t="s">
        <v>59</v>
      </c>
      <c r="J18" s="60" t="s">
        <v>105</v>
      </c>
      <c r="K18" s="60" t="s">
        <v>106</v>
      </c>
      <c r="L18" s="60" t="s">
        <v>200</v>
      </c>
      <c r="M18" s="60" t="s">
        <v>107</v>
      </c>
      <c r="N18" s="72"/>
      <c r="O18" s="72">
        <v>50</v>
      </c>
      <c r="P18" s="72">
        <v>50</v>
      </c>
      <c r="Q18" s="62">
        <v>0</v>
      </c>
      <c r="R18" s="56" t="s">
        <v>211</v>
      </c>
      <c r="T18" s="56" t="s">
        <v>213</v>
      </c>
      <c r="U18" s="56" t="s">
        <v>215</v>
      </c>
    </row>
    <row r="19" spans="1:21" s="56" customFormat="1" x14ac:dyDescent="0.2">
      <c r="A19" s="72">
        <v>2018</v>
      </c>
      <c r="B19" s="60" t="s">
        <v>253</v>
      </c>
      <c r="C19" s="60">
        <v>22490</v>
      </c>
      <c r="D19" s="61">
        <v>37</v>
      </c>
      <c r="E19" s="80">
        <v>43354</v>
      </c>
      <c r="F19" s="60" t="s">
        <v>103</v>
      </c>
      <c r="G19" s="60" t="s">
        <v>47</v>
      </c>
      <c r="H19" s="60" t="s">
        <v>139</v>
      </c>
      <c r="I19" s="56" t="s">
        <v>59</v>
      </c>
      <c r="J19" s="60" t="s">
        <v>105</v>
      </c>
      <c r="K19" s="60" t="s">
        <v>106</v>
      </c>
      <c r="L19" s="60" t="s">
        <v>200</v>
      </c>
      <c r="M19" s="60" t="s">
        <v>107</v>
      </c>
      <c r="N19" s="72"/>
      <c r="O19" s="72">
        <v>39</v>
      </c>
      <c r="P19" s="72">
        <v>39</v>
      </c>
      <c r="Q19" s="62">
        <v>0</v>
      </c>
      <c r="R19" s="56" t="s">
        <v>211</v>
      </c>
      <c r="T19" s="56" t="s">
        <v>213</v>
      </c>
      <c r="U19" s="56" t="s">
        <v>215</v>
      </c>
    </row>
    <row r="20" spans="1:21" s="56" customFormat="1" x14ac:dyDescent="0.2">
      <c r="A20" s="72">
        <v>2018</v>
      </c>
      <c r="B20" s="60" t="s">
        <v>254</v>
      </c>
      <c r="C20" s="60">
        <v>22491</v>
      </c>
      <c r="D20" s="61">
        <v>37</v>
      </c>
      <c r="E20" s="80">
        <v>43354</v>
      </c>
      <c r="F20" s="60" t="s">
        <v>103</v>
      </c>
      <c r="G20" s="60" t="s">
        <v>47</v>
      </c>
      <c r="H20" s="60" t="s">
        <v>121</v>
      </c>
      <c r="I20" s="56" t="s">
        <v>60</v>
      </c>
      <c r="J20" s="60" t="s">
        <v>105</v>
      </c>
      <c r="K20" s="60" t="s">
        <v>106</v>
      </c>
      <c r="L20" s="60" t="s">
        <v>200</v>
      </c>
      <c r="M20" s="60" t="s">
        <v>107</v>
      </c>
      <c r="N20" s="72"/>
      <c r="O20" s="72">
        <v>5</v>
      </c>
      <c r="P20" s="72">
        <v>5</v>
      </c>
      <c r="Q20" s="62">
        <v>0</v>
      </c>
      <c r="R20" s="56" t="s">
        <v>211</v>
      </c>
      <c r="T20" s="56" t="s">
        <v>213</v>
      </c>
      <c r="U20" s="56" t="s">
        <v>219</v>
      </c>
    </row>
    <row r="21" spans="1:21" s="56" customFormat="1" x14ac:dyDescent="0.2">
      <c r="A21" s="72">
        <v>2018</v>
      </c>
      <c r="B21" s="60" t="s">
        <v>255</v>
      </c>
      <c r="C21" s="60">
        <v>22492</v>
      </c>
      <c r="D21" s="61">
        <v>37</v>
      </c>
      <c r="E21" s="80">
        <v>43354</v>
      </c>
      <c r="F21" s="60" t="s">
        <v>103</v>
      </c>
      <c r="G21" s="60" t="s">
        <v>47</v>
      </c>
      <c r="H21" s="60" t="s">
        <v>119</v>
      </c>
      <c r="I21" s="56" t="s">
        <v>60</v>
      </c>
      <c r="J21" s="60" t="s">
        <v>105</v>
      </c>
      <c r="K21" s="60" t="s">
        <v>106</v>
      </c>
      <c r="L21" s="60" t="s">
        <v>200</v>
      </c>
      <c r="M21" s="60" t="s">
        <v>107</v>
      </c>
      <c r="N21" s="72"/>
      <c r="O21" s="72">
        <v>4</v>
      </c>
      <c r="P21" s="72">
        <v>4</v>
      </c>
      <c r="Q21" s="62">
        <v>0</v>
      </c>
      <c r="R21" s="56" t="s">
        <v>211</v>
      </c>
      <c r="T21" s="56" t="s">
        <v>213</v>
      </c>
      <c r="U21" s="56" t="s">
        <v>219</v>
      </c>
    </row>
    <row r="22" spans="1:21" s="56" customFormat="1" x14ac:dyDescent="0.2">
      <c r="A22" s="72">
        <v>2018</v>
      </c>
      <c r="B22" s="60" t="s">
        <v>256</v>
      </c>
      <c r="C22" s="60">
        <v>22493</v>
      </c>
      <c r="D22" s="61">
        <v>37</v>
      </c>
      <c r="E22" s="80">
        <v>43354</v>
      </c>
      <c r="F22" s="60" t="s">
        <v>103</v>
      </c>
      <c r="G22" s="60" t="s">
        <v>47</v>
      </c>
      <c r="H22" s="60" t="s">
        <v>130</v>
      </c>
      <c r="I22" s="56" t="s">
        <v>60</v>
      </c>
      <c r="J22" s="60" t="s">
        <v>105</v>
      </c>
      <c r="K22" s="60" t="s">
        <v>106</v>
      </c>
      <c r="L22" s="60" t="s">
        <v>200</v>
      </c>
      <c r="M22" s="60" t="s">
        <v>107</v>
      </c>
      <c r="N22" s="72"/>
      <c r="O22" s="72">
        <v>4</v>
      </c>
      <c r="P22" s="72">
        <v>4</v>
      </c>
      <c r="Q22" s="62">
        <v>0</v>
      </c>
      <c r="R22" s="56" t="s">
        <v>211</v>
      </c>
      <c r="T22" s="56" t="s">
        <v>213</v>
      </c>
      <c r="U22" s="56" t="s">
        <v>219</v>
      </c>
    </row>
    <row r="23" spans="1:21" s="56" customFormat="1" x14ac:dyDescent="0.2">
      <c r="A23" s="72">
        <v>2018</v>
      </c>
      <c r="B23" s="60" t="s">
        <v>257</v>
      </c>
      <c r="C23" s="60">
        <v>22494</v>
      </c>
      <c r="D23" s="61">
        <v>37</v>
      </c>
      <c r="E23" s="80">
        <v>43354</v>
      </c>
      <c r="F23" s="60" t="s">
        <v>103</v>
      </c>
      <c r="G23" s="60" t="s">
        <v>47</v>
      </c>
      <c r="H23" s="60" t="s">
        <v>118</v>
      </c>
      <c r="I23" s="56" t="s">
        <v>60</v>
      </c>
      <c r="J23" s="60" t="s">
        <v>105</v>
      </c>
      <c r="K23" s="60" t="s">
        <v>106</v>
      </c>
      <c r="L23" s="60" t="s">
        <v>200</v>
      </c>
      <c r="M23" s="60" t="s">
        <v>107</v>
      </c>
      <c r="N23" s="72"/>
      <c r="O23" s="72">
        <v>3</v>
      </c>
      <c r="P23" s="72">
        <v>3</v>
      </c>
      <c r="Q23" s="62">
        <v>0</v>
      </c>
      <c r="R23" s="56" t="s">
        <v>211</v>
      </c>
      <c r="T23" s="56" t="s">
        <v>213</v>
      </c>
      <c r="U23" s="56" t="s">
        <v>219</v>
      </c>
    </row>
    <row r="24" spans="1:21" s="56" customFormat="1" x14ac:dyDescent="0.2">
      <c r="A24" s="72">
        <v>2018</v>
      </c>
      <c r="B24" s="60" t="s">
        <v>258</v>
      </c>
      <c r="C24" s="60">
        <v>22495</v>
      </c>
      <c r="D24" s="61">
        <v>37</v>
      </c>
      <c r="E24" s="80">
        <v>43354</v>
      </c>
      <c r="F24" s="60" t="s">
        <v>103</v>
      </c>
      <c r="G24" s="60" t="s">
        <v>47</v>
      </c>
      <c r="H24" s="60" t="s">
        <v>204</v>
      </c>
      <c r="I24" s="56" t="s">
        <v>60</v>
      </c>
      <c r="J24" s="60" t="s">
        <v>111</v>
      </c>
      <c r="K24" s="60" t="s">
        <v>106</v>
      </c>
      <c r="L24" s="60" t="s">
        <v>200</v>
      </c>
      <c r="M24" s="60" t="s">
        <v>107</v>
      </c>
      <c r="N24" s="72">
        <v>50</v>
      </c>
      <c r="O24" s="72"/>
      <c r="P24" s="72">
        <v>50</v>
      </c>
      <c r="Q24" s="62">
        <v>0</v>
      </c>
      <c r="R24" s="56" t="s">
        <v>211</v>
      </c>
      <c r="T24" s="56" t="s">
        <v>213</v>
      </c>
      <c r="U24" s="56" t="s">
        <v>219</v>
      </c>
    </row>
    <row r="25" spans="1:21" s="56" customFormat="1" x14ac:dyDescent="0.2">
      <c r="A25" s="87">
        <v>2018</v>
      </c>
      <c r="B25" s="88" t="s">
        <v>259</v>
      </c>
      <c r="C25" s="88">
        <v>22496</v>
      </c>
      <c r="D25" s="89">
        <v>37</v>
      </c>
      <c r="E25" s="90">
        <v>43354</v>
      </c>
      <c r="F25" s="88" t="s">
        <v>103</v>
      </c>
      <c r="G25" s="88" t="s">
        <v>47</v>
      </c>
      <c r="H25" s="88" t="s">
        <v>204</v>
      </c>
      <c r="I25" s="91" t="s">
        <v>60</v>
      </c>
      <c r="J25" s="88" t="s">
        <v>111</v>
      </c>
      <c r="K25" s="88" t="s">
        <v>106</v>
      </c>
      <c r="L25" s="88" t="s">
        <v>200</v>
      </c>
      <c r="M25" s="88" t="s">
        <v>107</v>
      </c>
      <c r="N25" s="87">
        <v>50</v>
      </c>
      <c r="O25" s="87"/>
      <c r="P25" s="87">
        <v>50</v>
      </c>
      <c r="Q25" s="92">
        <v>1</v>
      </c>
      <c r="R25" s="91" t="s">
        <v>212</v>
      </c>
      <c r="S25" s="91"/>
      <c r="T25" s="91" t="s">
        <v>213</v>
      </c>
      <c r="U25" s="91" t="s">
        <v>219</v>
      </c>
    </row>
    <row r="26" spans="1:21" s="56" customFormat="1" x14ac:dyDescent="0.2">
      <c r="A26" s="72">
        <v>2018</v>
      </c>
      <c r="B26" s="60" t="s">
        <v>260</v>
      </c>
      <c r="C26" s="60">
        <v>22497</v>
      </c>
      <c r="D26" s="61">
        <v>37</v>
      </c>
      <c r="E26" s="80">
        <v>43354</v>
      </c>
      <c r="F26" s="60" t="s">
        <v>103</v>
      </c>
      <c r="G26" s="60" t="s">
        <v>47</v>
      </c>
      <c r="H26" s="60" t="s">
        <v>204</v>
      </c>
      <c r="I26" s="56" t="s">
        <v>60</v>
      </c>
      <c r="J26" s="60" t="s">
        <v>111</v>
      </c>
      <c r="K26" s="60" t="s">
        <v>106</v>
      </c>
      <c r="L26" s="60" t="s">
        <v>200</v>
      </c>
      <c r="M26" s="60" t="s">
        <v>107</v>
      </c>
      <c r="N26" s="72">
        <v>50</v>
      </c>
      <c r="O26" s="72"/>
      <c r="P26" s="72">
        <v>50</v>
      </c>
      <c r="Q26" s="62">
        <v>0</v>
      </c>
      <c r="R26" s="56" t="s">
        <v>211</v>
      </c>
      <c r="T26" s="56" t="s">
        <v>213</v>
      </c>
      <c r="U26" s="56" t="s">
        <v>219</v>
      </c>
    </row>
    <row r="27" spans="1:21" s="56" customFormat="1" x14ac:dyDescent="0.2">
      <c r="A27" s="87">
        <v>2018</v>
      </c>
      <c r="B27" s="88" t="s">
        <v>261</v>
      </c>
      <c r="C27" s="88">
        <v>22498</v>
      </c>
      <c r="D27" s="89">
        <v>37</v>
      </c>
      <c r="E27" s="90">
        <v>43354</v>
      </c>
      <c r="F27" s="88" t="s">
        <v>103</v>
      </c>
      <c r="G27" s="88" t="s">
        <v>47</v>
      </c>
      <c r="H27" s="88" t="s">
        <v>204</v>
      </c>
      <c r="I27" s="91" t="s">
        <v>60</v>
      </c>
      <c r="J27" s="88" t="s">
        <v>111</v>
      </c>
      <c r="K27" s="88" t="s">
        <v>106</v>
      </c>
      <c r="L27" s="88" t="s">
        <v>200</v>
      </c>
      <c r="M27" s="88" t="s">
        <v>107</v>
      </c>
      <c r="N27" s="87">
        <v>17</v>
      </c>
      <c r="O27" s="87"/>
      <c r="P27" s="87">
        <v>17</v>
      </c>
      <c r="Q27" s="92">
        <v>1</v>
      </c>
      <c r="R27" s="91" t="s">
        <v>212</v>
      </c>
      <c r="S27" s="91"/>
      <c r="T27" s="91" t="s">
        <v>213</v>
      </c>
      <c r="U27" s="91" t="s">
        <v>219</v>
      </c>
    </row>
    <row r="28" spans="1:21" s="56" customFormat="1" x14ac:dyDescent="0.2">
      <c r="A28" s="72">
        <v>2018</v>
      </c>
      <c r="B28" s="60" t="s">
        <v>262</v>
      </c>
      <c r="C28" s="60">
        <v>22499</v>
      </c>
      <c r="D28" s="61">
        <v>37</v>
      </c>
      <c r="E28" s="80">
        <v>43355</v>
      </c>
      <c r="F28" s="60" t="s">
        <v>103</v>
      </c>
      <c r="G28" s="60" t="s">
        <v>47</v>
      </c>
      <c r="H28" s="60" t="s">
        <v>131</v>
      </c>
      <c r="I28" s="56" t="s">
        <v>58</v>
      </c>
      <c r="J28" s="60" t="s">
        <v>105</v>
      </c>
      <c r="K28" s="60" t="s">
        <v>106</v>
      </c>
      <c r="L28" s="60" t="s">
        <v>199</v>
      </c>
      <c r="M28" s="60" t="s">
        <v>107</v>
      </c>
      <c r="N28" s="72"/>
      <c r="O28" s="72">
        <v>2</v>
      </c>
      <c r="P28" s="72">
        <v>2</v>
      </c>
      <c r="Q28" s="62">
        <v>0</v>
      </c>
      <c r="R28" s="56" t="s">
        <v>211</v>
      </c>
      <c r="T28" s="56" t="s">
        <v>214</v>
      </c>
      <c r="U28" s="56" t="s">
        <v>217</v>
      </c>
    </row>
    <row r="29" spans="1:21" s="56" customFormat="1" x14ac:dyDescent="0.2">
      <c r="A29" s="87">
        <v>2018</v>
      </c>
      <c r="B29" s="88" t="s">
        <v>263</v>
      </c>
      <c r="C29" s="88">
        <v>22500</v>
      </c>
      <c r="D29" s="89">
        <v>37</v>
      </c>
      <c r="E29" s="90">
        <v>43355</v>
      </c>
      <c r="F29" s="88" t="s">
        <v>103</v>
      </c>
      <c r="G29" s="88" t="s">
        <v>47</v>
      </c>
      <c r="H29" s="88" t="s">
        <v>205</v>
      </c>
      <c r="I29" s="91" t="s">
        <v>58</v>
      </c>
      <c r="J29" s="88" t="s">
        <v>111</v>
      </c>
      <c r="K29" s="88" t="s">
        <v>106</v>
      </c>
      <c r="L29" s="88" t="s">
        <v>200</v>
      </c>
      <c r="M29" s="88" t="s">
        <v>107</v>
      </c>
      <c r="N29" s="87">
        <v>28</v>
      </c>
      <c r="O29" s="87"/>
      <c r="P29" s="87">
        <v>28</v>
      </c>
      <c r="Q29" s="92">
        <v>1</v>
      </c>
      <c r="R29" s="91" t="s">
        <v>212</v>
      </c>
      <c r="S29" s="91"/>
      <c r="T29" s="91" t="s">
        <v>213</v>
      </c>
      <c r="U29" s="91" t="s">
        <v>218</v>
      </c>
    </row>
    <row r="30" spans="1:21" s="56" customFormat="1" x14ac:dyDescent="0.2">
      <c r="A30" s="72">
        <v>2018</v>
      </c>
      <c r="B30" s="60" t="s">
        <v>264</v>
      </c>
      <c r="C30" s="60">
        <v>22501</v>
      </c>
      <c r="D30" s="61">
        <v>37</v>
      </c>
      <c r="E30" s="80">
        <v>43355</v>
      </c>
      <c r="F30" s="60" t="s">
        <v>103</v>
      </c>
      <c r="G30" s="60" t="s">
        <v>47</v>
      </c>
      <c r="H30" s="60" t="s">
        <v>108</v>
      </c>
      <c r="I30" s="56" t="s">
        <v>61</v>
      </c>
      <c r="J30" s="60" t="s">
        <v>105</v>
      </c>
      <c r="K30" s="60" t="s">
        <v>106</v>
      </c>
      <c r="L30" s="60" t="s">
        <v>199</v>
      </c>
      <c r="M30" s="60" t="s">
        <v>107</v>
      </c>
      <c r="N30" s="72"/>
      <c r="O30" s="72">
        <v>5</v>
      </c>
      <c r="P30" s="72">
        <v>5</v>
      </c>
      <c r="Q30" s="62">
        <v>0</v>
      </c>
      <c r="R30" s="56" t="s">
        <v>211</v>
      </c>
      <c r="T30" s="56" t="s">
        <v>214</v>
      </c>
      <c r="U30" s="56" t="s">
        <v>220</v>
      </c>
    </row>
    <row r="31" spans="1:21" s="56" customFormat="1" x14ac:dyDescent="0.2">
      <c r="A31" s="72">
        <v>2018</v>
      </c>
      <c r="B31" s="60" t="s">
        <v>265</v>
      </c>
      <c r="C31" s="60">
        <v>22502</v>
      </c>
      <c r="D31" s="61">
        <v>37</v>
      </c>
      <c r="E31" s="80">
        <v>43355</v>
      </c>
      <c r="F31" s="60" t="s">
        <v>103</v>
      </c>
      <c r="G31" s="60" t="s">
        <v>47</v>
      </c>
      <c r="H31" s="60" t="s">
        <v>209</v>
      </c>
      <c r="I31" s="56" t="s">
        <v>61</v>
      </c>
      <c r="J31" s="60" t="s">
        <v>111</v>
      </c>
      <c r="K31" s="60" t="s">
        <v>106</v>
      </c>
      <c r="L31" s="60" t="s">
        <v>200</v>
      </c>
      <c r="M31" s="60" t="s">
        <v>107</v>
      </c>
      <c r="N31" s="72">
        <v>10</v>
      </c>
      <c r="O31" s="72"/>
      <c r="P31" s="72">
        <v>10</v>
      </c>
      <c r="Q31" s="62">
        <v>0</v>
      </c>
      <c r="R31" s="56" t="s">
        <v>211</v>
      </c>
      <c r="T31" s="56" t="s">
        <v>213</v>
      </c>
      <c r="U31" s="56" t="s">
        <v>221</v>
      </c>
    </row>
    <row r="32" spans="1:21" s="56" customFormat="1" x14ac:dyDescent="0.2">
      <c r="A32" s="72">
        <v>2018</v>
      </c>
      <c r="B32" s="60" t="s">
        <v>266</v>
      </c>
      <c r="C32" s="60">
        <v>22503</v>
      </c>
      <c r="D32" s="61">
        <v>37</v>
      </c>
      <c r="E32" s="80">
        <v>43355</v>
      </c>
      <c r="F32" s="60" t="s">
        <v>103</v>
      </c>
      <c r="G32" s="60" t="s">
        <v>47</v>
      </c>
      <c r="H32" s="60" t="s">
        <v>141</v>
      </c>
      <c r="I32" s="56" t="s">
        <v>59</v>
      </c>
      <c r="J32" s="60" t="s">
        <v>105</v>
      </c>
      <c r="K32" s="60" t="s">
        <v>106</v>
      </c>
      <c r="L32" s="60" t="s">
        <v>199</v>
      </c>
      <c r="M32" s="60" t="s">
        <v>107</v>
      </c>
      <c r="N32" s="72"/>
      <c r="O32" s="72">
        <v>6</v>
      </c>
      <c r="P32" s="72">
        <v>6</v>
      </c>
      <c r="Q32" s="62">
        <v>0</v>
      </c>
      <c r="R32" s="56" t="s">
        <v>211</v>
      </c>
      <c r="T32" s="56" t="s">
        <v>214</v>
      </c>
      <c r="U32" s="56" t="s">
        <v>216</v>
      </c>
    </row>
    <row r="33" spans="1:21" s="56" customFormat="1" x14ac:dyDescent="0.2">
      <c r="A33" s="72">
        <v>2018</v>
      </c>
      <c r="B33" s="60" t="s">
        <v>267</v>
      </c>
      <c r="C33" s="60">
        <v>22504</v>
      </c>
      <c r="D33" s="61">
        <v>37</v>
      </c>
      <c r="E33" s="80">
        <v>43355</v>
      </c>
      <c r="F33" s="60" t="s">
        <v>103</v>
      </c>
      <c r="G33" s="60" t="s">
        <v>47</v>
      </c>
      <c r="H33" s="60" t="s">
        <v>138</v>
      </c>
      <c r="I33" s="56" t="s">
        <v>61</v>
      </c>
      <c r="J33" s="60" t="s">
        <v>105</v>
      </c>
      <c r="K33" s="60" t="s">
        <v>106</v>
      </c>
      <c r="L33" s="60" t="s">
        <v>199</v>
      </c>
      <c r="M33" s="60" t="s">
        <v>107</v>
      </c>
      <c r="N33" s="72"/>
      <c r="O33" s="72">
        <v>4</v>
      </c>
      <c r="P33" s="72">
        <v>4</v>
      </c>
      <c r="Q33" s="62">
        <v>0</v>
      </c>
      <c r="R33" s="56" t="s">
        <v>211</v>
      </c>
      <c r="T33" s="56" t="s">
        <v>214</v>
      </c>
      <c r="U33" s="56" t="s">
        <v>220</v>
      </c>
    </row>
    <row r="34" spans="1:21" s="56" customFormat="1" x14ac:dyDescent="0.2">
      <c r="A34" s="72">
        <v>2018</v>
      </c>
      <c r="B34" s="60" t="s">
        <v>268</v>
      </c>
      <c r="C34" s="60">
        <v>22505</v>
      </c>
      <c r="D34" s="61">
        <v>37</v>
      </c>
      <c r="E34" s="80">
        <v>43355</v>
      </c>
      <c r="F34" s="60" t="s">
        <v>103</v>
      </c>
      <c r="G34" s="60" t="s">
        <v>47</v>
      </c>
      <c r="H34" s="60" t="s">
        <v>135</v>
      </c>
      <c r="I34" s="56" t="s">
        <v>58</v>
      </c>
      <c r="J34" s="60" t="s">
        <v>105</v>
      </c>
      <c r="K34" s="60" t="s">
        <v>106</v>
      </c>
      <c r="L34" s="60" t="s">
        <v>199</v>
      </c>
      <c r="M34" s="60" t="s">
        <v>107</v>
      </c>
      <c r="N34" s="72"/>
      <c r="O34" s="72">
        <v>8</v>
      </c>
      <c r="P34" s="72">
        <v>8</v>
      </c>
      <c r="Q34" s="62">
        <v>0</v>
      </c>
      <c r="R34" s="56" t="s">
        <v>211</v>
      </c>
      <c r="T34" s="56" t="s">
        <v>214</v>
      </c>
      <c r="U34" s="56" t="s">
        <v>217</v>
      </c>
    </row>
    <row r="35" spans="1:21" s="56" customFormat="1" x14ac:dyDescent="0.2">
      <c r="A35" s="87">
        <v>2018</v>
      </c>
      <c r="B35" s="88" t="s">
        <v>269</v>
      </c>
      <c r="C35" s="88">
        <v>22506</v>
      </c>
      <c r="D35" s="89">
        <v>37</v>
      </c>
      <c r="E35" s="90">
        <v>43355</v>
      </c>
      <c r="F35" s="88" t="s">
        <v>103</v>
      </c>
      <c r="G35" s="88" t="s">
        <v>47</v>
      </c>
      <c r="H35" s="88" t="s">
        <v>201</v>
      </c>
      <c r="I35" s="88" t="s">
        <v>58</v>
      </c>
      <c r="J35" s="88" t="s">
        <v>111</v>
      </c>
      <c r="K35" s="88" t="s">
        <v>106</v>
      </c>
      <c r="L35" s="88" t="s">
        <v>200</v>
      </c>
      <c r="M35" s="88" t="s">
        <v>107</v>
      </c>
      <c r="N35" s="87">
        <v>50</v>
      </c>
      <c r="O35" s="87"/>
      <c r="P35" s="87">
        <v>50</v>
      </c>
      <c r="Q35" s="92">
        <v>1</v>
      </c>
      <c r="R35" s="91" t="s">
        <v>212</v>
      </c>
      <c r="S35" s="91"/>
      <c r="T35" s="91" t="s">
        <v>213</v>
      </c>
      <c r="U35" s="91" t="s">
        <v>218</v>
      </c>
    </row>
    <row r="36" spans="1:21" s="56" customFormat="1" x14ac:dyDescent="0.2">
      <c r="A36" s="72">
        <v>2018</v>
      </c>
      <c r="B36" s="60" t="s">
        <v>270</v>
      </c>
      <c r="C36" s="60">
        <v>22507</v>
      </c>
      <c r="D36" s="61">
        <v>37</v>
      </c>
      <c r="E36" s="80">
        <v>43355</v>
      </c>
      <c r="F36" s="60" t="s">
        <v>103</v>
      </c>
      <c r="G36" s="60" t="s">
        <v>47</v>
      </c>
      <c r="H36" s="60" t="s">
        <v>201</v>
      </c>
      <c r="I36" s="60" t="s">
        <v>58</v>
      </c>
      <c r="J36" s="60" t="s">
        <v>111</v>
      </c>
      <c r="K36" s="60" t="s">
        <v>106</v>
      </c>
      <c r="L36" s="60" t="s">
        <v>200</v>
      </c>
      <c r="M36" s="60" t="s">
        <v>107</v>
      </c>
      <c r="N36" s="72">
        <v>48</v>
      </c>
      <c r="O36" s="72"/>
      <c r="P36" s="72">
        <v>48</v>
      </c>
      <c r="Q36" s="62">
        <v>0</v>
      </c>
      <c r="R36" s="56" t="s">
        <v>211</v>
      </c>
      <c r="T36" s="56" t="s">
        <v>213</v>
      </c>
      <c r="U36" s="56" t="s">
        <v>218</v>
      </c>
    </row>
    <row r="37" spans="1:21" s="56" customFormat="1" x14ac:dyDescent="0.2">
      <c r="A37" s="72">
        <v>2018</v>
      </c>
      <c r="B37" s="60" t="s">
        <v>271</v>
      </c>
      <c r="C37" s="60">
        <v>22508</v>
      </c>
      <c r="D37" s="61">
        <v>37</v>
      </c>
      <c r="E37" s="80">
        <v>43355</v>
      </c>
      <c r="F37" s="60" t="s">
        <v>103</v>
      </c>
      <c r="G37" s="60" t="s">
        <v>47</v>
      </c>
      <c r="H37" s="60" t="s">
        <v>132</v>
      </c>
      <c r="I37" s="60" t="s">
        <v>58</v>
      </c>
      <c r="J37" s="60" t="s">
        <v>105</v>
      </c>
      <c r="K37" s="60" t="s">
        <v>106</v>
      </c>
      <c r="L37" s="60" t="s">
        <v>200</v>
      </c>
      <c r="M37" s="60" t="s">
        <v>107</v>
      </c>
      <c r="N37" s="72"/>
      <c r="O37" s="72">
        <v>7</v>
      </c>
      <c r="P37" s="72">
        <v>7</v>
      </c>
      <c r="Q37" s="62">
        <v>0</v>
      </c>
      <c r="R37" s="56" t="s">
        <v>211</v>
      </c>
      <c r="T37" s="56" t="s">
        <v>213</v>
      </c>
      <c r="U37" s="56" t="s">
        <v>218</v>
      </c>
    </row>
    <row r="38" spans="1:21" s="56" customFormat="1" x14ac:dyDescent="0.2">
      <c r="A38" s="72">
        <v>2018</v>
      </c>
      <c r="B38" s="60" t="s">
        <v>272</v>
      </c>
      <c r="C38" s="60">
        <v>22509</v>
      </c>
      <c r="D38" s="61">
        <v>37</v>
      </c>
      <c r="E38" s="80">
        <v>43355</v>
      </c>
      <c r="F38" s="60" t="s">
        <v>103</v>
      </c>
      <c r="G38" s="60" t="s">
        <v>47</v>
      </c>
      <c r="H38" s="60" t="s">
        <v>208</v>
      </c>
      <c r="I38" s="60" t="s">
        <v>60</v>
      </c>
      <c r="J38" s="60" t="s">
        <v>111</v>
      </c>
      <c r="K38" s="60" t="s">
        <v>106</v>
      </c>
      <c r="L38" s="60" t="s">
        <v>200</v>
      </c>
      <c r="M38" s="60" t="s">
        <v>107</v>
      </c>
      <c r="N38" s="72">
        <v>48</v>
      </c>
      <c r="O38" s="72"/>
      <c r="P38" s="72">
        <v>48</v>
      </c>
      <c r="Q38" s="62">
        <v>0</v>
      </c>
      <c r="R38" s="56" t="s">
        <v>211</v>
      </c>
      <c r="T38" s="56" t="s">
        <v>213</v>
      </c>
      <c r="U38" s="56" t="s">
        <v>219</v>
      </c>
    </row>
    <row r="39" spans="1:21" s="56" customFormat="1" x14ac:dyDescent="0.2">
      <c r="A39" s="72">
        <v>2018</v>
      </c>
      <c r="B39" s="60" t="s">
        <v>273</v>
      </c>
      <c r="C39" s="60">
        <v>22510</v>
      </c>
      <c r="D39" s="61">
        <v>37</v>
      </c>
      <c r="E39" s="80">
        <v>43355</v>
      </c>
      <c r="F39" s="60" t="s">
        <v>103</v>
      </c>
      <c r="G39" s="60" t="s">
        <v>47</v>
      </c>
      <c r="H39" s="60" t="s">
        <v>134</v>
      </c>
      <c r="I39" s="60" t="s">
        <v>58</v>
      </c>
      <c r="J39" s="60" t="s">
        <v>105</v>
      </c>
      <c r="K39" s="60" t="s">
        <v>106</v>
      </c>
      <c r="L39" s="60" t="s">
        <v>200</v>
      </c>
      <c r="M39" s="60" t="s">
        <v>107</v>
      </c>
      <c r="N39" s="72"/>
      <c r="O39" s="72">
        <v>17</v>
      </c>
      <c r="P39" s="72">
        <v>17</v>
      </c>
      <c r="Q39" s="62">
        <v>0</v>
      </c>
      <c r="R39" s="56" t="s">
        <v>211</v>
      </c>
      <c r="T39" s="56" t="s">
        <v>213</v>
      </c>
      <c r="U39" s="56" t="s">
        <v>218</v>
      </c>
    </row>
    <row r="40" spans="1:21" s="56" customFormat="1" x14ac:dyDescent="0.2">
      <c r="A40" s="72">
        <v>2018</v>
      </c>
      <c r="B40" s="60" t="s">
        <v>274</v>
      </c>
      <c r="C40" s="60">
        <v>22511</v>
      </c>
      <c r="D40" s="61">
        <v>37</v>
      </c>
      <c r="E40" s="80">
        <v>43355</v>
      </c>
      <c r="F40" s="60" t="s">
        <v>103</v>
      </c>
      <c r="G40" s="60" t="s">
        <v>47</v>
      </c>
      <c r="H40" s="60" t="s">
        <v>129</v>
      </c>
      <c r="I40" s="56" t="s">
        <v>58</v>
      </c>
      <c r="J40" s="60" t="s">
        <v>105</v>
      </c>
      <c r="K40" s="60" t="s">
        <v>106</v>
      </c>
      <c r="L40" s="60" t="s">
        <v>199</v>
      </c>
      <c r="M40" s="60" t="s">
        <v>107</v>
      </c>
      <c r="N40" s="72"/>
      <c r="O40" s="72">
        <v>2</v>
      </c>
      <c r="P40" s="72">
        <v>2</v>
      </c>
      <c r="Q40" s="62">
        <v>0</v>
      </c>
      <c r="R40" s="56" t="s">
        <v>211</v>
      </c>
      <c r="T40" s="56" t="s">
        <v>214</v>
      </c>
      <c r="U40" s="56" t="s">
        <v>217</v>
      </c>
    </row>
    <row r="41" spans="1:21" s="56" customFormat="1" x14ac:dyDescent="0.2">
      <c r="A41" s="72">
        <v>2018</v>
      </c>
      <c r="B41" s="60" t="s">
        <v>275</v>
      </c>
      <c r="C41" s="60">
        <v>22512</v>
      </c>
      <c r="D41" s="61">
        <v>37</v>
      </c>
      <c r="E41" s="80">
        <v>43355</v>
      </c>
      <c r="F41" s="60" t="s">
        <v>103</v>
      </c>
      <c r="G41" s="60" t="s">
        <v>47</v>
      </c>
      <c r="H41" s="60" t="s">
        <v>128</v>
      </c>
      <c r="I41" s="56" t="s">
        <v>58</v>
      </c>
      <c r="J41" s="60" t="s">
        <v>105</v>
      </c>
      <c r="K41" s="60" t="s">
        <v>106</v>
      </c>
      <c r="L41" s="60" t="s">
        <v>200</v>
      </c>
      <c r="M41" s="60" t="s">
        <v>107</v>
      </c>
      <c r="N41" s="72"/>
      <c r="O41" s="72">
        <v>5</v>
      </c>
      <c r="P41" s="72">
        <v>5</v>
      </c>
      <c r="Q41" s="62">
        <v>0</v>
      </c>
      <c r="R41" s="56" t="s">
        <v>211</v>
      </c>
      <c r="T41" s="56" t="s">
        <v>213</v>
      </c>
      <c r="U41" s="56" t="s">
        <v>218</v>
      </c>
    </row>
    <row r="42" spans="1:21" s="56" customFormat="1" x14ac:dyDescent="0.2">
      <c r="A42" s="72"/>
      <c r="B42" s="60"/>
      <c r="C42" s="60"/>
      <c r="D42" s="61"/>
      <c r="E42" s="80"/>
      <c r="F42" s="60"/>
      <c r="G42" s="60"/>
      <c r="H42" s="60"/>
      <c r="J42" s="60"/>
      <c r="K42" s="60"/>
      <c r="L42" s="60"/>
      <c r="M42" s="60"/>
      <c r="N42" s="72"/>
      <c r="O42" s="72"/>
      <c r="P42" s="72"/>
      <c r="Q42" s="62"/>
    </row>
    <row r="43" spans="1:21" s="56" customFormat="1" x14ac:dyDescent="0.2">
      <c r="A43" s="72"/>
      <c r="B43" s="60"/>
      <c r="C43" s="60"/>
      <c r="D43" s="61"/>
      <c r="E43" s="80"/>
      <c r="F43" s="60"/>
      <c r="G43" s="60"/>
      <c r="H43" s="60"/>
      <c r="J43" s="60"/>
      <c r="K43" s="60"/>
      <c r="L43" s="60"/>
      <c r="M43" s="60"/>
      <c r="N43" s="72"/>
      <c r="O43" s="72"/>
      <c r="P43" s="72"/>
      <c r="Q43" s="62"/>
    </row>
    <row r="44" spans="1:21" s="56" customFormat="1" x14ac:dyDescent="0.2">
      <c r="A44" s="72"/>
      <c r="B44" s="60"/>
      <c r="C44" s="60"/>
      <c r="D44" s="61"/>
      <c r="E44" s="80"/>
      <c r="F44" s="60"/>
      <c r="G44" s="60"/>
      <c r="H44" s="60"/>
      <c r="J44" s="60"/>
      <c r="K44" s="60"/>
      <c r="L44" s="60"/>
      <c r="M44" s="60"/>
      <c r="N44" s="72"/>
      <c r="O44" s="72"/>
      <c r="P44" s="72"/>
      <c r="Q44" s="62"/>
    </row>
    <row r="45" spans="1:21" s="56" customFormat="1" x14ac:dyDescent="0.2">
      <c r="A45" s="72"/>
      <c r="B45" s="60"/>
      <c r="C45" s="60"/>
      <c r="D45" s="61"/>
      <c r="E45" s="80"/>
      <c r="F45" s="60"/>
      <c r="G45" s="60"/>
      <c r="H45" s="60"/>
      <c r="I45" s="60"/>
      <c r="J45" s="60"/>
      <c r="K45" s="60"/>
      <c r="L45" s="60"/>
      <c r="M45" s="60"/>
      <c r="N45" s="72"/>
      <c r="O45" s="72"/>
      <c r="P45" s="72"/>
      <c r="Q45" s="62"/>
    </row>
    <row r="46" spans="1:21" s="56" customFormat="1" x14ac:dyDescent="0.2">
      <c r="A46" s="72"/>
      <c r="B46" s="60"/>
      <c r="C46" s="60"/>
      <c r="D46" s="61"/>
      <c r="E46" s="80"/>
      <c r="F46" s="60"/>
      <c r="G46" s="60"/>
      <c r="H46" s="60"/>
      <c r="I46" s="60"/>
      <c r="J46" s="60"/>
      <c r="K46" s="60"/>
      <c r="L46" s="60"/>
      <c r="M46" s="60"/>
      <c r="N46" s="72"/>
      <c r="O46" s="72"/>
      <c r="P46" s="72"/>
      <c r="Q46" s="62"/>
    </row>
    <row r="47" spans="1:21" s="56" customFormat="1" x14ac:dyDescent="0.2">
      <c r="A47" s="72"/>
      <c r="B47" s="60"/>
      <c r="C47" s="60"/>
      <c r="D47" s="61"/>
      <c r="E47" s="80"/>
      <c r="F47" s="60"/>
      <c r="G47" s="60"/>
      <c r="H47" s="60"/>
      <c r="I47" s="60"/>
      <c r="J47" s="60"/>
      <c r="K47" s="60"/>
      <c r="L47" s="60"/>
      <c r="M47" s="60"/>
      <c r="N47" s="72"/>
      <c r="O47" s="72"/>
      <c r="P47" s="72"/>
      <c r="Q47" s="62"/>
    </row>
    <row r="48" spans="1:21" s="56" customFormat="1" x14ac:dyDescent="0.2">
      <c r="A48" s="72"/>
      <c r="B48" s="60"/>
      <c r="C48" s="60"/>
      <c r="D48" s="61"/>
      <c r="E48" s="80"/>
      <c r="F48" s="60"/>
      <c r="G48" s="60"/>
      <c r="H48" s="60"/>
      <c r="J48" s="60"/>
      <c r="K48" s="60"/>
      <c r="L48" s="60"/>
      <c r="M48" s="60"/>
      <c r="N48" s="72"/>
      <c r="O48" s="72"/>
      <c r="P48" s="72"/>
      <c r="Q48" s="62"/>
    </row>
    <row r="49" spans="1:17" s="56" customFormat="1" x14ac:dyDescent="0.2">
      <c r="A49" s="72"/>
      <c r="B49" s="60"/>
      <c r="C49" s="60"/>
      <c r="D49" s="61"/>
      <c r="E49" s="80"/>
      <c r="F49" s="60"/>
      <c r="G49" s="60"/>
      <c r="H49" s="60"/>
      <c r="J49" s="60"/>
      <c r="K49" s="60"/>
      <c r="L49" s="60"/>
      <c r="M49" s="60"/>
      <c r="N49" s="72"/>
      <c r="O49" s="72"/>
      <c r="P49" s="72"/>
      <c r="Q49" s="62"/>
    </row>
    <row r="50" spans="1:17" s="56" customFormat="1" x14ac:dyDescent="0.2">
      <c r="A50" s="72"/>
      <c r="B50" s="60"/>
      <c r="C50" s="60"/>
      <c r="D50" s="61"/>
      <c r="E50" s="80"/>
      <c r="F50" s="60"/>
      <c r="G50" s="60"/>
      <c r="H50" s="60"/>
      <c r="J50" s="60"/>
      <c r="K50" s="60"/>
      <c r="L50" s="60"/>
      <c r="M50" s="60"/>
      <c r="N50" s="72"/>
      <c r="O50" s="72"/>
      <c r="P50" s="72"/>
      <c r="Q50" s="62"/>
    </row>
    <row r="51" spans="1:17" s="56" customFormat="1" x14ac:dyDescent="0.2">
      <c r="A51" s="76"/>
      <c r="C51" s="60"/>
      <c r="D51" s="62"/>
      <c r="E51" s="80"/>
      <c r="G51" s="60"/>
      <c r="N51" s="73"/>
      <c r="O51" s="73"/>
      <c r="P51" s="73"/>
      <c r="Q51" s="62"/>
    </row>
    <row r="52" spans="1:17" s="56" customFormat="1" x14ac:dyDescent="0.2">
      <c r="A52" s="76"/>
      <c r="C52" s="60"/>
      <c r="D52" s="62"/>
      <c r="E52" s="80"/>
      <c r="G52" s="60"/>
      <c r="N52" s="73"/>
      <c r="O52" s="73"/>
      <c r="P52" s="73"/>
      <c r="Q52" s="62"/>
    </row>
    <row r="53" spans="1:17" s="56" customFormat="1" x14ac:dyDescent="0.2">
      <c r="A53" s="76"/>
      <c r="C53" s="60"/>
      <c r="D53" s="62"/>
      <c r="E53" s="80"/>
      <c r="G53" s="60"/>
      <c r="N53" s="73"/>
      <c r="O53" s="73"/>
      <c r="P53" s="73"/>
      <c r="Q53" s="62"/>
    </row>
    <row r="54" spans="1:17" s="56" customFormat="1" x14ac:dyDescent="0.2">
      <c r="A54" s="76"/>
      <c r="C54" s="60"/>
      <c r="D54" s="62"/>
      <c r="E54" s="80"/>
      <c r="G54" s="60"/>
      <c r="I54" s="60"/>
      <c r="N54" s="73"/>
      <c r="O54" s="73"/>
      <c r="P54" s="73"/>
      <c r="Q54" s="62"/>
    </row>
    <row r="55" spans="1:17" s="56" customFormat="1" x14ac:dyDescent="0.2">
      <c r="A55" s="76"/>
      <c r="C55" s="60"/>
      <c r="D55" s="62"/>
      <c r="E55" s="80"/>
      <c r="G55" s="60"/>
      <c r="I55" s="60"/>
      <c r="N55" s="73"/>
      <c r="O55" s="73"/>
      <c r="P55" s="73"/>
      <c r="Q55" s="62"/>
    </row>
    <row r="56" spans="1:17" s="56" customFormat="1" x14ac:dyDescent="0.2">
      <c r="A56" s="76"/>
      <c r="C56" s="60"/>
      <c r="D56" s="62"/>
      <c r="E56" s="80"/>
      <c r="G56" s="60"/>
      <c r="I56" s="60"/>
      <c r="N56" s="73"/>
      <c r="O56" s="73"/>
      <c r="P56" s="73"/>
      <c r="Q56" s="62"/>
    </row>
    <row r="57" spans="1:17" s="56" customFormat="1" x14ac:dyDescent="0.2">
      <c r="A57" s="76"/>
      <c r="C57" s="60"/>
      <c r="D57" s="62"/>
      <c r="E57" s="80"/>
      <c r="G57" s="60"/>
      <c r="I57" s="60"/>
      <c r="N57" s="73"/>
      <c r="O57" s="73"/>
      <c r="P57" s="73"/>
      <c r="Q57" s="62"/>
    </row>
    <row r="58" spans="1:17" s="56" customFormat="1" x14ac:dyDescent="0.2">
      <c r="A58" s="76"/>
      <c r="C58" s="60"/>
      <c r="D58" s="62"/>
      <c r="E58" s="80"/>
      <c r="G58" s="60"/>
      <c r="I58" s="60"/>
      <c r="N58" s="73"/>
      <c r="O58" s="73"/>
      <c r="P58" s="73"/>
      <c r="Q58" s="62"/>
    </row>
    <row r="59" spans="1:17" s="56" customFormat="1" x14ac:dyDescent="0.2">
      <c r="A59" s="76"/>
      <c r="C59" s="60"/>
      <c r="D59" s="62"/>
      <c r="E59" s="80"/>
      <c r="G59" s="60"/>
      <c r="I59" s="60"/>
      <c r="N59" s="73"/>
      <c r="O59" s="73"/>
      <c r="P59" s="73"/>
      <c r="Q59" s="62"/>
    </row>
    <row r="60" spans="1:17" s="56" customFormat="1" x14ac:dyDescent="0.2">
      <c r="A60" s="76"/>
      <c r="C60" s="60"/>
      <c r="D60" s="62"/>
      <c r="E60" s="80"/>
      <c r="G60" s="60"/>
      <c r="I60" s="60"/>
      <c r="N60" s="73"/>
      <c r="O60" s="73"/>
      <c r="P60" s="73"/>
      <c r="Q60" s="62"/>
    </row>
    <row r="61" spans="1:17" s="56" customFormat="1" x14ac:dyDescent="0.2">
      <c r="A61" s="76"/>
      <c r="C61" s="60"/>
      <c r="D61" s="62"/>
      <c r="E61" s="80"/>
      <c r="G61" s="60"/>
      <c r="I61" s="60"/>
      <c r="N61" s="73"/>
      <c r="O61" s="73"/>
      <c r="P61" s="73"/>
      <c r="Q61" s="62"/>
    </row>
    <row r="62" spans="1:17" s="56" customFormat="1" x14ac:dyDescent="0.2">
      <c r="A62" s="76"/>
      <c r="C62" s="60"/>
      <c r="D62" s="62"/>
      <c r="E62" s="80"/>
      <c r="G62" s="60"/>
      <c r="I62" s="60"/>
      <c r="N62" s="73"/>
      <c r="O62" s="73"/>
      <c r="P62" s="73"/>
      <c r="Q62" s="62"/>
    </row>
    <row r="63" spans="1:17" s="56" customFormat="1" x14ac:dyDescent="0.2">
      <c r="A63" s="76"/>
      <c r="C63" s="60"/>
      <c r="D63" s="62"/>
      <c r="E63" s="80"/>
      <c r="G63" s="60"/>
      <c r="I63" s="60"/>
      <c r="N63" s="73"/>
      <c r="O63" s="73"/>
      <c r="P63" s="73"/>
      <c r="Q63" s="62"/>
    </row>
    <row r="64" spans="1:17" s="56" customFormat="1" x14ac:dyDescent="0.2">
      <c r="A64" s="76"/>
      <c r="C64" s="60"/>
      <c r="D64" s="62"/>
      <c r="E64" s="80"/>
      <c r="G64" s="60"/>
      <c r="I64" s="60"/>
      <c r="N64" s="73"/>
      <c r="O64" s="73"/>
      <c r="P64" s="73"/>
      <c r="Q64" s="62"/>
    </row>
    <row r="65" spans="1:17" s="56" customFormat="1" x14ac:dyDescent="0.2">
      <c r="A65" s="76"/>
      <c r="C65" s="60"/>
      <c r="D65" s="62"/>
      <c r="E65" s="80"/>
      <c r="G65" s="60"/>
      <c r="I65" s="60"/>
      <c r="N65" s="73"/>
      <c r="O65" s="73"/>
      <c r="P65" s="73"/>
      <c r="Q65" s="62"/>
    </row>
    <row r="66" spans="1:17" s="56" customFormat="1" x14ac:dyDescent="0.2">
      <c r="A66" s="76"/>
      <c r="C66" s="60"/>
      <c r="D66" s="62"/>
      <c r="E66" s="80"/>
      <c r="G66" s="60"/>
      <c r="I66" s="60"/>
      <c r="N66" s="73"/>
      <c r="O66" s="73"/>
      <c r="P66" s="73"/>
      <c r="Q66" s="62"/>
    </row>
    <row r="67" spans="1:17" s="56" customFormat="1" x14ac:dyDescent="0.2">
      <c r="A67" s="76"/>
      <c r="C67" s="60"/>
      <c r="D67" s="62"/>
      <c r="E67" s="80"/>
      <c r="G67" s="60"/>
      <c r="I67" s="60"/>
      <c r="N67" s="73"/>
      <c r="O67" s="73"/>
      <c r="P67" s="73"/>
      <c r="Q67" s="62"/>
    </row>
    <row r="68" spans="1:17" s="56" customFormat="1" x14ac:dyDescent="0.2">
      <c r="A68" s="76"/>
      <c r="C68" s="60"/>
      <c r="D68" s="62"/>
      <c r="E68" s="80"/>
      <c r="G68" s="60"/>
      <c r="I68" s="60"/>
      <c r="N68" s="73"/>
      <c r="O68" s="73"/>
      <c r="P68" s="73"/>
      <c r="Q68" s="62"/>
    </row>
    <row r="69" spans="1:17" s="56" customFormat="1" x14ac:dyDescent="0.2">
      <c r="A69" s="76"/>
      <c r="C69" s="60"/>
      <c r="D69" s="62"/>
      <c r="E69" s="80"/>
      <c r="G69" s="60"/>
      <c r="I69" s="60"/>
      <c r="L69" s="60"/>
      <c r="N69" s="73"/>
      <c r="O69" s="73"/>
      <c r="P69" s="73"/>
      <c r="Q69" s="62"/>
    </row>
    <row r="70" spans="1:17" s="56" customFormat="1" x14ac:dyDescent="0.2">
      <c r="A70" s="76"/>
      <c r="C70" s="60"/>
      <c r="D70" s="62"/>
      <c r="E70" s="80"/>
      <c r="G70" s="60"/>
      <c r="I70" s="60"/>
      <c r="N70" s="73"/>
      <c r="O70" s="73"/>
      <c r="P70" s="73"/>
      <c r="Q70" s="62"/>
    </row>
    <row r="71" spans="1:17" s="56" customFormat="1" x14ac:dyDescent="0.2">
      <c r="A71" s="73"/>
      <c r="C71" s="60"/>
      <c r="D71" s="62"/>
      <c r="E71" s="80"/>
      <c r="G71" s="60"/>
      <c r="I71" s="60"/>
      <c r="N71" s="73"/>
      <c r="O71" s="73"/>
      <c r="P71" s="73"/>
      <c r="Q71" s="62"/>
    </row>
    <row r="72" spans="1:17" s="56" customFormat="1" x14ac:dyDescent="0.2">
      <c r="A72" s="73"/>
      <c r="C72" s="60"/>
      <c r="D72" s="62"/>
      <c r="E72" s="80"/>
      <c r="G72" s="60"/>
      <c r="I72" s="60"/>
      <c r="N72" s="73"/>
      <c r="O72" s="73"/>
      <c r="P72" s="73"/>
      <c r="Q72" s="62"/>
    </row>
    <row r="73" spans="1:17" s="56" customFormat="1" x14ac:dyDescent="0.2">
      <c r="A73" s="73"/>
      <c r="C73" s="60"/>
      <c r="D73" s="62"/>
      <c r="E73" s="80"/>
      <c r="G73" s="60"/>
      <c r="I73" s="60"/>
      <c r="N73" s="73"/>
      <c r="O73" s="73"/>
      <c r="P73" s="73"/>
      <c r="Q73" s="62"/>
    </row>
    <row r="74" spans="1:17" s="56" customFormat="1" x14ac:dyDescent="0.2">
      <c r="A74" s="73"/>
      <c r="C74" s="60"/>
      <c r="D74" s="62"/>
      <c r="E74" s="80"/>
      <c r="G74" s="60"/>
      <c r="I74" s="60"/>
      <c r="N74" s="73"/>
      <c r="O74" s="73"/>
      <c r="P74" s="73"/>
      <c r="Q74" s="62"/>
    </row>
    <row r="75" spans="1:17" s="56" customFormat="1" x14ac:dyDescent="0.2">
      <c r="A75" s="73"/>
      <c r="C75" s="60"/>
      <c r="D75" s="62"/>
      <c r="E75" s="80"/>
      <c r="G75" s="60"/>
      <c r="I75" s="60"/>
      <c r="N75" s="73"/>
      <c r="O75" s="73"/>
      <c r="P75" s="73"/>
      <c r="Q75" s="62"/>
    </row>
    <row r="76" spans="1:17" s="56" customFormat="1" x14ac:dyDescent="0.2">
      <c r="A76" s="73"/>
      <c r="C76" s="60"/>
      <c r="D76" s="62"/>
      <c r="E76" s="80"/>
      <c r="G76" s="60"/>
      <c r="I76" s="60"/>
      <c r="N76" s="73"/>
      <c r="O76" s="73"/>
      <c r="P76" s="73"/>
      <c r="Q76" s="62"/>
    </row>
    <row r="77" spans="1:17" s="56" customFormat="1" x14ac:dyDescent="0.2">
      <c r="A77" s="73"/>
      <c r="C77" s="60"/>
      <c r="D77" s="62"/>
      <c r="E77" s="80"/>
      <c r="G77" s="60"/>
      <c r="I77" s="60"/>
      <c r="N77" s="73"/>
      <c r="O77" s="73"/>
      <c r="P77" s="73"/>
      <c r="Q77" s="62"/>
    </row>
    <row r="78" spans="1:17" s="56" customFormat="1" x14ac:dyDescent="0.2">
      <c r="A78" s="73"/>
      <c r="C78" s="60"/>
      <c r="D78" s="62"/>
      <c r="E78" s="80"/>
      <c r="G78" s="60"/>
      <c r="I78" s="60"/>
      <c r="N78" s="73"/>
      <c r="O78" s="73"/>
      <c r="P78" s="73"/>
      <c r="Q78" s="62"/>
    </row>
    <row r="79" spans="1:17" s="56" customFormat="1" x14ac:dyDescent="0.2">
      <c r="A79" s="73"/>
      <c r="C79" s="60"/>
      <c r="D79" s="62"/>
      <c r="E79" s="80"/>
      <c r="G79" s="60"/>
      <c r="I79" s="60"/>
      <c r="N79" s="73"/>
      <c r="O79" s="73"/>
      <c r="P79" s="73"/>
      <c r="Q79" s="62"/>
    </row>
    <row r="80" spans="1:17" s="56" customFormat="1" x14ac:dyDescent="0.2">
      <c r="A80" s="73"/>
      <c r="C80" s="60"/>
      <c r="D80" s="62"/>
      <c r="E80" s="80"/>
      <c r="G80" s="60"/>
      <c r="I80" s="60"/>
      <c r="N80" s="73"/>
      <c r="O80" s="73"/>
      <c r="P80" s="73"/>
      <c r="Q80" s="62"/>
    </row>
    <row r="81" spans="1:17" s="56" customFormat="1" x14ac:dyDescent="0.2">
      <c r="A81" s="73"/>
      <c r="C81" s="60"/>
      <c r="D81" s="62"/>
      <c r="E81" s="80"/>
      <c r="G81" s="60"/>
      <c r="I81" s="60"/>
      <c r="N81" s="73"/>
      <c r="O81" s="73"/>
      <c r="P81" s="73"/>
      <c r="Q81" s="62"/>
    </row>
    <row r="82" spans="1:17" s="56" customFormat="1" x14ac:dyDescent="0.2">
      <c r="A82" s="73"/>
      <c r="C82" s="60"/>
      <c r="D82" s="62"/>
      <c r="E82" s="80"/>
      <c r="G82" s="60"/>
      <c r="I82" s="60"/>
      <c r="N82" s="73"/>
      <c r="O82" s="73"/>
      <c r="P82" s="73"/>
      <c r="Q82" s="62"/>
    </row>
    <row r="83" spans="1:17" s="56" customFormat="1" x14ac:dyDescent="0.2">
      <c r="A83" s="73"/>
      <c r="C83" s="60"/>
      <c r="D83" s="62"/>
      <c r="E83" s="80"/>
      <c r="G83" s="60"/>
      <c r="I83" s="60"/>
      <c r="N83" s="73"/>
      <c r="O83" s="73"/>
      <c r="P83" s="73"/>
      <c r="Q83" s="62"/>
    </row>
    <row r="84" spans="1:17" s="56" customFormat="1" x14ac:dyDescent="0.2">
      <c r="A84" s="73"/>
      <c r="C84" s="60"/>
      <c r="D84" s="62"/>
      <c r="E84" s="80"/>
      <c r="G84" s="60"/>
      <c r="I84" s="60"/>
      <c r="N84" s="73"/>
      <c r="O84" s="73"/>
      <c r="P84" s="73"/>
      <c r="Q84" s="62"/>
    </row>
    <row r="85" spans="1:17" s="56" customFormat="1" x14ac:dyDescent="0.2">
      <c r="A85" s="73"/>
      <c r="C85" s="60"/>
      <c r="D85" s="62"/>
      <c r="E85" s="80"/>
      <c r="G85" s="60"/>
      <c r="I85" s="60"/>
      <c r="N85" s="73"/>
      <c r="O85" s="73"/>
      <c r="P85" s="73"/>
      <c r="Q85" s="62"/>
    </row>
    <row r="86" spans="1:17" s="56" customFormat="1" x14ac:dyDescent="0.2">
      <c r="A86" s="73"/>
      <c r="C86" s="60"/>
      <c r="D86" s="62"/>
      <c r="E86" s="80"/>
      <c r="G86" s="60"/>
      <c r="I86" s="60"/>
      <c r="N86" s="73"/>
      <c r="O86" s="73"/>
      <c r="P86" s="73"/>
      <c r="Q86" s="62"/>
    </row>
    <row r="87" spans="1:17" s="56" customFormat="1" x14ac:dyDescent="0.2">
      <c r="A87" s="73"/>
      <c r="C87" s="60"/>
      <c r="D87" s="62"/>
      <c r="E87" s="80"/>
      <c r="G87" s="60"/>
      <c r="I87" s="60"/>
      <c r="N87" s="73"/>
      <c r="O87" s="73"/>
      <c r="P87" s="73"/>
      <c r="Q87" s="62"/>
    </row>
    <row r="88" spans="1:17" s="56" customFormat="1" x14ac:dyDescent="0.2">
      <c r="A88" s="73"/>
      <c r="C88" s="60"/>
      <c r="D88" s="62"/>
      <c r="E88" s="80"/>
      <c r="G88" s="60"/>
      <c r="I88" s="60"/>
      <c r="N88" s="73"/>
      <c r="O88" s="73"/>
      <c r="P88" s="73"/>
      <c r="Q88" s="62"/>
    </row>
    <row r="89" spans="1:17" s="56" customFormat="1" x14ac:dyDescent="0.2">
      <c r="A89" s="73"/>
      <c r="C89" s="60"/>
      <c r="D89" s="62"/>
      <c r="E89" s="80"/>
      <c r="G89" s="60"/>
      <c r="I89" s="60"/>
      <c r="N89" s="73"/>
      <c r="O89" s="73"/>
      <c r="P89" s="73"/>
      <c r="Q89" s="62"/>
    </row>
    <row r="90" spans="1:17" s="56" customFormat="1" x14ac:dyDescent="0.2">
      <c r="A90" s="73"/>
      <c r="C90" s="60"/>
      <c r="D90" s="62"/>
      <c r="E90" s="80"/>
      <c r="G90" s="60"/>
      <c r="I90" s="60"/>
      <c r="N90" s="73"/>
      <c r="O90" s="73"/>
      <c r="P90" s="73"/>
      <c r="Q90" s="62"/>
    </row>
    <row r="91" spans="1:17" s="56" customFormat="1" x14ac:dyDescent="0.2">
      <c r="A91" s="73"/>
      <c r="C91" s="60"/>
      <c r="D91" s="62"/>
      <c r="E91" s="80"/>
      <c r="G91" s="60"/>
      <c r="I91" s="60"/>
      <c r="N91" s="73"/>
      <c r="O91" s="73"/>
      <c r="P91" s="73"/>
      <c r="Q91" s="62"/>
    </row>
    <row r="92" spans="1:17" s="56" customFormat="1" x14ac:dyDescent="0.2">
      <c r="A92" s="73"/>
      <c r="C92" s="60"/>
      <c r="D92" s="62"/>
      <c r="E92" s="80"/>
      <c r="G92" s="60"/>
      <c r="I92" s="60"/>
      <c r="N92" s="73"/>
      <c r="O92" s="73"/>
      <c r="P92" s="73"/>
      <c r="Q92" s="62"/>
    </row>
    <row r="93" spans="1:17" s="56" customFormat="1" x14ac:dyDescent="0.2">
      <c r="A93" s="73"/>
      <c r="C93" s="60"/>
      <c r="D93" s="62"/>
      <c r="E93" s="80"/>
      <c r="G93" s="60"/>
      <c r="I93" s="60"/>
      <c r="N93" s="73"/>
      <c r="O93" s="73"/>
      <c r="P93" s="73"/>
      <c r="Q93" s="62"/>
    </row>
    <row r="94" spans="1:17" s="56" customFormat="1" x14ac:dyDescent="0.2">
      <c r="A94" s="73"/>
      <c r="C94" s="60"/>
      <c r="D94" s="62"/>
      <c r="E94" s="80"/>
      <c r="G94" s="60"/>
      <c r="I94" s="60"/>
      <c r="N94" s="73"/>
      <c r="O94" s="73"/>
      <c r="P94" s="73"/>
      <c r="Q94" s="62"/>
    </row>
    <row r="95" spans="1:17" s="56" customFormat="1" x14ac:dyDescent="0.2">
      <c r="A95" s="73"/>
      <c r="C95" s="60"/>
      <c r="D95" s="62"/>
      <c r="E95" s="80"/>
      <c r="G95" s="60"/>
      <c r="I95" s="60"/>
      <c r="N95" s="73"/>
      <c r="O95" s="73"/>
      <c r="P95" s="73"/>
      <c r="Q95" s="62"/>
    </row>
    <row r="96" spans="1:17" s="56" customFormat="1" x14ac:dyDescent="0.2">
      <c r="A96" s="73"/>
      <c r="C96" s="60"/>
      <c r="D96" s="62"/>
      <c r="E96" s="80"/>
      <c r="G96" s="60"/>
      <c r="I96" s="60"/>
      <c r="N96" s="73"/>
      <c r="O96" s="73"/>
      <c r="P96" s="73"/>
      <c r="Q96" s="62"/>
    </row>
    <row r="97" spans="1:17" s="56" customFormat="1" x14ac:dyDescent="0.2">
      <c r="A97" s="73"/>
      <c r="C97" s="60"/>
      <c r="D97" s="62"/>
      <c r="E97" s="80"/>
      <c r="G97" s="60"/>
      <c r="I97" s="60"/>
      <c r="N97" s="73"/>
      <c r="O97" s="73"/>
      <c r="P97" s="73"/>
      <c r="Q97" s="62"/>
    </row>
    <row r="98" spans="1:17" s="56" customFormat="1" x14ac:dyDescent="0.2">
      <c r="A98" s="73"/>
      <c r="C98" s="60"/>
      <c r="D98" s="62"/>
      <c r="E98" s="80"/>
      <c r="G98" s="60"/>
      <c r="I98" s="60"/>
      <c r="N98" s="73"/>
      <c r="O98" s="73"/>
      <c r="P98" s="73"/>
      <c r="Q98" s="62"/>
    </row>
    <row r="99" spans="1:17" s="56" customFormat="1" x14ac:dyDescent="0.2">
      <c r="A99" s="73"/>
      <c r="C99" s="60"/>
      <c r="D99" s="62"/>
      <c r="E99" s="80"/>
      <c r="G99" s="60"/>
      <c r="I99" s="60"/>
      <c r="N99" s="73"/>
      <c r="O99" s="73"/>
      <c r="P99" s="73"/>
      <c r="Q99" s="62"/>
    </row>
    <row r="100" spans="1:17" s="56" customFormat="1" x14ac:dyDescent="0.2">
      <c r="A100" s="73"/>
      <c r="C100" s="60"/>
      <c r="D100" s="62"/>
      <c r="E100" s="80"/>
      <c r="G100" s="60"/>
      <c r="I100" s="60"/>
      <c r="N100" s="73"/>
      <c r="O100" s="73"/>
      <c r="P100" s="73"/>
      <c r="Q100" s="62"/>
    </row>
    <row r="101" spans="1:17" s="56" customFormat="1" x14ac:dyDescent="0.2">
      <c r="A101" s="73"/>
      <c r="C101" s="60"/>
      <c r="D101" s="62"/>
      <c r="E101" s="80"/>
      <c r="G101" s="60"/>
      <c r="I101" s="60"/>
      <c r="N101" s="73"/>
      <c r="O101" s="73"/>
      <c r="P101" s="73"/>
      <c r="Q101" s="62"/>
    </row>
    <row r="102" spans="1:17" s="56" customFormat="1" x14ac:dyDescent="0.2">
      <c r="A102" s="73"/>
      <c r="C102" s="60"/>
      <c r="D102" s="62"/>
      <c r="E102" s="80"/>
      <c r="G102" s="60"/>
      <c r="I102" s="60"/>
      <c r="N102" s="73"/>
      <c r="O102" s="73"/>
      <c r="P102" s="73"/>
      <c r="Q102" s="62"/>
    </row>
    <row r="103" spans="1:17" s="56" customFormat="1" x14ac:dyDescent="0.2">
      <c r="A103" s="73"/>
      <c r="C103" s="60"/>
      <c r="D103" s="62"/>
      <c r="E103" s="80"/>
      <c r="G103" s="60"/>
      <c r="I103" s="60"/>
      <c r="N103" s="73"/>
      <c r="O103" s="73"/>
      <c r="P103" s="73"/>
      <c r="Q103" s="62"/>
    </row>
    <row r="104" spans="1:17" s="56" customFormat="1" x14ac:dyDescent="0.2">
      <c r="A104" s="73"/>
      <c r="C104" s="60"/>
      <c r="D104" s="62"/>
      <c r="E104" s="80"/>
      <c r="G104" s="60"/>
      <c r="I104" s="60"/>
      <c r="N104" s="73"/>
      <c r="O104" s="73"/>
      <c r="P104" s="73"/>
      <c r="Q104" s="62"/>
    </row>
    <row r="105" spans="1:17" s="56" customFormat="1" x14ac:dyDescent="0.2">
      <c r="A105" s="73"/>
      <c r="C105" s="60"/>
      <c r="D105" s="62"/>
      <c r="E105" s="80"/>
      <c r="G105" s="60"/>
      <c r="I105" s="60"/>
      <c r="N105" s="73"/>
      <c r="O105" s="73"/>
      <c r="P105" s="73"/>
      <c r="Q105" s="62"/>
    </row>
    <row r="106" spans="1:17" s="56" customFormat="1" x14ac:dyDescent="0.2">
      <c r="A106" s="73"/>
      <c r="C106" s="60"/>
      <c r="D106" s="62"/>
      <c r="E106" s="80"/>
      <c r="G106" s="60"/>
      <c r="I106" s="60"/>
      <c r="N106" s="73"/>
      <c r="O106" s="73"/>
      <c r="P106" s="73"/>
      <c r="Q106" s="62"/>
    </row>
    <row r="107" spans="1:17" s="56" customFormat="1" x14ac:dyDescent="0.2">
      <c r="A107" s="73"/>
      <c r="C107" s="60"/>
      <c r="D107" s="62"/>
      <c r="E107" s="80"/>
      <c r="G107" s="60"/>
      <c r="I107" s="60"/>
      <c r="N107" s="73"/>
      <c r="O107" s="73"/>
      <c r="P107" s="73"/>
      <c r="Q107" s="62"/>
    </row>
    <row r="108" spans="1:17" s="56" customFormat="1" x14ac:dyDescent="0.2">
      <c r="A108" s="73"/>
      <c r="C108" s="60"/>
      <c r="D108" s="62"/>
      <c r="E108" s="80"/>
      <c r="G108" s="60"/>
      <c r="I108" s="60"/>
      <c r="N108" s="73"/>
      <c r="O108" s="73"/>
      <c r="P108" s="73"/>
      <c r="Q108" s="62"/>
    </row>
    <row r="109" spans="1:17" s="56" customFormat="1" x14ac:dyDescent="0.2">
      <c r="A109" s="73"/>
      <c r="C109" s="60"/>
      <c r="D109" s="62"/>
      <c r="E109" s="80"/>
      <c r="G109" s="60"/>
      <c r="I109" s="60"/>
      <c r="N109" s="73"/>
      <c r="O109" s="73"/>
      <c r="P109" s="73"/>
      <c r="Q109" s="62"/>
    </row>
    <row r="110" spans="1:17" s="56" customFormat="1" x14ac:dyDescent="0.2">
      <c r="A110" s="73"/>
      <c r="C110" s="60"/>
      <c r="D110" s="62"/>
      <c r="E110" s="80"/>
      <c r="G110" s="60"/>
      <c r="I110" s="60"/>
      <c r="N110" s="73"/>
      <c r="O110" s="73"/>
      <c r="P110" s="73"/>
      <c r="Q110" s="62"/>
    </row>
    <row r="111" spans="1:17" s="56" customFormat="1" x14ac:dyDescent="0.2">
      <c r="A111" s="73"/>
      <c r="C111" s="60"/>
      <c r="D111" s="62"/>
      <c r="E111" s="80"/>
      <c r="G111" s="60"/>
      <c r="N111" s="73"/>
      <c r="O111" s="73"/>
      <c r="P111" s="73"/>
      <c r="Q111" s="62"/>
    </row>
    <row r="112" spans="1:17"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A2:B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222</v>
      </c>
      <c r="C1" s="65" t="s">
        <v>223</v>
      </c>
      <c r="D1" s="65" t="s">
        <v>224</v>
      </c>
      <c r="E1" s="55" t="s">
        <v>225</v>
      </c>
      <c r="F1" s="55" t="s">
        <v>226</v>
      </c>
      <c r="G1" s="55" t="s">
        <v>227</v>
      </c>
      <c r="H1" s="55" t="s">
        <v>228</v>
      </c>
      <c r="I1" s="55" t="s">
        <v>229</v>
      </c>
      <c r="J1" s="55" t="s">
        <v>230</v>
      </c>
    </row>
    <row r="2" spans="1:10" x14ac:dyDescent="0.25">
      <c r="A2" t="s">
        <v>47</v>
      </c>
      <c r="B2" s="31">
        <v>9.3715271248322924</v>
      </c>
      <c r="C2" s="31">
        <v>3.8928157552179021</v>
      </c>
      <c r="D2" s="31">
        <v>19.695626617022231</v>
      </c>
      <c r="E2" s="93">
        <v>1000</v>
      </c>
      <c r="F2" s="94" t="s">
        <v>231</v>
      </c>
      <c r="G2" s="94" t="s">
        <v>232</v>
      </c>
      <c r="H2">
        <v>40</v>
      </c>
      <c r="I2">
        <v>6</v>
      </c>
      <c r="J2">
        <v>731</v>
      </c>
    </row>
    <row r="3" spans="1:10" x14ac:dyDescent="0.25">
      <c r="B3" s="31"/>
      <c r="C3" s="31"/>
      <c r="D3" s="31"/>
      <c r="E3" s="93"/>
      <c r="F3" s="94"/>
      <c r="G3" s="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5" sqref="A2: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222</v>
      </c>
      <c r="C1" s="65" t="s">
        <v>223</v>
      </c>
      <c r="D1" s="65" t="s">
        <v>224</v>
      </c>
      <c r="E1" s="55" t="s">
        <v>225</v>
      </c>
      <c r="F1" s="55" t="s">
        <v>226</v>
      </c>
      <c r="G1" s="55" t="s">
        <v>227</v>
      </c>
      <c r="H1" s="55" t="s">
        <v>228</v>
      </c>
      <c r="I1" s="55" t="s">
        <v>229</v>
      </c>
      <c r="J1" s="55" t="s">
        <v>230</v>
      </c>
    </row>
    <row r="2" spans="1:10" x14ac:dyDescent="0.25">
      <c r="A2" t="s">
        <v>59</v>
      </c>
      <c r="B2" s="31">
        <v>7.0657011975831763</v>
      </c>
      <c r="C2" s="31">
        <v>1.3088350630459689</v>
      </c>
      <c r="D2" s="31">
        <v>23.739789625312213</v>
      </c>
      <c r="E2" s="93">
        <v>1000</v>
      </c>
      <c r="F2" s="94" t="s">
        <v>231</v>
      </c>
      <c r="G2" s="94" t="s">
        <v>232</v>
      </c>
      <c r="H2">
        <v>14</v>
      </c>
      <c r="I2">
        <v>2</v>
      </c>
      <c r="J2">
        <v>298</v>
      </c>
    </row>
    <row r="3" spans="1:10" x14ac:dyDescent="0.25">
      <c r="A3" t="s">
        <v>58</v>
      </c>
      <c r="B3" s="31">
        <v>13.244824064374818</v>
      </c>
      <c r="C3" s="31">
        <v>2.4227965883727429</v>
      </c>
      <c r="D3" s="31">
        <v>47.569765505504733</v>
      </c>
      <c r="E3" s="93">
        <v>1000</v>
      </c>
      <c r="F3" s="94" t="s">
        <v>231</v>
      </c>
      <c r="G3" s="94" t="s">
        <v>232</v>
      </c>
      <c r="H3">
        <v>11</v>
      </c>
      <c r="I3">
        <v>2</v>
      </c>
      <c r="J3">
        <v>176</v>
      </c>
    </row>
    <row r="4" spans="1:10" x14ac:dyDescent="0.25">
      <c r="A4" t="s">
        <v>60</v>
      </c>
      <c r="B4" s="31">
        <v>8.80848038619094</v>
      </c>
      <c r="C4" s="31">
        <v>1.7109386075490487</v>
      </c>
      <c r="D4" s="31">
        <v>29.990906269131337</v>
      </c>
      <c r="E4" s="93">
        <v>1000</v>
      </c>
      <c r="F4" s="94" t="s">
        <v>231</v>
      </c>
      <c r="G4" s="94" t="s">
        <v>232</v>
      </c>
      <c r="H4">
        <v>12</v>
      </c>
      <c r="I4">
        <v>2</v>
      </c>
      <c r="J4">
        <v>238</v>
      </c>
    </row>
    <row r="5" spans="1:10" x14ac:dyDescent="0.25">
      <c r="A5" t="s">
        <v>61</v>
      </c>
      <c r="B5" s="31">
        <v>0</v>
      </c>
      <c r="C5" s="31">
        <v>0</v>
      </c>
      <c r="D5" s="31">
        <v>117.21943311225051</v>
      </c>
      <c r="E5" s="93">
        <v>1000</v>
      </c>
      <c r="F5" s="94" t="s">
        <v>62</v>
      </c>
      <c r="G5" s="94" t="s">
        <v>234</v>
      </c>
      <c r="H5">
        <v>3</v>
      </c>
      <c r="I5">
        <v>0</v>
      </c>
      <c r="J5">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222</v>
      </c>
      <c r="C1" s="65" t="s">
        <v>223</v>
      </c>
      <c r="D1" s="65" t="s">
        <v>224</v>
      </c>
      <c r="E1" s="55" t="s">
        <v>225</v>
      </c>
      <c r="F1" s="55" t="s">
        <v>226</v>
      </c>
      <c r="G1" s="55" t="s">
        <v>227</v>
      </c>
      <c r="H1" s="55" t="s">
        <v>228</v>
      </c>
      <c r="I1" s="55" t="s">
        <v>229</v>
      </c>
      <c r="J1" s="55" t="s">
        <v>230</v>
      </c>
    </row>
    <row r="2" spans="1:10" x14ac:dyDescent="0.25">
      <c r="A2" t="s">
        <v>213</v>
      </c>
      <c r="B2" s="31">
        <v>10.097214330065331</v>
      </c>
      <c r="C2" s="31">
        <v>4.2244273913896055</v>
      </c>
      <c r="D2" s="31">
        <v>21.211496070983976</v>
      </c>
      <c r="E2" s="93">
        <v>1000</v>
      </c>
      <c r="F2" s="94" t="s">
        <v>231</v>
      </c>
      <c r="G2" s="94" t="s">
        <v>232</v>
      </c>
      <c r="H2">
        <v>30</v>
      </c>
      <c r="I2">
        <v>6</v>
      </c>
      <c r="J2">
        <v>684</v>
      </c>
    </row>
    <row r="3" spans="1:10" x14ac:dyDescent="0.25">
      <c r="A3" t="s">
        <v>214</v>
      </c>
      <c r="B3" s="31">
        <v>0</v>
      </c>
      <c r="C3" s="31">
        <v>0</v>
      </c>
      <c r="D3" s="31">
        <v>65.637259657317813</v>
      </c>
      <c r="E3" s="93">
        <v>1000</v>
      </c>
      <c r="F3" s="94" t="s">
        <v>62</v>
      </c>
      <c r="G3" s="94" t="s">
        <v>234</v>
      </c>
      <c r="H3">
        <v>10</v>
      </c>
      <c r="I3">
        <v>0</v>
      </c>
      <c r="J3">
        <v>47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B8" sqref="A2:B8"/>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222</v>
      </c>
      <c r="C1" s="65" t="s">
        <v>223</v>
      </c>
      <c r="D1" s="65" t="s">
        <v>224</v>
      </c>
      <c r="E1" s="55" t="s">
        <v>225</v>
      </c>
      <c r="F1" s="55" t="s">
        <v>226</v>
      </c>
      <c r="G1" s="55" t="s">
        <v>227</v>
      </c>
      <c r="H1" s="55" t="s">
        <v>228</v>
      </c>
      <c r="I1" s="55" t="s">
        <v>229</v>
      </c>
      <c r="J1" s="55" t="s">
        <v>230</v>
      </c>
    </row>
    <row r="2" spans="1:10" x14ac:dyDescent="0.25">
      <c r="A2" t="s">
        <v>215</v>
      </c>
      <c r="B2" s="31">
        <v>7.5860610578250345</v>
      </c>
      <c r="C2" s="31">
        <v>1.4236049598490368</v>
      </c>
      <c r="D2" s="31">
        <v>25.596615742888542</v>
      </c>
      <c r="E2" s="93">
        <v>1000</v>
      </c>
      <c r="F2" s="94" t="s">
        <v>231</v>
      </c>
      <c r="G2" s="94" t="s">
        <v>232</v>
      </c>
      <c r="H2">
        <v>10</v>
      </c>
      <c r="I2">
        <v>2</v>
      </c>
      <c r="J2">
        <v>277</v>
      </c>
    </row>
    <row r="3" spans="1:10" x14ac:dyDescent="0.25">
      <c r="A3" t="s">
        <v>216</v>
      </c>
      <c r="B3" s="31">
        <v>0</v>
      </c>
      <c r="C3" s="31">
        <v>0</v>
      </c>
      <c r="D3" s="31">
        <v>119.66963306371433</v>
      </c>
      <c r="E3" s="93">
        <v>1000</v>
      </c>
      <c r="F3" s="94" t="s">
        <v>62</v>
      </c>
      <c r="G3" s="94" t="s">
        <v>234</v>
      </c>
      <c r="H3">
        <v>4</v>
      </c>
      <c r="I3">
        <v>0</v>
      </c>
      <c r="J3">
        <v>21</v>
      </c>
    </row>
    <row r="4" spans="1:10" x14ac:dyDescent="0.25">
      <c r="A4" t="s">
        <v>218</v>
      </c>
      <c r="B4" s="31">
        <v>14.64358537894234</v>
      </c>
      <c r="C4" s="31">
        <v>2.7713537108236639</v>
      </c>
      <c r="D4" s="31">
        <v>54.036774118524562</v>
      </c>
      <c r="E4" s="93">
        <v>1000</v>
      </c>
      <c r="F4" s="94" t="s">
        <v>231</v>
      </c>
      <c r="G4" s="94" t="s">
        <v>232</v>
      </c>
      <c r="H4">
        <v>7</v>
      </c>
      <c r="I4">
        <v>2</v>
      </c>
      <c r="J4">
        <v>159</v>
      </c>
    </row>
    <row r="5" spans="1:10" x14ac:dyDescent="0.25">
      <c r="A5" t="s">
        <v>217</v>
      </c>
      <c r="B5" s="31">
        <v>0</v>
      </c>
      <c r="C5" s="31">
        <v>0</v>
      </c>
      <c r="D5" s="31">
        <v>136.42467298560371</v>
      </c>
      <c r="E5" s="93">
        <v>1000</v>
      </c>
      <c r="F5" s="94" t="s">
        <v>62</v>
      </c>
      <c r="G5" s="94" t="s">
        <v>234</v>
      </c>
      <c r="H5">
        <v>4</v>
      </c>
      <c r="I5">
        <v>0</v>
      </c>
      <c r="J5">
        <v>17</v>
      </c>
    </row>
    <row r="6" spans="1:10" x14ac:dyDescent="0.25">
      <c r="A6" t="s">
        <v>219</v>
      </c>
      <c r="B6" s="31">
        <v>8.80848038619094</v>
      </c>
      <c r="C6" s="31">
        <v>1.7109386075490487</v>
      </c>
      <c r="D6" s="31">
        <v>29.990906269131337</v>
      </c>
      <c r="E6" s="93">
        <v>1000</v>
      </c>
      <c r="F6" s="94" t="s">
        <v>231</v>
      </c>
      <c r="G6" s="94" t="s">
        <v>232</v>
      </c>
      <c r="H6">
        <v>12</v>
      </c>
      <c r="I6">
        <v>2</v>
      </c>
      <c r="J6">
        <v>238</v>
      </c>
    </row>
    <row r="7" spans="1:10" x14ac:dyDescent="0.25">
      <c r="A7" t="s">
        <v>221</v>
      </c>
      <c r="B7" s="31">
        <v>0</v>
      </c>
      <c r="C7" s="31">
        <v>0</v>
      </c>
      <c r="D7" s="31">
        <v>145.91248037878626</v>
      </c>
      <c r="E7" s="93">
        <v>1000</v>
      </c>
      <c r="F7" s="94" t="s">
        <v>62</v>
      </c>
      <c r="G7" s="94" t="s">
        <v>234</v>
      </c>
      <c r="H7">
        <v>1</v>
      </c>
      <c r="I7">
        <v>0</v>
      </c>
      <c r="J7">
        <v>10</v>
      </c>
    </row>
    <row r="8" spans="1:10" x14ac:dyDescent="0.25">
      <c r="A8" t="s">
        <v>220</v>
      </c>
      <c r="B8" s="31">
        <v>0</v>
      </c>
      <c r="C8" s="31">
        <v>0</v>
      </c>
      <c r="D8" s="31">
        <v>211.26542009996876</v>
      </c>
      <c r="E8" s="93">
        <v>1000</v>
      </c>
      <c r="F8" s="94" t="s">
        <v>62</v>
      </c>
      <c r="G8" s="94" t="s">
        <v>234</v>
      </c>
      <c r="H8">
        <v>2</v>
      </c>
      <c r="I8">
        <v>0</v>
      </c>
      <c r="J8">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1"/>
  <sheetViews>
    <sheetView topLeftCell="C1" zoomScaleNormal="100" workbookViewId="0">
      <selection activeCell="C1"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v>37</v>
      </c>
      <c r="B2" s="85">
        <v>43355</v>
      </c>
      <c r="C2" t="s">
        <v>115</v>
      </c>
      <c r="D2" s="41" t="s">
        <v>61</v>
      </c>
      <c r="E2" t="s">
        <v>173</v>
      </c>
      <c r="F2" t="s">
        <v>148</v>
      </c>
      <c r="G2" t="s">
        <v>149</v>
      </c>
      <c r="H2">
        <v>0</v>
      </c>
      <c r="I2">
        <v>0</v>
      </c>
      <c r="J2">
        <v>0</v>
      </c>
      <c r="K2">
        <v>0</v>
      </c>
      <c r="L2"/>
      <c r="M2" t="s">
        <v>276</v>
      </c>
      <c r="N2"/>
      <c r="O2"/>
      <c r="P2"/>
      <c r="Q2"/>
      <c r="R2"/>
      <c r="S2"/>
      <c r="T2"/>
      <c r="U2"/>
      <c r="V2"/>
      <c r="W2"/>
    </row>
    <row r="3" spans="1:23" x14ac:dyDescent="0.25">
      <c r="A3" s="41">
        <v>37</v>
      </c>
      <c r="B3" s="85">
        <v>43354</v>
      </c>
      <c r="C3" s="41" t="s">
        <v>124</v>
      </c>
      <c r="D3" s="41" t="s">
        <v>60</v>
      </c>
      <c r="E3" s="41" t="s">
        <v>165</v>
      </c>
      <c r="F3" s="41" t="s">
        <v>148</v>
      </c>
      <c r="G3" s="41" t="s">
        <v>149</v>
      </c>
      <c r="H3" s="41">
        <v>0</v>
      </c>
      <c r="I3" s="41">
        <v>2</v>
      </c>
      <c r="J3" s="41">
        <v>2</v>
      </c>
      <c r="K3" s="41">
        <v>2</v>
      </c>
    </row>
    <row r="4" spans="1:23" x14ac:dyDescent="0.25">
      <c r="A4" s="41">
        <v>37</v>
      </c>
      <c r="B4" s="85">
        <v>43354</v>
      </c>
      <c r="C4" s="41" t="s">
        <v>144</v>
      </c>
      <c r="D4" s="41" t="s">
        <v>59</v>
      </c>
      <c r="E4" s="41" t="s">
        <v>150</v>
      </c>
      <c r="F4" s="41" t="s">
        <v>148</v>
      </c>
      <c r="G4" s="41" t="s">
        <v>149</v>
      </c>
      <c r="H4" s="41">
        <v>0</v>
      </c>
      <c r="I4" s="41">
        <v>6</v>
      </c>
      <c r="J4" s="41">
        <v>6</v>
      </c>
      <c r="K4" s="41">
        <v>50</v>
      </c>
    </row>
    <row r="5" spans="1:23" x14ac:dyDescent="0.25">
      <c r="A5">
        <v>37</v>
      </c>
      <c r="B5" s="84">
        <v>43355</v>
      </c>
      <c r="C5" t="s">
        <v>134</v>
      </c>
      <c r="D5" s="41" t="s">
        <v>58</v>
      </c>
      <c r="E5" t="s">
        <v>191</v>
      </c>
      <c r="F5" t="s">
        <v>148</v>
      </c>
      <c r="G5" t="s">
        <v>149</v>
      </c>
      <c r="H5">
        <v>0</v>
      </c>
      <c r="I5">
        <v>17</v>
      </c>
      <c r="J5">
        <v>17</v>
      </c>
      <c r="K5" s="41">
        <v>18</v>
      </c>
    </row>
    <row r="6" spans="1:23" x14ac:dyDescent="0.25">
      <c r="A6" s="63">
        <v>37</v>
      </c>
      <c r="B6" s="83">
        <v>43354</v>
      </c>
      <c r="C6" s="63" t="s">
        <v>146</v>
      </c>
      <c r="D6" s="41" t="s">
        <v>59</v>
      </c>
      <c r="E6" s="63" t="s">
        <v>192</v>
      </c>
      <c r="F6" s="63" t="s">
        <v>148</v>
      </c>
      <c r="G6" s="63" t="s">
        <v>149</v>
      </c>
      <c r="H6" s="63">
        <v>0</v>
      </c>
      <c r="I6" s="63">
        <v>36</v>
      </c>
      <c r="J6" s="63">
        <v>36</v>
      </c>
      <c r="K6" s="64">
        <v>40</v>
      </c>
      <c r="L6" s="63"/>
    </row>
    <row r="7" spans="1:23" x14ac:dyDescent="0.25">
      <c r="A7" s="41">
        <v>37</v>
      </c>
      <c r="B7" s="84">
        <v>43355</v>
      </c>
      <c r="C7" s="41" t="s">
        <v>136</v>
      </c>
      <c r="D7" s="41" t="s">
        <v>58</v>
      </c>
      <c r="E7" s="41" t="s">
        <v>159</v>
      </c>
      <c r="F7" s="41" t="s">
        <v>148</v>
      </c>
      <c r="G7" s="41" t="s">
        <v>149</v>
      </c>
      <c r="H7" s="41">
        <v>0</v>
      </c>
      <c r="I7" s="41">
        <v>0</v>
      </c>
      <c r="J7" s="41">
        <v>0</v>
      </c>
      <c r="K7" s="41">
        <v>0</v>
      </c>
      <c r="M7" t="s">
        <v>276</v>
      </c>
    </row>
    <row r="8" spans="1:23" x14ac:dyDescent="0.25">
      <c r="A8">
        <v>37</v>
      </c>
      <c r="B8" s="85">
        <v>43354</v>
      </c>
      <c r="C8" t="s">
        <v>140</v>
      </c>
      <c r="D8" s="41" t="s">
        <v>59</v>
      </c>
      <c r="E8" t="s">
        <v>151</v>
      </c>
      <c r="F8" t="s">
        <v>148</v>
      </c>
      <c r="G8" t="s">
        <v>149</v>
      </c>
      <c r="H8">
        <v>5</v>
      </c>
      <c r="I8">
        <v>0</v>
      </c>
      <c r="J8">
        <v>5</v>
      </c>
      <c r="K8">
        <v>5</v>
      </c>
    </row>
    <row r="9" spans="1:23" x14ac:dyDescent="0.25">
      <c r="A9">
        <v>37</v>
      </c>
      <c r="B9" s="83">
        <v>43354</v>
      </c>
      <c r="C9" t="s">
        <v>121</v>
      </c>
      <c r="D9" s="41" t="s">
        <v>60</v>
      </c>
      <c r="E9" t="s">
        <v>166</v>
      </c>
      <c r="F9" t="s">
        <v>148</v>
      </c>
      <c r="G9" t="s">
        <v>149</v>
      </c>
      <c r="H9">
        <v>0</v>
      </c>
      <c r="I9">
        <v>5</v>
      </c>
      <c r="J9">
        <v>5</v>
      </c>
      <c r="K9">
        <v>5</v>
      </c>
    </row>
    <row r="10" spans="1:23" s="63" customFormat="1" x14ac:dyDescent="0.25">
      <c r="A10">
        <v>37</v>
      </c>
      <c r="B10" s="84">
        <v>43354</v>
      </c>
      <c r="C10" t="s">
        <v>123</v>
      </c>
      <c r="D10" s="41" t="s">
        <v>60</v>
      </c>
      <c r="E10" t="s">
        <v>186</v>
      </c>
      <c r="F10" t="s">
        <v>148</v>
      </c>
      <c r="G10" t="s">
        <v>149</v>
      </c>
      <c r="H10">
        <v>0</v>
      </c>
      <c r="I10">
        <v>3</v>
      </c>
      <c r="J10">
        <v>3</v>
      </c>
      <c r="K10" s="41">
        <v>3</v>
      </c>
      <c r="L10"/>
      <c r="M10"/>
      <c r="N10"/>
      <c r="O10"/>
      <c r="P10"/>
      <c r="Q10"/>
      <c r="R10"/>
      <c r="S10"/>
      <c r="T10"/>
      <c r="U10"/>
      <c r="V10"/>
      <c r="W10"/>
    </row>
    <row r="11" spans="1:23" x14ac:dyDescent="0.25">
      <c r="A11">
        <v>37</v>
      </c>
      <c r="B11" s="84">
        <v>43355</v>
      </c>
      <c r="C11" t="s">
        <v>114</v>
      </c>
      <c r="D11" s="41" t="s">
        <v>60</v>
      </c>
      <c r="E11" t="s">
        <v>190</v>
      </c>
      <c r="F11" t="s">
        <v>148</v>
      </c>
      <c r="G11" t="s">
        <v>149</v>
      </c>
      <c r="H11">
        <v>0</v>
      </c>
      <c r="I11">
        <v>0</v>
      </c>
      <c r="J11">
        <v>0</v>
      </c>
      <c r="K11">
        <v>0</v>
      </c>
      <c r="M11" t="s">
        <v>276</v>
      </c>
    </row>
    <row r="12" spans="1:23" x14ac:dyDescent="0.25">
      <c r="A12">
        <v>37</v>
      </c>
      <c r="B12" s="84">
        <v>43354</v>
      </c>
      <c r="C12" t="s">
        <v>117</v>
      </c>
      <c r="D12" s="41" t="s">
        <v>60</v>
      </c>
      <c r="E12" t="s">
        <v>167</v>
      </c>
      <c r="F12" t="s">
        <v>148</v>
      </c>
      <c r="G12" t="s">
        <v>149</v>
      </c>
      <c r="H12">
        <v>0</v>
      </c>
      <c r="I12">
        <v>0</v>
      </c>
      <c r="J12">
        <v>0</v>
      </c>
      <c r="K12">
        <v>2</v>
      </c>
    </row>
    <row r="13" spans="1:23" x14ac:dyDescent="0.25">
      <c r="A13" s="41">
        <v>37</v>
      </c>
      <c r="B13" s="84">
        <v>43354</v>
      </c>
      <c r="C13" s="41" t="s">
        <v>152</v>
      </c>
      <c r="D13" s="41" t="s">
        <v>59</v>
      </c>
      <c r="E13" s="41" t="s">
        <v>153</v>
      </c>
      <c r="F13" s="41" t="s">
        <v>148</v>
      </c>
      <c r="G13" s="41" t="s">
        <v>149</v>
      </c>
      <c r="H13" s="41">
        <v>6</v>
      </c>
      <c r="I13" s="41">
        <v>0</v>
      </c>
      <c r="J13" s="41">
        <v>6</v>
      </c>
      <c r="K13" s="41">
        <v>8</v>
      </c>
    </row>
    <row r="14" spans="1:23" s="63" customFormat="1" x14ac:dyDescent="0.25">
      <c r="A14">
        <v>37</v>
      </c>
      <c r="B14" s="83">
        <v>43354</v>
      </c>
      <c r="C14" t="s">
        <v>142</v>
      </c>
      <c r="D14" s="41" t="s">
        <v>58</v>
      </c>
      <c r="E14" t="s">
        <v>160</v>
      </c>
      <c r="F14" t="s">
        <v>148</v>
      </c>
      <c r="G14" t="s">
        <v>149</v>
      </c>
      <c r="H14">
        <v>5</v>
      </c>
      <c r="I14">
        <v>4</v>
      </c>
      <c r="J14">
        <v>9</v>
      </c>
      <c r="K14">
        <v>96</v>
      </c>
      <c r="L14"/>
      <c r="M14"/>
      <c r="N14"/>
      <c r="O14"/>
      <c r="P14"/>
      <c r="Q14"/>
      <c r="R14"/>
      <c r="S14"/>
      <c r="T14"/>
      <c r="U14"/>
      <c r="V14"/>
      <c r="W14"/>
    </row>
    <row r="15" spans="1:23" s="63" customFormat="1" x14ac:dyDescent="0.25">
      <c r="A15" s="41">
        <v>37</v>
      </c>
      <c r="B15" s="85">
        <v>43355</v>
      </c>
      <c r="C15" s="41" t="s">
        <v>109</v>
      </c>
      <c r="D15" s="41" t="s">
        <v>61</v>
      </c>
      <c r="E15" s="41" t="s">
        <v>174</v>
      </c>
      <c r="F15" s="41" t="s">
        <v>148</v>
      </c>
      <c r="G15" s="41" t="s">
        <v>149</v>
      </c>
      <c r="H15" s="41">
        <v>0</v>
      </c>
      <c r="I15" s="41">
        <v>0</v>
      </c>
      <c r="J15" s="41">
        <v>0</v>
      </c>
      <c r="K15" s="41">
        <v>1</v>
      </c>
      <c r="L15"/>
      <c r="M15"/>
      <c r="N15"/>
      <c r="O15"/>
      <c r="P15"/>
      <c r="Q15"/>
      <c r="R15"/>
      <c r="S15"/>
      <c r="T15"/>
      <c r="U15"/>
      <c r="V15"/>
      <c r="W15"/>
    </row>
    <row r="16" spans="1:23" x14ac:dyDescent="0.25">
      <c r="A16" s="41">
        <v>37</v>
      </c>
      <c r="B16" s="84">
        <v>43354</v>
      </c>
      <c r="C16" s="41" t="s">
        <v>147</v>
      </c>
      <c r="D16" s="41" t="s">
        <v>59</v>
      </c>
      <c r="E16" s="41" t="s">
        <v>154</v>
      </c>
      <c r="F16" s="41" t="s">
        <v>148</v>
      </c>
      <c r="G16" s="41" t="s">
        <v>149</v>
      </c>
      <c r="H16" s="41">
        <v>0</v>
      </c>
      <c r="I16" s="41">
        <v>39</v>
      </c>
      <c r="J16" s="41">
        <v>39</v>
      </c>
      <c r="K16">
        <v>55</v>
      </c>
    </row>
    <row r="17" spans="1:13" x14ac:dyDescent="0.25">
      <c r="A17">
        <v>37</v>
      </c>
      <c r="B17" s="83">
        <v>43354</v>
      </c>
      <c r="C17" t="s">
        <v>126</v>
      </c>
      <c r="D17" s="41" t="s">
        <v>60</v>
      </c>
      <c r="E17" t="s">
        <v>194</v>
      </c>
      <c r="F17" t="s">
        <v>148</v>
      </c>
      <c r="G17" t="s">
        <v>149</v>
      </c>
      <c r="H17">
        <v>0</v>
      </c>
      <c r="I17">
        <v>0</v>
      </c>
      <c r="J17">
        <v>0</v>
      </c>
      <c r="K17" s="41">
        <v>4</v>
      </c>
    </row>
    <row r="18" spans="1:13" x14ac:dyDescent="0.25">
      <c r="A18" s="41">
        <v>37</v>
      </c>
      <c r="B18" s="84">
        <v>43354</v>
      </c>
      <c r="C18" s="41" t="s">
        <v>143</v>
      </c>
      <c r="D18" s="41" t="s">
        <v>59</v>
      </c>
      <c r="E18" s="41" t="s">
        <v>155</v>
      </c>
      <c r="F18" s="41" t="s">
        <v>148</v>
      </c>
      <c r="G18" s="41" t="s">
        <v>149</v>
      </c>
      <c r="H18" s="41">
        <v>4</v>
      </c>
      <c r="I18" s="41">
        <v>11</v>
      </c>
      <c r="J18" s="41">
        <v>15</v>
      </c>
      <c r="K18" s="41">
        <v>26</v>
      </c>
    </row>
    <row r="19" spans="1:13" x14ac:dyDescent="0.25">
      <c r="A19" s="63">
        <v>37</v>
      </c>
      <c r="B19" s="83">
        <v>43355</v>
      </c>
      <c r="C19" s="63" t="s">
        <v>132</v>
      </c>
      <c r="D19" s="41" t="s">
        <v>58</v>
      </c>
      <c r="E19" s="63" t="s">
        <v>161</v>
      </c>
      <c r="F19" s="63" t="s">
        <v>148</v>
      </c>
      <c r="G19" s="63" t="s">
        <v>149</v>
      </c>
      <c r="H19" s="63">
        <v>0</v>
      </c>
      <c r="I19" s="63">
        <v>7</v>
      </c>
      <c r="J19" s="63">
        <v>7</v>
      </c>
      <c r="K19" s="64">
        <v>7</v>
      </c>
      <c r="L19" s="63"/>
    </row>
    <row r="20" spans="1:13" x14ac:dyDescent="0.25">
      <c r="A20" s="41">
        <v>37</v>
      </c>
      <c r="B20" s="84">
        <v>43354</v>
      </c>
      <c r="C20" s="41" t="s">
        <v>119</v>
      </c>
      <c r="D20" s="41" t="s">
        <v>60</v>
      </c>
      <c r="E20" s="41" t="s">
        <v>168</v>
      </c>
      <c r="F20" s="41" t="s">
        <v>148</v>
      </c>
      <c r="G20" s="41" t="s">
        <v>149</v>
      </c>
      <c r="H20" s="41">
        <v>0</v>
      </c>
      <c r="I20" s="41">
        <v>4</v>
      </c>
      <c r="J20" s="41">
        <v>4</v>
      </c>
      <c r="K20" s="41">
        <v>4</v>
      </c>
    </row>
    <row r="21" spans="1:13" x14ac:dyDescent="0.25">
      <c r="A21">
        <v>37</v>
      </c>
      <c r="B21" s="85">
        <v>43354</v>
      </c>
      <c r="C21" t="s">
        <v>118</v>
      </c>
      <c r="D21" s="41" t="s">
        <v>60</v>
      </c>
      <c r="E21" t="s">
        <v>169</v>
      </c>
      <c r="F21" t="s">
        <v>148</v>
      </c>
      <c r="G21" t="s">
        <v>149</v>
      </c>
      <c r="H21">
        <v>0</v>
      </c>
      <c r="I21">
        <v>3</v>
      </c>
      <c r="J21">
        <v>3</v>
      </c>
      <c r="K21">
        <v>4</v>
      </c>
    </row>
    <row r="22" spans="1:13" x14ac:dyDescent="0.25">
      <c r="A22">
        <v>37</v>
      </c>
      <c r="B22" s="85">
        <v>43355</v>
      </c>
      <c r="C22" t="s">
        <v>138</v>
      </c>
      <c r="D22" s="41" t="s">
        <v>61</v>
      </c>
      <c r="E22" t="s">
        <v>175</v>
      </c>
      <c r="F22" t="s">
        <v>148</v>
      </c>
      <c r="G22" t="s">
        <v>149</v>
      </c>
      <c r="H22">
        <v>4</v>
      </c>
      <c r="I22">
        <v>0</v>
      </c>
      <c r="J22">
        <v>4</v>
      </c>
      <c r="K22">
        <v>4</v>
      </c>
    </row>
    <row r="23" spans="1:13" x14ac:dyDescent="0.25">
      <c r="A23">
        <v>37</v>
      </c>
      <c r="B23" s="84">
        <v>43354</v>
      </c>
      <c r="C23" t="s">
        <v>120</v>
      </c>
      <c r="D23" s="41" t="s">
        <v>60</v>
      </c>
      <c r="E23" t="s">
        <v>170</v>
      </c>
      <c r="F23" t="s">
        <v>148</v>
      </c>
      <c r="G23" t="s">
        <v>149</v>
      </c>
      <c r="H23">
        <v>0</v>
      </c>
      <c r="I23">
        <v>0</v>
      </c>
      <c r="J23">
        <v>0</v>
      </c>
      <c r="K23" s="41">
        <v>0</v>
      </c>
      <c r="M23" t="s">
        <v>276</v>
      </c>
    </row>
    <row r="24" spans="1:13" x14ac:dyDescent="0.25">
      <c r="A24" s="41">
        <v>37</v>
      </c>
      <c r="B24" s="85">
        <v>43355</v>
      </c>
      <c r="C24" s="41" t="s">
        <v>129</v>
      </c>
      <c r="D24" s="41" t="s">
        <v>58</v>
      </c>
      <c r="E24" s="41" t="s">
        <v>162</v>
      </c>
      <c r="F24" s="41" t="s">
        <v>148</v>
      </c>
      <c r="G24" s="41" t="s">
        <v>149</v>
      </c>
      <c r="H24" s="41">
        <v>2</v>
      </c>
      <c r="I24" s="41">
        <v>0</v>
      </c>
      <c r="J24" s="41">
        <v>2</v>
      </c>
      <c r="K24" s="41">
        <v>2</v>
      </c>
    </row>
    <row r="25" spans="1:13" x14ac:dyDescent="0.25">
      <c r="A25" s="41">
        <v>37</v>
      </c>
      <c r="B25" s="84">
        <v>43354</v>
      </c>
      <c r="C25" s="41" t="s">
        <v>125</v>
      </c>
      <c r="D25" s="41" t="s">
        <v>60</v>
      </c>
      <c r="E25" s="41" t="s">
        <v>171</v>
      </c>
      <c r="F25" s="41" t="s">
        <v>148</v>
      </c>
      <c r="G25" s="41" t="s">
        <v>149</v>
      </c>
      <c r="H25" s="41">
        <v>0</v>
      </c>
      <c r="I25" s="41">
        <v>0</v>
      </c>
      <c r="J25" s="41">
        <v>0</v>
      </c>
      <c r="K25" s="41">
        <v>5</v>
      </c>
    </row>
    <row r="26" spans="1:13" x14ac:dyDescent="0.25">
      <c r="A26">
        <v>37</v>
      </c>
      <c r="B26" s="83">
        <v>43355</v>
      </c>
      <c r="C26" t="s">
        <v>116</v>
      </c>
      <c r="D26" s="41" t="s">
        <v>60</v>
      </c>
      <c r="E26" t="s">
        <v>196</v>
      </c>
      <c r="F26" t="s">
        <v>148</v>
      </c>
      <c r="G26" t="s">
        <v>149</v>
      </c>
      <c r="H26">
        <v>0</v>
      </c>
      <c r="I26">
        <v>0</v>
      </c>
      <c r="J26">
        <v>0</v>
      </c>
      <c r="K26">
        <v>2</v>
      </c>
    </row>
    <row r="27" spans="1:13" x14ac:dyDescent="0.25">
      <c r="A27">
        <v>37</v>
      </c>
      <c r="B27" s="84">
        <v>43355</v>
      </c>
      <c r="C27" t="s">
        <v>104</v>
      </c>
      <c r="D27" s="41" t="s">
        <v>61</v>
      </c>
      <c r="E27" t="s">
        <v>197</v>
      </c>
      <c r="F27" t="s">
        <v>148</v>
      </c>
      <c r="G27" t="s">
        <v>149</v>
      </c>
      <c r="H27">
        <v>0</v>
      </c>
      <c r="I27">
        <v>0</v>
      </c>
      <c r="J27">
        <v>0</v>
      </c>
      <c r="K27">
        <v>1</v>
      </c>
    </row>
    <row r="28" spans="1:13" x14ac:dyDescent="0.25">
      <c r="A28">
        <v>37</v>
      </c>
      <c r="B28" s="83">
        <v>43355</v>
      </c>
      <c r="C28" t="s">
        <v>137</v>
      </c>
      <c r="D28" s="41" t="s">
        <v>61</v>
      </c>
      <c r="E28" t="s">
        <v>176</v>
      </c>
      <c r="F28" t="s">
        <v>148</v>
      </c>
      <c r="G28" t="s">
        <v>149</v>
      </c>
      <c r="H28">
        <v>0</v>
      </c>
      <c r="I28">
        <v>0</v>
      </c>
      <c r="J28">
        <v>0</v>
      </c>
      <c r="K28">
        <v>0</v>
      </c>
      <c r="M28" t="s">
        <v>276</v>
      </c>
    </row>
    <row r="29" spans="1:13" x14ac:dyDescent="0.25">
      <c r="A29" s="41">
        <v>37</v>
      </c>
      <c r="B29" s="85">
        <v>43354</v>
      </c>
      <c r="C29" s="41" t="s">
        <v>122</v>
      </c>
      <c r="D29" s="41" t="s">
        <v>60</v>
      </c>
      <c r="E29" s="41" t="s">
        <v>172</v>
      </c>
      <c r="F29" s="41" t="s">
        <v>148</v>
      </c>
      <c r="G29" s="41" t="s">
        <v>149</v>
      </c>
      <c r="H29" s="41">
        <v>0</v>
      </c>
      <c r="I29" s="41">
        <v>0</v>
      </c>
      <c r="J29" s="41">
        <v>0</v>
      </c>
      <c r="K29" s="41">
        <v>0</v>
      </c>
      <c r="M29" t="s">
        <v>276</v>
      </c>
    </row>
    <row r="30" spans="1:13" x14ac:dyDescent="0.25">
      <c r="A30" s="41">
        <v>37</v>
      </c>
      <c r="B30" s="84">
        <v>43355</v>
      </c>
      <c r="C30" s="41" t="s">
        <v>133</v>
      </c>
      <c r="D30" s="41" t="s">
        <v>58</v>
      </c>
      <c r="E30" s="41" t="s">
        <v>163</v>
      </c>
      <c r="F30" s="41" t="s">
        <v>148</v>
      </c>
      <c r="G30" s="41" t="s">
        <v>149</v>
      </c>
      <c r="H30" s="41">
        <v>0</v>
      </c>
      <c r="I30" s="41">
        <v>0</v>
      </c>
      <c r="J30" s="41">
        <v>0</v>
      </c>
      <c r="K30">
        <v>1</v>
      </c>
    </row>
    <row r="31" spans="1:13" x14ac:dyDescent="0.25">
      <c r="A31">
        <v>37</v>
      </c>
      <c r="B31" s="85">
        <v>43355</v>
      </c>
      <c r="C31" t="s">
        <v>128</v>
      </c>
      <c r="D31" s="41" t="s">
        <v>58</v>
      </c>
      <c r="E31" t="s">
        <v>193</v>
      </c>
      <c r="F31" t="s">
        <v>148</v>
      </c>
      <c r="G31" t="s">
        <v>149</v>
      </c>
      <c r="H31">
        <v>0</v>
      </c>
      <c r="I31">
        <v>5</v>
      </c>
      <c r="J31">
        <v>5</v>
      </c>
      <c r="K31">
        <v>5</v>
      </c>
    </row>
    <row r="32" spans="1:13" x14ac:dyDescent="0.25">
      <c r="A32" s="41">
        <v>37</v>
      </c>
      <c r="B32" s="85">
        <v>43355</v>
      </c>
      <c r="C32" s="41" t="s">
        <v>110</v>
      </c>
      <c r="D32" s="41" t="s">
        <v>61</v>
      </c>
      <c r="E32" s="41" t="s">
        <v>177</v>
      </c>
      <c r="F32" s="41" t="s">
        <v>148</v>
      </c>
      <c r="G32" s="41" t="s">
        <v>149</v>
      </c>
      <c r="H32" s="41">
        <v>0</v>
      </c>
      <c r="I32" s="41">
        <v>0</v>
      </c>
      <c r="J32" s="41">
        <v>0</v>
      </c>
      <c r="K32" s="41">
        <v>0</v>
      </c>
      <c r="M32" t="s">
        <v>276</v>
      </c>
    </row>
    <row r="33" spans="1:13" x14ac:dyDescent="0.25">
      <c r="A33">
        <v>37</v>
      </c>
      <c r="B33" s="85">
        <v>43355</v>
      </c>
      <c r="C33" t="s">
        <v>135</v>
      </c>
      <c r="D33" s="41" t="s">
        <v>58</v>
      </c>
      <c r="E33" t="s">
        <v>164</v>
      </c>
      <c r="F33" t="s">
        <v>148</v>
      </c>
      <c r="G33" t="s">
        <v>149</v>
      </c>
      <c r="H33">
        <v>8</v>
      </c>
      <c r="I33">
        <v>0</v>
      </c>
      <c r="J33">
        <v>8</v>
      </c>
      <c r="K33">
        <v>11</v>
      </c>
    </row>
    <row r="34" spans="1:13" x14ac:dyDescent="0.25">
      <c r="A34" s="63">
        <v>37</v>
      </c>
      <c r="B34" s="83">
        <v>43354</v>
      </c>
      <c r="C34" s="63" t="s">
        <v>127</v>
      </c>
      <c r="D34" s="41" t="s">
        <v>60</v>
      </c>
      <c r="E34" s="63" t="s">
        <v>188</v>
      </c>
      <c r="F34" s="63" t="s">
        <v>148</v>
      </c>
      <c r="G34" s="63" t="s">
        <v>149</v>
      </c>
      <c r="H34" s="63">
        <v>0</v>
      </c>
      <c r="I34" s="63">
        <v>0</v>
      </c>
      <c r="J34" s="63">
        <v>0</v>
      </c>
      <c r="K34" s="64">
        <v>4</v>
      </c>
      <c r="L34" s="63"/>
      <c r="M34" s="63"/>
    </row>
    <row r="35" spans="1:13" x14ac:dyDescent="0.25">
      <c r="A35">
        <v>37</v>
      </c>
      <c r="B35" s="85">
        <v>43354</v>
      </c>
      <c r="C35" t="s">
        <v>139</v>
      </c>
      <c r="D35" s="41" t="s">
        <v>59</v>
      </c>
      <c r="E35" t="s">
        <v>156</v>
      </c>
      <c r="F35" t="s">
        <v>148</v>
      </c>
      <c r="G35" t="s">
        <v>149</v>
      </c>
      <c r="H35">
        <v>0</v>
      </c>
      <c r="I35">
        <v>89</v>
      </c>
      <c r="J35">
        <v>89</v>
      </c>
      <c r="K35">
        <v>98</v>
      </c>
    </row>
    <row r="36" spans="1:13" x14ac:dyDescent="0.25">
      <c r="A36">
        <v>37</v>
      </c>
      <c r="B36" s="83">
        <v>43355</v>
      </c>
      <c r="C36" t="s">
        <v>141</v>
      </c>
      <c r="D36" s="41" t="s">
        <v>59</v>
      </c>
      <c r="E36" t="s">
        <v>157</v>
      </c>
      <c r="F36" t="s">
        <v>148</v>
      </c>
      <c r="G36" t="s">
        <v>149</v>
      </c>
      <c r="H36">
        <v>6</v>
      </c>
      <c r="I36">
        <v>0</v>
      </c>
      <c r="J36">
        <v>6</v>
      </c>
      <c r="K36" s="41">
        <v>6</v>
      </c>
    </row>
    <row r="37" spans="1:13" x14ac:dyDescent="0.25">
      <c r="A37">
        <v>37</v>
      </c>
      <c r="B37" s="85">
        <v>43355</v>
      </c>
      <c r="C37" t="s">
        <v>113</v>
      </c>
      <c r="D37" s="41" t="s">
        <v>61</v>
      </c>
      <c r="E37" t="s">
        <v>198</v>
      </c>
      <c r="F37" t="s">
        <v>148</v>
      </c>
      <c r="G37" t="s">
        <v>149</v>
      </c>
      <c r="H37">
        <v>0</v>
      </c>
      <c r="I37">
        <v>0</v>
      </c>
      <c r="J37">
        <v>0</v>
      </c>
      <c r="K37">
        <v>1</v>
      </c>
    </row>
    <row r="38" spans="1:13" x14ac:dyDescent="0.25">
      <c r="A38">
        <v>37</v>
      </c>
      <c r="B38" s="83">
        <v>43354</v>
      </c>
      <c r="C38" t="s">
        <v>145</v>
      </c>
      <c r="D38" s="41" t="s">
        <v>59</v>
      </c>
      <c r="E38" t="s">
        <v>158</v>
      </c>
      <c r="F38" t="s">
        <v>148</v>
      </c>
      <c r="G38" t="s">
        <v>149</v>
      </c>
      <c r="H38">
        <v>0</v>
      </c>
      <c r="I38">
        <v>0</v>
      </c>
      <c r="J38">
        <v>0</v>
      </c>
      <c r="K38">
        <v>4</v>
      </c>
    </row>
    <row r="39" spans="1:13" x14ac:dyDescent="0.25">
      <c r="A39" s="41">
        <v>37</v>
      </c>
      <c r="B39" s="85">
        <v>43355</v>
      </c>
      <c r="C39" s="41" t="s">
        <v>108</v>
      </c>
      <c r="D39" s="41" t="s">
        <v>61</v>
      </c>
      <c r="E39" s="41" t="s">
        <v>178</v>
      </c>
      <c r="F39" s="41" t="s">
        <v>148</v>
      </c>
      <c r="G39" s="41" t="s">
        <v>149</v>
      </c>
      <c r="H39" s="41">
        <v>5</v>
      </c>
      <c r="I39" s="41">
        <v>0</v>
      </c>
      <c r="J39" s="41">
        <v>5</v>
      </c>
      <c r="K39">
        <v>5</v>
      </c>
    </row>
    <row r="40" spans="1:13" x14ac:dyDescent="0.25">
      <c r="A40" s="41">
        <v>37</v>
      </c>
      <c r="B40" s="84">
        <v>43354</v>
      </c>
      <c r="C40" s="41" t="s">
        <v>183</v>
      </c>
      <c r="D40" s="41" t="s">
        <v>59</v>
      </c>
      <c r="E40" s="41" t="s">
        <v>184</v>
      </c>
      <c r="F40" s="41" t="s">
        <v>148</v>
      </c>
      <c r="G40" s="41" t="s">
        <v>149</v>
      </c>
      <c r="H40" s="41">
        <v>0</v>
      </c>
      <c r="I40" s="41">
        <v>0</v>
      </c>
      <c r="J40" s="41">
        <v>0</v>
      </c>
      <c r="K40" s="41">
        <v>0</v>
      </c>
      <c r="M40" t="s">
        <v>276</v>
      </c>
    </row>
    <row r="41" spans="1:13" x14ac:dyDescent="0.25">
      <c r="A41" s="41">
        <v>37</v>
      </c>
      <c r="B41" s="85">
        <v>43355</v>
      </c>
      <c r="C41" s="41" t="s">
        <v>131</v>
      </c>
      <c r="D41" s="41" t="s">
        <v>58</v>
      </c>
      <c r="E41" s="41" t="s">
        <v>189</v>
      </c>
      <c r="F41" s="41" t="s">
        <v>148</v>
      </c>
      <c r="G41" s="41" t="s">
        <v>149</v>
      </c>
      <c r="H41" s="41">
        <v>2</v>
      </c>
      <c r="I41" s="41">
        <v>0</v>
      </c>
      <c r="J41" s="41">
        <v>2</v>
      </c>
      <c r="K41" s="41">
        <v>4</v>
      </c>
    </row>
    <row r="42" spans="1:13" x14ac:dyDescent="0.25">
      <c r="A42" s="41">
        <v>37</v>
      </c>
      <c r="B42" s="84">
        <v>43354</v>
      </c>
      <c r="C42" s="41" t="s">
        <v>206</v>
      </c>
      <c r="D42" s="41" t="s">
        <v>60</v>
      </c>
      <c r="E42" s="41" t="s">
        <v>207</v>
      </c>
      <c r="F42" s="41" t="s">
        <v>148</v>
      </c>
      <c r="G42" s="41" t="s">
        <v>149</v>
      </c>
      <c r="H42" s="41">
        <v>0</v>
      </c>
      <c r="I42" s="41">
        <v>0</v>
      </c>
      <c r="J42" s="41">
        <v>0</v>
      </c>
      <c r="K42" s="41">
        <v>21</v>
      </c>
    </row>
    <row r="43" spans="1:13" x14ac:dyDescent="0.25">
      <c r="A43">
        <v>37</v>
      </c>
      <c r="B43" s="85">
        <v>43354</v>
      </c>
      <c r="C43" t="s">
        <v>130</v>
      </c>
      <c r="D43" s="41" t="s">
        <v>60</v>
      </c>
      <c r="E43" t="s">
        <v>187</v>
      </c>
      <c r="F43" t="s">
        <v>148</v>
      </c>
      <c r="G43" t="s">
        <v>149</v>
      </c>
      <c r="H43">
        <v>0</v>
      </c>
      <c r="I43">
        <v>4</v>
      </c>
      <c r="J43">
        <v>4</v>
      </c>
      <c r="K43">
        <v>6</v>
      </c>
    </row>
    <row r="44" spans="1:13" x14ac:dyDescent="0.25">
      <c r="A44">
        <v>37</v>
      </c>
      <c r="B44" s="84">
        <v>43355</v>
      </c>
      <c r="C44" t="s">
        <v>112</v>
      </c>
      <c r="D44" s="41" t="s">
        <v>61</v>
      </c>
      <c r="E44" t="s">
        <v>195</v>
      </c>
      <c r="F44" t="s">
        <v>148</v>
      </c>
      <c r="G44" t="s">
        <v>149</v>
      </c>
      <c r="H44">
        <v>0</v>
      </c>
      <c r="I44">
        <v>0</v>
      </c>
      <c r="J44">
        <v>0</v>
      </c>
      <c r="K44">
        <v>4</v>
      </c>
    </row>
    <row r="45" spans="1:13" x14ac:dyDescent="0.25">
      <c r="B45" s="85"/>
      <c r="D45" s="41"/>
    </row>
    <row r="46" spans="1:13" x14ac:dyDescent="0.25">
      <c r="B46" s="85"/>
      <c r="D46" s="41"/>
    </row>
    <row r="47" spans="1:13" x14ac:dyDescent="0.25">
      <c r="A47" s="41"/>
      <c r="B47" s="85"/>
      <c r="C47" s="41"/>
      <c r="D47" s="41"/>
      <c r="E47" s="41"/>
      <c r="F47" s="41"/>
      <c r="G47" s="41"/>
      <c r="H47" s="41"/>
      <c r="I47" s="41"/>
      <c r="J47" s="41"/>
      <c r="K47" s="41"/>
    </row>
    <row r="48" spans="1:13" x14ac:dyDescent="0.25">
      <c r="A48" s="41"/>
      <c r="B48" s="83"/>
      <c r="C48" s="41"/>
      <c r="D48" s="41"/>
      <c r="E48" s="41"/>
      <c r="F48" s="41"/>
      <c r="G48" s="41"/>
      <c r="H48" s="41"/>
      <c r="I48" s="41"/>
      <c r="J48" s="41"/>
      <c r="K48" s="41"/>
    </row>
    <row r="49" spans="1:11" x14ac:dyDescent="0.25">
      <c r="B49" s="85"/>
      <c r="D49" s="41"/>
    </row>
    <row r="50" spans="1:11" x14ac:dyDescent="0.25">
      <c r="B50" s="85"/>
      <c r="D50" s="41"/>
      <c r="K50" s="41"/>
    </row>
    <row r="51" spans="1:11" x14ac:dyDescent="0.25">
      <c r="B51" s="84"/>
      <c r="D51" s="41"/>
      <c r="K51" s="41"/>
    </row>
    <row r="52" spans="1:11" x14ac:dyDescent="0.25">
      <c r="B52" s="84"/>
      <c r="D52" s="41"/>
    </row>
    <row r="53" spans="1:11" x14ac:dyDescent="0.25">
      <c r="B53" s="83"/>
      <c r="D53" s="41"/>
    </row>
    <row r="54" spans="1:11" x14ac:dyDescent="0.25">
      <c r="A54" s="41"/>
      <c r="B54" s="85"/>
      <c r="C54" s="41"/>
      <c r="D54" s="41"/>
      <c r="E54" s="41"/>
      <c r="F54" s="41"/>
      <c r="G54" s="41"/>
      <c r="H54" s="41"/>
      <c r="I54" s="41"/>
      <c r="J54" s="41"/>
      <c r="K54" s="41"/>
    </row>
    <row r="55" spans="1:11" x14ac:dyDescent="0.25">
      <c r="A55" s="41"/>
      <c r="B55" s="85"/>
      <c r="C55" s="41"/>
      <c r="D55" s="41"/>
      <c r="E55" s="41"/>
      <c r="F55" s="41"/>
      <c r="G55" s="41"/>
      <c r="H55" s="41"/>
      <c r="I55" s="41"/>
      <c r="J55" s="41"/>
      <c r="K55" s="41"/>
    </row>
    <row r="56" spans="1:11" x14ac:dyDescent="0.25">
      <c r="B56" s="85"/>
      <c r="D56" s="41"/>
    </row>
    <row r="57" spans="1:11" x14ac:dyDescent="0.25">
      <c r="A57" s="41"/>
      <c r="B57" s="84"/>
      <c r="C57" s="41"/>
      <c r="D57" s="41"/>
      <c r="E57" s="41"/>
      <c r="F57" s="41"/>
      <c r="G57" s="41"/>
      <c r="H57" s="41"/>
      <c r="I57" s="41"/>
      <c r="J57" s="41"/>
      <c r="K57" s="41"/>
    </row>
    <row r="58" spans="1:11" x14ac:dyDescent="0.25">
      <c r="B58" s="85"/>
      <c r="D58" s="41"/>
    </row>
    <row r="59" spans="1:11" x14ac:dyDescent="0.25">
      <c r="B59" s="84"/>
      <c r="D59" s="41"/>
    </row>
    <row r="60" spans="1:11" x14ac:dyDescent="0.25">
      <c r="B60" s="85"/>
      <c r="D60" s="41"/>
      <c r="K60" s="41"/>
    </row>
    <row r="61" spans="1:11" x14ac:dyDescent="0.25">
      <c r="A61" s="41"/>
      <c r="B61" s="83"/>
      <c r="C61" s="41"/>
      <c r="D61" s="41"/>
      <c r="E61" s="41"/>
      <c r="F61" s="41"/>
      <c r="G61" s="41"/>
      <c r="H61" s="41"/>
      <c r="I61" s="41"/>
      <c r="J61" s="41"/>
      <c r="K61" s="41"/>
    </row>
    <row r="62" spans="1:11" x14ac:dyDescent="0.25">
      <c r="B62" s="85"/>
      <c r="D62" s="41"/>
    </row>
    <row r="63" spans="1:11" x14ac:dyDescent="0.25">
      <c r="A63" s="41"/>
      <c r="B63" s="85"/>
      <c r="C63" s="41"/>
      <c r="D63" s="41"/>
      <c r="E63" s="41"/>
      <c r="F63" s="41"/>
      <c r="G63" s="41"/>
      <c r="H63" s="41"/>
      <c r="I63" s="41"/>
      <c r="J63" s="41"/>
      <c r="K63" s="41"/>
    </row>
    <row r="64" spans="1:11" x14ac:dyDescent="0.25">
      <c r="B64" s="83"/>
      <c r="D64" s="41"/>
    </row>
    <row r="65" spans="1:11" x14ac:dyDescent="0.25">
      <c r="A65" s="41"/>
      <c r="B65" s="85"/>
      <c r="C65" s="41"/>
      <c r="D65" s="41"/>
      <c r="E65" s="41"/>
      <c r="F65" s="41"/>
      <c r="G65" s="41"/>
      <c r="H65" s="41"/>
      <c r="I65" s="41"/>
      <c r="J65" s="41"/>
      <c r="K65" s="41"/>
    </row>
    <row r="66" spans="1:11" x14ac:dyDescent="0.25">
      <c r="A66" s="41"/>
      <c r="B66" s="83"/>
      <c r="C66" s="41"/>
      <c r="D66" s="41"/>
      <c r="E66" s="41"/>
      <c r="F66" s="41"/>
      <c r="G66" s="41"/>
      <c r="H66" s="41"/>
      <c r="I66" s="41"/>
      <c r="J66" s="41"/>
      <c r="K66" s="41"/>
    </row>
    <row r="67" spans="1:11" x14ac:dyDescent="0.25">
      <c r="A67" s="41"/>
      <c r="B67" s="83"/>
      <c r="C67" s="41"/>
      <c r="D67" s="41"/>
      <c r="E67" s="41"/>
      <c r="F67" s="41"/>
      <c r="G67" s="41"/>
      <c r="H67" s="41"/>
      <c r="I67" s="41"/>
      <c r="J67" s="41"/>
    </row>
    <row r="68" spans="1:11" x14ac:dyDescent="0.25">
      <c r="A68" s="41"/>
      <c r="B68" s="85"/>
      <c r="C68" s="41"/>
      <c r="D68" s="41"/>
      <c r="E68" s="41"/>
      <c r="F68" s="41"/>
      <c r="G68" s="41"/>
      <c r="H68" s="41"/>
      <c r="I68" s="41"/>
      <c r="J68" s="41"/>
      <c r="K68" s="41"/>
    </row>
    <row r="69" spans="1:11" x14ac:dyDescent="0.25">
      <c r="B69" s="84"/>
      <c r="D69" s="41"/>
      <c r="K69" s="41"/>
    </row>
    <row r="70" spans="1:11" x14ac:dyDescent="0.25">
      <c r="B70" s="83"/>
      <c r="D70" s="41"/>
      <c r="K70" s="41"/>
    </row>
    <row r="71" spans="1:11" x14ac:dyDescent="0.25">
      <c r="A71" s="41"/>
      <c r="B71" s="85"/>
      <c r="C71" s="41"/>
      <c r="D71" s="41"/>
      <c r="E71" s="41"/>
      <c r="F71" s="41"/>
      <c r="G71" s="41"/>
      <c r="H71" s="41"/>
      <c r="I71" s="41"/>
      <c r="J71" s="41"/>
      <c r="K71" s="41"/>
    </row>
    <row r="72" spans="1:11" x14ac:dyDescent="0.25">
      <c r="A72" s="41"/>
      <c r="B72" s="84"/>
      <c r="C72" s="41"/>
      <c r="D72" s="41"/>
      <c r="E72" s="41"/>
      <c r="F72" s="41"/>
      <c r="G72" s="41"/>
      <c r="H72" s="41"/>
      <c r="I72" s="41"/>
      <c r="J72" s="41"/>
    </row>
    <row r="73" spans="1:11" x14ac:dyDescent="0.25">
      <c r="B73" s="85"/>
      <c r="D73" s="41"/>
      <c r="K73" s="41"/>
    </row>
    <row r="74" spans="1:11" x14ac:dyDescent="0.25">
      <c r="B74" s="84"/>
      <c r="D74" s="41"/>
    </row>
    <row r="75" spans="1:11" x14ac:dyDescent="0.25">
      <c r="A75" s="41"/>
      <c r="B75" s="83"/>
      <c r="C75" s="41"/>
      <c r="D75" s="41"/>
      <c r="E75" s="41"/>
      <c r="F75" s="41"/>
      <c r="G75" s="41"/>
      <c r="H75" s="41"/>
      <c r="I75" s="41"/>
      <c r="J75" s="41"/>
      <c r="K75" s="41"/>
    </row>
    <row r="76" spans="1:11" x14ac:dyDescent="0.25">
      <c r="A76" s="41"/>
      <c r="B76" s="85"/>
      <c r="C76" s="41"/>
      <c r="D76" s="41"/>
      <c r="E76" s="41"/>
      <c r="F76" s="41"/>
      <c r="G76" s="41"/>
      <c r="H76" s="41"/>
      <c r="I76" s="41"/>
      <c r="J76" s="41"/>
      <c r="K76" s="41"/>
    </row>
    <row r="77" spans="1:11" x14ac:dyDescent="0.25">
      <c r="B77" s="85"/>
      <c r="D77" s="41"/>
    </row>
    <row r="78" spans="1:11" x14ac:dyDescent="0.25">
      <c r="A78" s="41"/>
      <c r="B78" s="84"/>
      <c r="C78" s="41"/>
      <c r="D78" s="41"/>
      <c r="E78" s="41"/>
      <c r="F78" s="41"/>
      <c r="G78" s="41"/>
      <c r="H78" s="41"/>
      <c r="I78" s="41"/>
      <c r="J78" s="41"/>
      <c r="K78" s="41"/>
    </row>
    <row r="79" spans="1:11" x14ac:dyDescent="0.25">
      <c r="A79" s="41"/>
      <c r="B79" s="84"/>
      <c r="C79" s="41"/>
      <c r="D79" s="41"/>
      <c r="E79" s="41"/>
      <c r="F79" s="41"/>
      <c r="G79" s="41"/>
      <c r="H79" s="41"/>
      <c r="I79" s="41"/>
      <c r="J79" s="41"/>
      <c r="K79" s="41"/>
    </row>
    <row r="80" spans="1:11" x14ac:dyDescent="0.25">
      <c r="B80" s="84"/>
      <c r="D80" s="41"/>
    </row>
    <row r="81" spans="1:12" x14ac:dyDescent="0.25">
      <c r="A81" s="64"/>
      <c r="B81" s="84"/>
      <c r="C81" s="64"/>
      <c r="D81" s="64"/>
      <c r="E81" s="64"/>
      <c r="F81" s="64"/>
      <c r="G81" s="64"/>
      <c r="H81" s="64"/>
      <c r="I81" s="64"/>
      <c r="J81" s="64"/>
      <c r="K81" s="64"/>
      <c r="L81" s="63"/>
    </row>
    <row r="82" spans="1:12" x14ac:dyDescent="0.25">
      <c r="A82" s="41"/>
      <c r="B82" s="83"/>
      <c r="C82" s="41"/>
      <c r="D82" s="41"/>
      <c r="E82" s="41"/>
      <c r="F82" s="41"/>
      <c r="G82" s="41"/>
      <c r="H82" s="41"/>
      <c r="I82" s="41"/>
      <c r="J82" s="41"/>
      <c r="K82" s="41"/>
    </row>
    <row r="83" spans="1:12" x14ac:dyDescent="0.25">
      <c r="B83" s="83"/>
      <c r="D83" s="41"/>
      <c r="K83" s="41"/>
    </row>
    <row r="84" spans="1:12" x14ac:dyDescent="0.25">
      <c r="A84" s="41"/>
      <c r="B84" s="84"/>
      <c r="C84" s="41"/>
      <c r="D84" s="41"/>
      <c r="E84" s="41"/>
      <c r="F84" s="41"/>
      <c r="G84" s="41"/>
      <c r="H84" s="41"/>
      <c r="I84" s="41"/>
      <c r="J84" s="41"/>
    </row>
    <row r="85" spans="1:12" x14ac:dyDescent="0.25">
      <c r="B85" s="84"/>
      <c r="D85" s="41"/>
    </row>
    <row r="86" spans="1:12" x14ac:dyDescent="0.25">
      <c r="A86" s="41"/>
      <c r="B86" s="84"/>
      <c r="C86" s="41"/>
      <c r="D86" s="41"/>
      <c r="E86" s="41"/>
      <c r="F86" s="41"/>
      <c r="G86" s="41"/>
      <c r="H86" s="41"/>
      <c r="I86" s="41"/>
      <c r="J86" s="41"/>
      <c r="K86" s="41"/>
    </row>
    <row r="87" spans="1:12" x14ac:dyDescent="0.25">
      <c r="A87" s="41"/>
      <c r="B87" s="83"/>
      <c r="C87" s="41"/>
      <c r="D87" s="41"/>
      <c r="E87" s="41"/>
      <c r="F87" s="41"/>
      <c r="G87" s="41"/>
      <c r="H87" s="41"/>
      <c r="I87" s="41"/>
      <c r="J87" s="41"/>
    </row>
    <row r="88" spans="1:12" x14ac:dyDescent="0.25">
      <c r="A88" s="41"/>
      <c r="B88" s="85"/>
      <c r="C88" s="41"/>
      <c r="D88" s="41"/>
      <c r="E88" s="41"/>
      <c r="F88" s="41"/>
      <c r="G88" s="41"/>
      <c r="H88" s="41"/>
      <c r="I88" s="41"/>
      <c r="J88" s="41"/>
      <c r="K88" s="41"/>
    </row>
    <row r="89" spans="1:12" x14ac:dyDescent="0.25">
      <c r="B89" s="84"/>
      <c r="D89" s="41"/>
    </row>
    <row r="90" spans="1:12" x14ac:dyDescent="0.25">
      <c r="B90" s="85"/>
      <c r="D90" s="41"/>
    </row>
    <row r="91" spans="1:12" x14ac:dyDescent="0.25">
      <c r="B91" s="83"/>
      <c r="D91" s="41"/>
      <c r="K91" s="41"/>
    </row>
    <row r="92" spans="1:12" x14ac:dyDescent="0.25">
      <c r="B92" s="85"/>
      <c r="D92" s="41"/>
    </row>
    <row r="93" spans="1:12" x14ac:dyDescent="0.25">
      <c r="B93" s="85"/>
      <c r="D93" s="41"/>
      <c r="K93" s="41"/>
    </row>
    <row r="94" spans="1:12" x14ac:dyDescent="0.25">
      <c r="B94" s="83"/>
      <c r="D94" s="41"/>
    </row>
    <row r="95" spans="1:12" x14ac:dyDescent="0.25">
      <c r="B95" s="85"/>
      <c r="D95" s="41"/>
    </row>
    <row r="96" spans="1:12" x14ac:dyDescent="0.25">
      <c r="A96" s="41"/>
      <c r="B96" s="85"/>
      <c r="C96" s="41"/>
      <c r="D96" s="41"/>
      <c r="E96" s="41"/>
      <c r="F96" s="41"/>
      <c r="G96" s="41"/>
      <c r="H96" s="41"/>
      <c r="I96" s="41"/>
      <c r="J96" s="41"/>
      <c r="K96" s="41"/>
    </row>
    <row r="97" spans="1:23" x14ac:dyDescent="0.25">
      <c r="A97" s="41"/>
      <c r="B97" s="84"/>
      <c r="C97" s="41"/>
      <c r="D97" s="41"/>
      <c r="E97" s="41"/>
      <c r="F97" s="41"/>
      <c r="G97" s="41"/>
      <c r="H97" s="41"/>
      <c r="I97" s="41"/>
      <c r="J97" s="41"/>
      <c r="K97" s="41"/>
    </row>
    <row r="98" spans="1:23" x14ac:dyDescent="0.25">
      <c r="A98" s="41"/>
      <c r="B98" s="85"/>
      <c r="C98" s="41"/>
      <c r="D98" s="41"/>
      <c r="E98" s="41"/>
      <c r="F98" s="41"/>
      <c r="G98" s="41"/>
      <c r="H98" s="41"/>
      <c r="I98" s="41"/>
      <c r="J98" s="41"/>
      <c r="K98" s="41"/>
    </row>
    <row r="99" spans="1:23" x14ac:dyDescent="0.25">
      <c r="B99" s="85"/>
      <c r="D99" s="41"/>
    </row>
    <row r="100" spans="1:23" x14ac:dyDescent="0.25">
      <c r="B100" s="85"/>
      <c r="D100" s="41"/>
    </row>
    <row r="101" spans="1:23" x14ac:dyDescent="0.25">
      <c r="B101" s="84"/>
      <c r="D101" s="41"/>
    </row>
    <row r="102" spans="1:23" x14ac:dyDescent="0.25">
      <c r="A102" s="41"/>
      <c r="B102" s="83"/>
      <c r="C102" s="41"/>
      <c r="D102" s="41"/>
      <c r="E102" s="41"/>
      <c r="F102" s="41"/>
      <c r="G102" s="41"/>
      <c r="H102" s="41"/>
      <c r="I102" s="41"/>
      <c r="J102" s="41"/>
      <c r="K102" s="41"/>
    </row>
    <row r="103" spans="1:23" x14ac:dyDescent="0.25">
      <c r="A103" s="41"/>
      <c r="B103" s="85"/>
      <c r="C103" s="41"/>
      <c r="D103" s="41"/>
      <c r="E103" s="41"/>
      <c r="F103" s="41"/>
      <c r="G103" s="41"/>
      <c r="H103" s="41"/>
      <c r="I103" s="41"/>
      <c r="J103" s="41"/>
      <c r="K103" s="41"/>
    </row>
    <row r="104" spans="1:23" x14ac:dyDescent="0.25">
      <c r="A104" s="41"/>
      <c r="B104" s="83"/>
      <c r="C104" s="41"/>
      <c r="D104" s="41"/>
      <c r="E104" s="41"/>
      <c r="F104" s="41"/>
      <c r="G104" s="41"/>
      <c r="H104" s="41"/>
      <c r="I104" s="41"/>
      <c r="J104" s="41"/>
      <c r="K104" s="41"/>
    </row>
    <row r="105" spans="1:23" x14ac:dyDescent="0.25">
      <c r="A105" s="41"/>
      <c r="B105" s="85"/>
      <c r="C105" s="41"/>
      <c r="D105" s="41"/>
      <c r="E105" s="41"/>
      <c r="F105" s="41"/>
      <c r="G105" s="41"/>
      <c r="H105" s="41"/>
      <c r="I105" s="41"/>
      <c r="J105" s="41"/>
      <c r="K105" s="41"/>
      <c r="W105" s="63"/>
    </row>
    <row r="106" spans="1:23" x14ac:dyDescent="0.25">
      <c r="B106" s="83"/>
      <c r="D106" s="41"/>
    </row>
    <row r="107" spans="1:23" x14ac:dyDescent="0.25">
      <c r="B107" s="85"/>
      <c r="D107" s="41"/>
    </row>
    <row r="108" spans="1:23" x14ac:dyDescent="0.25">
      <c r="A108" s="41"/>
      <c r="B108" s="85"/>
      <c r="C108" s="41"/>
      <c r="D108" s="41"/>
      <c r="E108" s="41"/>
      <c r="F108" s="41"/>
      <c r="G108" s="41"/>
      <c r="H108" s="41"/>
      <c r="I108" s="41"/>
      <c r="J108" s="41"/>
      <c r="K108" s="41"/>
    </row>
    <row r="109" spans="1:23" x14ac:dyDescent="0.25">
      <c r="B109" s="85"/>
      <c r="D109" s="41"/>
    </row>
    <row r="110" spans="1:23" x14ac:dyDescent="0.25">
      <c r="A110" s="41"/>
      <c r="B110" s="84"/>
      <c r="C110" s="41"/>
      <c r="D110" s="41"/>
      <c r="E110" s="41"/>
      <c r="F110" s="41"/>
      <c r="G110" s="41"/>
      <c r="H110" s="41"/>
      <c r="I110" s="41"/>
      <c r="J110" s="41"/>
      <c r="K110" s="41"/>
    </row>
    <row r="111" spans="1:23" x14ac:dyDescent="0.25">
      <c r="A111" s="41"/>
      <c r="B111" s="83"/>
      <c r="C111" s="41"/>
      <c r="D111" s="41"/>
      <c r="E111" s="41"/>
      <c r="F111" s="41"/>
      <c r="G111" s="41"/>
      <c r="H111" s="41"/>
      <c r="I111" s="41"/>
      <c r="J111" s="41"/>
      <c r="K111" s="41"/>
    </row>
  </sheetData>
  <sortState ref="A2:W111">
    <sortCondition ref="C2:C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59</v>
      </c>
      <c r="B5" s="2">
        <v>181</v>
      </c>
      <c r="C5" s="2">
        <v>21</v>
      </c>
      <c r="D5" s="2">
        <v>202</v>
      </c>
      <c r="G5" s="1" t="s">
        <v>9</v>
      </c>
      <c r="H5" s="2" t="e">
        <f>GETPIVOTDATA("Sum of Cx pipiens",$A$4,"Zone","LV")</f>
        <v>#REF!</v>
      </c>
      <c r="I5" s="2" t="e">
        <f>GETPIVOTDATA("Sum of Cx tarsalis",$A$4,"Zone","LV")</f>
        <v>#REF!</v>
      </c>
      <c r="J5" s="2" t="e">
        <f>GETPIVOTDATA("Sum of Total CX",$A$4,"Zone","LV")</f>
        <v>#REF!</v>
      </c>
    </row>
    <row r="6" spans="1:10" x14ac:dyDescent="0.25">
      <c r="A6" s="1" t="s">
        <v>58</v>
      </c>
      <c r="B6" s="2">
        <v>33</v>
      </c>
      <c r="C6" s="2">
        <v>17</v>
      </c>
      <c r="D6" s="2">
        <v>50</v>
      </c>
      <c r="G6" s="1" t="s">
        <v>59</v>
      </c>
      <c r="H6" s="2">
        <f>GETPIVOTDATA("Sum of Cx pipiens",$A$4,"Zone","NE")</f>
        <v>181</v>
      </c>
      <c r="I6" s="2">
        <f>GETPIVOTDATA("Sum of Cx tarsalis",$A$4,"Zone","NE")</f>
        <v>21</v>
      </c>
      <c r="J6" s="2">
        <f>GETPIVOTDATA("Sum of Total CX",$A$4,"Zone","NE")</f>
        <v>202</v>
      </c>
    </row>
    <row r="7" spans="1:10" x14ac:dyDescent="0.25">
      <c r="A7" s="1" t="s">
        <v>60</v>
      </c>
      <c r="B7" s="2">
        <v>21</v>
      </c>
      <c r="C7" s="2">
        <v>0</v>
      </c>
      <c r="D7" s="2">
        <v>21</v>
      </c>
      <c r="G7" s="1" t="s">
        <v>58</v>
      </c>
      <c r="H7" s="2">
        <f>GETPIVOTDATA("Sum of Cx pipiens",$A$4,"Zone","NW")</f>
        <v>33</v>
      </c>
      <c r="I7" s="2">
        <f>GETPIVOTDATA("Sum of Cx tarsalis",$A$4,"Zone","NW")</f>
        <v>17</v>
      </c>
      <c r="J7" s="2">
        <f>GETPIVOTDATA("Sum of Total CX",$A$4,"Zone","NW")</f>
        <v>50</v>
      </c>
    </row>
    <row r="8" spans="1:10" x14ac:dyDescent="0.25">
      <c r="A8" s="1" t="s">
        <v>61</v>
      </c>
      <c r="B8" s="2">
        <v>0</v>
      </c>
      <c r="C8" s="2">
        <v>9</v>
      </c>
      <c r="D8" s="2">
        <v>9</v>
      </c>
      <c r="G8" s="1" t="s">
        <v>60</v>
      </c>
      <c r="H8" s="2">
        <f>GETPIVOTDATA("Sum of Cx pipiens",$A$4,"Zone","SE")</f>
        <v>21</v>
      </c>
      <c r="I8" s="2">
        <f>GETPIVOTDATA("Sum of Cx tarsalis",$A$4,"Zone","SE")</f>
        <v>0</v>
      </c>
      <c r="J8" s="2">
        <f>GETPIVOTDATA("Sum of Total CX",$A$4,"Zone","SE")</f>
        <v>21</v>
      </c>
    </row>
    <row r="9" spans="1:10" x14ac:dyDescent="0.25">
      <c r="A9" s="1" t="s">
        <v>7</v>
      </c>
      <c r="B9" s="2">
        <v>235</v>
      </c>
      <c r="C9" s="2">
        <v>47</v>
      </c>
      <c r="D9" s="2">
        <v>282</v>
      </c>
      <c r="G9" s="1" t="s">
        <v>61</v>
      </c>
      <c r="H9" s="2">
        <f>GETPIVOTDATA("Sum of Cx pipiens",$A$4,"Zone","SW")</f>
        <v>0</v>
      </c>
      <c r="I9" s="2">
        <f>GETPIVOTDATA("Sum of Cx tarsalis",$A$4,"Zone","SW")</f>
        <v>9</v>
      </c>
      <c r="J9" s="2">
        <f>GETPIVOTDATA("Sum of Total CX",$A$4,"Zone","SW")</f>
        <v>9</v>
      </c>
    </row>
    <row r="10" spans="1:10" x14ac:dyDescent="0.25">
      <c r="G10" s="1" t="s">
        <v>185</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6" t="s">
        <v>77</v>
      </c>
      <c r="B1" s="96"/>
      <c r="H1" s="96" t="s">
        <v>53</v>
      </c>
      <c r="I1" s="96"/>
    </row>
    <row r="2" spans="1:11" x14ac:dyDescent="0.25">
      <c r="A2" s="3" t="s">
        <v>8</v>
      </c>
      <c r="B2" t="s">
        <v>1</v>
      </c>
    </row>
    <row r="4" spans="1:11" x14ac:dyDescent="0.25">
      <c r="A4" s="3" t="s">
        <v>2</v>
      </c>
      <c r="B4" s="3" t="s">
        <v>3</v>
      </c>
      <c r="H4" s="24" t="s">
        <v>2</v>
      </c>
      <c r="I4" s="24" t="s">
        <v>3</v>
      </c>
      <c r="J4" s="24"/>
      <c r="K4" s="24"/>
    </row>
    <row r="5" spans="1:11" x14ac:dyDescent="0.25">
      <c r="A5" s="3" t="s">
        <v>4</v>
      </c>
      <c r="B5" t="s">
        <v>200</v>
      </c>
      <c r="C5" t="s">
        <v>199</v>
      </c>
      <c r="D5" t="s">
        <v>7</v>
      </c>
      <c r="H5" s="25" t="s">
        <v>4</v>
      </c>
      <c r="I5" s="25" t="s">
        <v>5</v>
      </c>
      <c r="J5" s="25" t="s">
        <v>6</v>
      </c>
      <c r="K5" s="25" t="s">
        <v>7</v>
      </c>
    </row>
    <row r="6" spans="1:11" x14ac:dyDescent="0.25">
      <c r="A6" s="1" t="s">
        <v>59</v>
      </c>
      <c r="B6" s="2">
        <v>277</v>
      </c>
      <c r="C6" s="2">
        <v>21</v>
      </c>
      <c r="D6" s="2">
        <v>298</v>
      </c>
      <c r="H6" s="1" t="s">
        <v>9</v>
      </c>
      <c r="I6" s="2" t="e">
        <f>GETPIVOTDATA("Total",$A$4,"Zone","LV","Spp","pipiens")</f>
        <v>#REF!</v>
      </c>
      <c r="J6" s="2" t="e">
        <f>GETPIVOTDATA("Total",$A$4,"Zone","LV","Spp","tarsalis")</f>
        <v>#REF!</v>
      </c>
      <c r="K6" s="2" t="e">
        <f>GETPIVOTDATA("Total",$A$4,"Zone","LV")</f>
        <v>#REF!</v>
      </c>
    </row>
    <row r="7" spans="1:11" x14ac:dyDescent="0.25">
      <c r="A7" s="1" t="s">
        <v>58</v>
      </c>
      <c r="B7" s="2">
        <v>159</v>
      </c>
      <c r="C7" s="2">
        <v>17</v>
      </c>
      <c r="D7" s="2">
        <v>176</v>
      </c>
      <c r="H7" s="1" t="s">
        <v>59</v>
      </c>
      <c r="I7" s="2">
        <f>GETPIVOTDATA("Total",$A$4,"Zone","NE","Spp","pipiens")</f>
        <v>277</v>
      </c>
      <c r="J7" s="2">
        <f>GETPIVOTDATA("Total",$A$4,"Zone","NE","Spp","tarsalis")</f>
        <v>21</v>
      </c>
      <c r="K7" s="2">
        <f>GETPIVOTDATA("Total",$A$4,"Zone","NE")</f>
        <v>298</v>
      </c>
    </row>
    <row r="8" spans="1:11" x14ac:dyDescent="0.25">
      <c r="A8" s="1" t="s">
        <v>60</v>
      </c>
      <c r="B8" s="2">
        <v>238</v>
      </c>
      <c r="C8" s="2"/>
      <c r="D8" s="2">
        <v>238</v>
      </c>
      <c r="H8" s="1" t="s">
        <v>58</v>
      </c>
      <c r="I8" s="2">
        <f>GETPIVOTDATA("Total",$A$4,"Zone","NW","Spp","pipiens")</f>
        <v>159</v>
      </c>
      <c r="J8" s="2">
        <f>GETPIVOTDATA("Total",$A$4,"Zone","NW","Spp","tarsalis")</f>
        <v>17</v>
      </c>
      <c r="K8" s="2">
        <f>GETPIVOTDATA("Total",$A$4,"Zone","NW")</f>
        <v>176</v>
      </c>
    </row>
    <row r="9" spans="1:11" x14ac:dyDescent="0.25">
      <c r="A9" s="1" t="s">
        <v>61</v>
      </c>
      <c r="B9" s="2">
        <v>10</v>
      </c>
      <c r="C9" s="2">
        <v>9</v>
      </c>
      <c r="D9" s="2">
        <v>19</v>
      </c>
      <c r="H9" s="1" t="s">
        <v>60</v>
      </c>
      <c r="I9" s="2">
        <f>GETPIVOTDATA("Total",$A$4,"Zone","SE","Spp","pipiens")</f>
        <v>238</v>
      </c>
      <c r="J9" s="2">
        <f>GETPIVOTDATA("Total",$A$4,"Zone","SE","Spp","tarsalis")</f>
        <v>0</v>
      </c>
      <c r="K9" s="2">
        <f>GETPIVOTDATA("Total",$A$4,"Zone","SE")</f>
        <v>238</v>
      </c>
    </row>
    <row r="10" spans="1:11" x14ac:dyDescent="0.25">
      <c r="A10" s="1" t="s">
        <v>7</v>
      </c>
      <c r="B10" s="2">
        <v>684</v>
      </c>
      <c r="C10" s="2">
        <v>47</v>
      </c>
      <c r="D10" s="2">
        <v>731</v>
      </c>
      <c r="H10" s="1" t="s">
        <v>61</v>
      </c>
      <c r="I10" s="2">
        <f>GETPIVOTDATA("Total",$A$4,"Zone","SW","Spp","pipiens")</f>
        <v>10</v>
      </c>
      <c r="J10" s="2">
        <f>GETPIVOTDATA("Total",$A$4,"Zone","SW","Spp","tarsalis")</f>
        <v>9</v>
      </c>
      <c r="K10" s="2">
        <f>GETPIVOTDATA("Total",$A$4,"Zone","SW")</f>
        <v>19</v>
      </c>
    </row>
    <row r="11" spans="1:11" x14ac:dyDescent="0.25">
      <c r="H11" s="1" t="s">
        <v>185</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A6E4DE4-70C3-41B2-8654-EE7CDE98EDC3}"/>
</file>

<file path=customXml/itemProps2.xml><?xml version="1.0" encoding="utf-8"?>
<ds:datastoreItem xmlns:ds="http://schemas.openxmlformats.org/officeDocument/2006/customXml" ds:itemID="{0F9F384D-74E8-4DD5-A090-0D22CBD8E8AB}"/>
</file>

<file path=customXml/itemProps3.xml><?xml version="1.0" encoding="utf-8"?>
<ds:datastoreItem xmlns:ds="http://schemas.openxmlformats.org/officeDocument/2006/customXml" ds:itemID="{B50F77A5-C55C-49BB-8582-42C0D0D52A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InfRateCI</vt:lpstr>
      <vt:lpstr>InfRateZO</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2018-09-17T13:34:59Z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1267000</vt:r8>
  </property>
</Properties>
</file>