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activeTab="1"/>
  </bookViews>
  <sheets>
    <sheet name="READ ME" sheetId="65" r:id="rId1"/>
    <sheet name="Weekly Data Input" sheetId="2" r:id="rId2"/>
    <sheet name="InfRateTotal" sheetId="210" r:id="rId3"/>
    <sheet name="InfRateZO" sheetId="204" r:id="rId4"/>
    <sheet name="InfRateCI" sheetId="202" r:id="rId5"/>
    <sheet name="InfRateZone" sheetId="208"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6" r:id="rId15"/>
    <pivotCache cacheId="11" r:id="rId16"/>
  </pivotCaches>
</workbook>
</file>

<file path=xl/calcChain.xml><?xml version="1.0" encoding="utf-8"?>
<calcChain xmlns="http://schemas.openxmlformats.org/spreadsheetml/2006/main">
  <c r="J47" i="59" l="1"/>
  <c r="K47" i="59"/>
  <c r="J37" i="59"/>
  <c r="K37" i="59"/>
  <c r="J67" i="59"/>
  <c r="K67" i="59"/>
  <c r="J46" i="59"/>
  <c r="K46" i="59"/>
  <c r="J34" i="59"/>
  <c r="K34" i="59"/>
  <c r="J61" i="59"/>
  <c r="K61" i="59"/>
  <c r="J48" i="59"/>
  <c r="K48" i="59"/>
  <c r="J76" i="59"/>
  <c r="K76" i="59"/>
  <c r="J9" i="59"/>
  <c r="K9" i="59"/>
  <c r="J94" i="59"/>
  <c r="K94" i="59"/>
  <c r="J75" i="59"/>
  <c r="K75" i="59"/>
  <c r="J126" i="59"/>
  <c r="K126" i="59"/>
  <c r="J63" i="59"/>
  <c r="K63" i="59"/>
  <c r="J3" i="59"/>
  <c r="K3" i="59"/>
  <c r="J113" i="59"/>
  <c r="K113" i="59"/>
  <c r="J35" i="59"/>
  <c r="K35" i="59"/>
  <c r="J73" i="59"/>
  <c r="K73" i="59"/>
  <c r="J58" i="59"/>
  <c r="K58" i="59"/>
  <c r="J57" i="59"/>
  <c r="K57" i="59"/>
  <c r="J10" i="59"/>
  <c r="K10" i="59"/>
  <c r="J77" i="59"/>
  <c r="K77" i="59"/>
  <c r="J93" i="59"/>
  <c r="K93" i="59"/>
  <c r="J99" i="59"/>
  <c r="K99" i="59"/>
  <c r="J109" i="59"/>
  <c r="K109" i="59"/>
  <c r="J128" i="59"/>
  <c r="K128" i="59"/>
  <c r="J23" i="59"/>
  <c r="K23" i="59"/>
  <c r="J92" i="59"/>
  <c r="K92" i="59"/>
  <c r="J101" i="59"/>
  <c r="K101" i="59"/>
  <c r="J122" i="59"/>
  <c r="K122" i="59"/>
  <c r="J62" i="59"/>
  <c r="K62" i="59"/>
  <c r="J51" i="59"/>
  <c r="K51" i="59"/>
  <c r="J119" i="59"/>
  <c r="K119" i="59"/>
  <c r="J24" i="59"/>
  <c r="K24" i="59"/>
  <c r="J30" i="59"/>
  <c r="K30" i="59"/>
  <c r="J20" i="59"/>
  <c r="K20" i="59"/>
  <c r="J118" i="59"/>
  <c r="K118" i="59"/>
  <c r="J117" i="59"/>
  <c r="K117" i="59"/>
  <c r="J55" i="59"/>
  <c r="K55" i="59"/>
  <c r="J105" i="59"/>
  <c r="K105" i="59"/>
  <c r="J79" i="59"/>
  <c r="K79" i="59"/>
  <c r="J97" i="59"/>
  <c r="K97" i="59"/>
  <c r="J100" i="59"/>
  <c r="K100" i="59"/>
  <c r="J112" i="59"/>
  <c r="K112" i="59"/>
  <c r="J129" i="59"/>
  <c r="K129" i="59"/>
  <c r="J59" i="59"/>
  <c r="K59" i="59"/>
  <c r="J54" i="59"/>
  <c r="K54" i="59"/>
  <c r="J84" i="59"/>
  <c r="K84" i="59"/>
  <c r="J68" i="59"/>
  <c r="K68" i="59"/>
  <c r="J98" i="59"/>
  <c r="K98" i="59"/>
  <c r="J89" i="59"/>
  <c r="K89" i="59"/>
  <c r="J69" i="59"/>
  <c r="K69" i="59"/>
  <c r="J74" i="59"/>
  <c r="K74" i="59"/>
  <c r="J110" i="59"/>
  <c r="K110" i="59"/>
  <c r="J66" i="59"/>
  <c r="K66" i="59"/>
  <c r="J70" i="59"/>
  <c r="K70" i="59"/>
  <c r="J71" i="59"/>
  <c r="K71" i="59"/>
  <c r="J72" i="59"/>
  <c r="K72" i="59"/>
  <c r="J65" i="59"/>
  <c r="K65" i="59"/>
  <c r="J86" i="59"/>
  <c r="K86" i="59"/>
  <c r="J2" i="59"/>
  <c r="K2" i="59"/>
  <c r="J78" i="59"/>
  <c r="K78" i="59"/>
  <c r="J45" i="59"/>
  <c r="K45" i="59"/>
  <c r="J85" i="59"/>
  <c r="K85" i="59"/>
  <c r="J11" i="59"/>
  <c r="K11" i="59"/>
  <c r="J12" i="59"/>
  <c r="K12" i="59"/>
  <c r="J32" i="59"/>
  <c r="K32" i="59"/>
  <c r="J42" i="59"/>
  <c r="K42" i="59"/>
  <c r="J87" i="59"/>
  <c r="K87" i="59"/>
  <c r="J88" i="59"/>
  <c r="K88" i="59"/>
  <c r="J17" i="59"/>
  <c r="K17" i="59"/>
  <c r="J123" i="59"/>
  <c r="K123" i="59"/>
  <c r="J107" i="59"/>
  <c r="K107" i="59"/>
  <c r="J82" i="59"/>
  <c r="K82"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9" i="59" l="1"/>
  <c r="K19" i="59"/>
  <c r="J81" i="59"/>
  <c r="K81" i="59"/>
  <c r="J95" i="59"/>
  <c r="K95" i="59"/>
  <c r="J8" i="59"/>
  <c r="K8" i="59"/>
  <c r="J80" i="59"/>
  <c r="K80" i="59"/>
  <c r="J90" i="59"/>
  <c r="K90" i="59"/>
  <c r="J14" i="59"/>
  <c r="K14" i="59"/>
  <c r="J41" i="59"/>
  <c r="K41" i="59"/>
  <c r="J52" i="59"/>
  <c r="K52" i="59"/>
  <c r="J108" i="59"/>
  <c r="K108" i="59"/>
  <c r="J114" i="59"/>
  <c r="K114" i="59"/>
  <c r="J91" i="59"/>
  <c r="K91" i="59"/>
  <c r="J124" i="59"/>
  <c r="K124" i="59"/>
  <c r="J115" i="59"/>
  <c r="K115" i="59"/>
  <c r="J29" i="59"/>
  <c r="K29" i="59"/>
  <c r="J18" i="59"/>
  <c r="K18" i="59"/>
  <c r="J40" i="59"/>
  <c r="K40" i="59"/>
  <c r="J104" i="59"/>
  <c r="K104" i="59"/>
  <c r="J111" i="59"/>
  <c r="K111" i="59"/>
  <c r="J28" i="59"/>
  <c r="K28" i="59"/>
  <c r="J44" i="59"/>
  <c r="K44" i="59"/>
  <c r="J21" i="59"/>
  <c r="K21" i="59"/>
  <c r="J13" i="59"/>
  <c r="K13" i="59"/>
  <c r="J22" i="59"/>
  <c r="K22" i="59"/>
  <c r="J4" i="59"/>
  <c r="K4" i="59"/>
  <c r="J116" i="59"/>
  <c r="K116" i="59"/>
  <c r="J5" i="59"/>
  <c r="K5" i="59"/>
  <c r="J7" i="59"/>
  <c r="K7" i="59"/>
  <c r="J31" i="59"/>
  <c r="K31" i="59"/>
  <c r="J33" i="59"/>
  <c r="K33" i="59"/>
  <c r="J60" i="59"/>
  <c r="K60" i="59"/>
  <c r="J106" i="59"/>
  <c r="K106" i="59"/>
  <c r="J56" i="59"/>
  <c r="K56" i="59"/>
  <c r="J103" i="59"/>
  <c r="K103" i="59"/>
  <c r="J50" i="59"/>
  <c r="K50" i="59"/>
  <c r="J26" i="59"/>
  <c r="K26" i="59"/>
  <c r="J39" i="59"/>
  <c r="K39" i="59"/>
  <c r="J16" i="59"/>
  <c r="K16" i="59"/>
  <c r="J102" i="59"/>
  <c r="K102" i="59"/>
  <c r="J120" i="59"/>
  <c r="K120" i="59"/>
  <c r="J27" i="59"/>
  <c r="K27" i="59"/>
  <c r="J53" i="59"/>
  <c r="K53" i="59"/>
  <c r="J25" i="59"/>
  <c r="K25" i="59"/>
  <c r="J15" i="59"/>
  <c r="K15" i="59"/>
  <c r="J125" i="59"/>
  <c r="K125" i="59"/>
  <c r="J43" i="59"/>
  <c r="K43" i="59"/>
  <c r="J36" i="59"/>
  <c r="K36" i="59"/>
  <c r="J121" i="59"/>
  <c r="K121" i="59"/>
  <c r="J83" i="59"/>
  <c r="K83" i="59"/>
  <c r="J6" i="59"/>
  <c r="K6" i="59"/>
  <c r="J127" i="59"/>
  <c r="K127" i="59"/>
  <c r="J64" i="59"/>
  <c r="K64" i="59"/>
  <c r="J49" i="59"/>
  <c r="K49" i="59"/>
  <c r="J96" i="59"/>
  <c r="K96" i="59"/>
  <c r="K38" i="59"/>
  <c r="J38" i="59"/>
  <c r="M76" i="5" l="1"/>
  <c r="F13" i="5" s="1"/>
  <c r="L76" i="5"/>
  <c r="E13" i="5" s="1"/>
  <c r="H11" i="6"/>
  <c r="G11" i="6"/>
  <c r="G12" i="6"/>
  <c r="I12" i="6"/>
  <c r="I11" i="6"/>
  <c r="H12" i="6"/>
  <c r="H10" i="64"/>
  <c r="H11" i="64"/>
  <c r="I11" i="64"/>
  <c r="J10" i="64"/>
  <c r="I10" i="64"/>
  <c r="J11" i="64"/>
  <c r="I11" i="61"/>
  <c r="J11" i="61"/>
  <c r="K10" i="61"/>
  <c r="I10" i="61"/>
  <c r="K11" i="61"/>
  <c r="J10" i="61"/>
  <c r="J10" i="63"/>
  <c r="I5" i="63"/>
  <c r="H5" i="63"/>
  <c r="I10" i="63"/>
  <c r="H10" i="63"/>
  <c r="J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7" i="6"/>
  <c r="I8" i="6"/>
  <c r="G10" i="6"/>
  <c r="I9" i="6"/>
  <c r="H8" i="6"/>
  <c r="G8" i="6"/>
  <c r="H9" i="6"/>
  <c r="I7" i="6"/>
  <c r="H7" i="6"/>
  <c r="G9" i="6"/>
  <c r="I10" i="6"/>
  <c r="H10" i="6"/>
  <c r="J7" i="64"/>
  <c r="J9" i="64"/>
  <c r="I7" i="64"/>
  <c r="H7" i="64"/>
  <c r="J8" i="64"/>
  <c r="J6" i="64"/>
  <c r="I9" i="64"/>
  <c r="H8" i="64"/>
  <c r="H6" i="64"/>
  <c r="H9" i="64"/>
  <c r="I8" i="64"/>
  <c r="I6" i="64"/>
  <c r="K6" i="61"/>
  <c r="I8" i="61"/>
  <c r="K9" i="61"/>
  <c r="I7" i="61"/>
  <c r="I6" i="61"/>
  <c r="J6" i="61"/>
  <c r="J7" i="61"/>
  <c r="J8" i="61"/>
  <c r="I9" i="61"/>
  <c r="K8" i="61"/>
  <c r="J9" i="61"/>
  <c r="K7" i="61"/>
  <c r="I6" i="63"/>
  <c r="I9" i="63"/>
  <c r="H6" i="63"/>
  <c r="H7" i="63"/>
  <c r="J7" i="63"/>
  <c r="J9" i="63"/>
  <c r="I7" i="63"/>
  <c r="J6" i="63"/>
  <c r="I8" i="63"/>
  <c r="J8" i="63"/>
  <c r="H8" i="63"/>
  <c r="H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<sst xmlns="http://schemas.openxmlformats.org/spreadsheetml/2006/main" count="2292" uniqueCount="414">
  <si>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</si>
  <si>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</si>
  <si>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</si>
  <si>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</si>
  <si>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</si>
  <si>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</si>
  <si>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</si>
  <si>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</si>
  <si>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</si>
  <si>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</si>
  <si>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</si>
  <si>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</si>
  <si>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</si>
  <si>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</si>
  <si>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</si>
  <si>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</si>
  <si>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</si>
  <si>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</si>
  <si>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</si>
  <si>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</si>
  <si>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</si>
  <si>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</si>
  <si>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</si>
  <si>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</si>
  <si>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</si>
  <si>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</si>
  <si>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</si>
  <si>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</si>
  <si>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</si>
  <si>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</si>
  <si>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</si>
  <si>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</si>
  <si>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</si>
  <si>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</si>
  <si>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</si>
  <si>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</si>
  <si>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</si>
  <si>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</si>
  <si>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</si>
  <si>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</si>
  <si>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</si>
  <si>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</si>
  <si>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</si>
  <si>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</si>
  <si>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</si>
  <si>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</si>
  <si>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</si>
  <si>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</si>
  <si>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</si>
  <si>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</si>
  <si>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</si>
  <si>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</si>
  <si>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</si>
  <si>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</si>
  <si>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</si>
  <si>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</si>
  <si>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</si>
  <si>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</si>
  <si>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</si>
  <si>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</si>
  <si>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</si>
  <si>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</si>
  <si>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</si>
  <si>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</si>
  <si>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</si>
  <si>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</si>
  <si>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</si>
  <si>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</si>
  <si>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</si>
  <si>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</si>
  <si>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</si>
  <si>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</si>
  <si>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</si>
  <si>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</si>
  <si>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</si>
  <si>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</si>
  <si>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</si>
  <si>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</si>
  <si>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</si>
  <si>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</si>
  <si>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</si>
  <si>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</si>
  <si>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</si>
  <si>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</si>
  <si>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</si>
  <si>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</si>
  <si>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</si>
  <si>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</si>
  <si>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</si>
  <si>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</si>
  <si>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</si>
  <si>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</si>
  <si>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</si>
  <si>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</si>
  <si>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</si>
  <si>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</si>
  <si>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</si>
  <si>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</si>
  <si>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</si>
  <si>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</si>
  <si>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</si>
  <si>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</si>
  <si>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</si>
  <si>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</si>
  <si>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</si>
  <si>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</si>
  <si>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</si>
  <si>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</si>
  <si>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</si>
  <si>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</si>
  <si>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</si>
  <si>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</si>
  <si>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</si>
  <si>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</si>
  <si>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</si>
  <si>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</si>
  <si>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</si>
  <si>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</si>
  <si>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</si>
  <si>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</si>
  <si>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</si>
  <si>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</si>
  <si>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</si>
  <si>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</si>
  <si>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</si>
  <si>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</si>
  <si>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</si>
  <si>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</si>
  <si>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</si>
  <si>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</si>
  <si>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</si>
  <si>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</si>
  <si>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Tarsalis</t>
  </si>
  <si>
    <t>Pipiens</t>
  </si>
  <si>
    <t>LV-104</t>
  </si>
  <si>
    <t>Hemlock</t>
  </si>
  <si>
    <t xml:space="preserve">FC-036 </t>
  </si>
  <si>
    <t>3001 San Luis</t>
  </si>
  <si>
    <t>Egret and Rookery</t>
  </si>
  <si>
    <t>Ben's Park</t>
  </si>
  <si>
    <t>Loveland</t>
  </si>
  <si>
    <t>7 Lakes Park</t>
  </si>
  <si>
    <t>LV-078</t>
  </si>
  <si>
    <t>Sundisk and 13E</t>
  </si>
  <si>
    <t>LV-116</t>
  </si>
  <si>
    <t>915 S Boise</t>
  </si>
  <si>
    <t>LV-112</t>
  </si>
  <si>
    <t>Jefferson and 11th</t>
  </si>
  <si>
    <t>LV-074</t>
  </si>
  <si>
    <t>Cr 20 and 9</t>
  </si>
  <si>
    <t>Storage Yard and 2nd</t>
  </si>
  <si>
    <t>LV-124</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</si>
  <si>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</si>
  <si>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</si>
  <si>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</si>
  <si>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</si>
  <si>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</si>
  <si>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</si>
  <si>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</si>
  <si>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</si>
  <si>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</si>
  <si>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</si>
  <si>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</si>
  <si>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</si>
  <si>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</si>
  <si>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</si>
  <si>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</si>
  <si>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</si>
  <si>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</si>
  <si>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</si>
  <si>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</si>
  <si>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LV-095</t>
  </si>
  <si>
    <t>FC-014</t>
  </si>
  <si>
    <t>FC-034</t>
  </si>
  <si>
    <t>LV-110</t>
  </si>
  <si>
    <t>FC-050</t>
  </si>
  <si>
    <t>FC-031</t>
  </si>
  <si>
    <t>FC-004</t>
  </si>
  <si>
    <t>FC-064</t>
  </si>
  <si>
    <t>FC-039</t>
  </si>
  <si>
    <t>FC-074</t>
  </si>
  <si>
    <t>FC-061</t>
  </si>
  <si>
    <t>LC-053</t>
  </si>
  <si>
    <t>FC-090gr</t>
  </si>
  <si>
    <t>LC-054</t>
  </si>
  <si>
    <t>LC-001</t>
  </si>
  <si>
    <t>FC-037</t>
  </si>
  <si>
    <t>FC Visitors Center</t>
  </si>
  <si>
    <t>Country Club</t>
  </si>
  <si>
    <t>Fossil Creek South</t>
  </si>
  <si>
    <t>Bighorn</t>
  </si>
  <si>
    <t>Rock Creek</t>
  </si>
  <si>
    <t>Golden Meadows Ditch</t>
  </si>
  <si>
    <t>West Chase</t>
  </si>
  <si>
    <t>Willow Springs</t>
  </si>
  <si>
    <t>Holley Plant Research Center</t>
  </si>
  <si>
    <t>Chelsea Ridge</t>
  </si>
  <si>
    <t>29th and Madison</t>
  </si>
  <si>
    <t>LV-004</t>
  </si>
  <si>
    <t>Boyd Lake</t>
  </si>
  <si>
    <t>8th And No Name</t>
  </si>
  <si>
    <t>LV-125</t>
  </si>
  <si>
    <t xml:space="preserve">Big Thompson </t>
  </si>
  <si>
    <t>Golf Vista</t>
  </si>
  <si>
    <t>LV-118</t>
  </si>
  <si>
    <t>Springs at Marianna</t>
  </si>
  <si>
    <t>LV-113</t>
  </si>
  <si>
    <t>2001 S Douglas</t>
  </si>
  <si>
    <t>LV-042</t>
  </si>
  <si>
    <t>Jocelyn and Eagle</t>
  </si>
  <si>
    <t>LV-019</t>
  </si>
  <si>
    <t>Derby Hill</t>
  </si>
  <si>
    <t>LV-087</t>
  </si>
  <si>
    <t xml:space="preserve">Linda and 26th </t>
  </si>
  <si>
    <t>LV-021</t>
  </si>
  <si>
    <t>Glen Isle Ditch</t>
  </si>
  <si>
    <t>LV-102</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</si>
  <si>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</si>
  <si>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</si>
  <si>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</si>
  <si>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</si>
  <si>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</si>
  <si>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</si>
  <si>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</si>
  <si>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</si>
  <si>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</si>
  <si>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</si>
  <si>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FC-069</t>
  </si>
  <si>
    <t>FC-066</t>
  </si>
  <si>
    <t>FC-019</t>
  </si>
  <si>
    <t>FC-072</t>
  </si>
  <si>
    <t>FC-006</t>
  </si>
  <si>
    <t>LV-069</t>
  </si>
  <si>
    <t>FC-040</t>
  </si>
  <si>
    <t>FC-067</t>
  </si>
  <si>
    <t>FC-023</t>
  </si>
  <si>
    <t>FC-075</t>
  </si>
  <si>
    <t>FC-073</t>
  </si>
  <si>
    <t>LC-049</t>
  </si>
  <si>
    <t>LV-020</t>
  </si>
  <si>
    <t>FC-071</t>
  </si>
  <si>
    <t>FC-001</t>
  </si>
  <si>
    <t>FC-054</t>
  </si>
  <si>
    <t>FC-062</t>
  </si>
  <si>
    <t>FC-029gr</t>
  </si>
  <si>
    <t>SW-Pip</t>
  </si>
  <si>
    <t>Poudre River Trail</t>
  </si>
  <si>
    <t>Linden Lake</t>
  </si>
  <si>
    <t>Prospect Ponds</t>
  </si>
  <si>
    <t>Redwood</t>
  </si>
  <si>
    <t>422 Lake Dr</t>
  </si>
  <si>
    <t>N. Linden</t>
  </si>
  <si>
    <t>Edora Park</t>
  </si>
  <si>
    <t>Sage Creek North</t>
  </si>
  <si>
    <t>Boltz</t>
  </si>
  <si>
    <t>118 N Grant</t>
  </si>
  <si>
    <t>Silvergate Rd</t>
  </si>
  <si>
    <t>Water's Edge at Blue Mesa</t>
  </si>
  <si>
    <t>737 Parliament</t>
  </si>
  <si>
    <t>Magic Carpet</t>
  </si>
  <si>
    <t>Outlet Mall Apartments</t>
  </si>
  <si>
    <t>LV-066</t>
  </si>
  <si>
    <t>Centerra</t>
  </si>
  <si>
    <t>LV-117</t>
  </si>
  <si>
    <t>Horseshoe Pennninsula</t>
  </si>
  <si>
    <t>2229 Arikaree</t>
  </si>
  <si>
    <t>LV-088</t>
  </si>
  <si>
    <t>Cattail Pond</t>
  </si>
  <si>
    <t>West 43rd Railroad</t>
  </si>
  <si>
    <t>LV-105</t>
  </si>
  <si>
    <t>Cattails Golfcourse</t>
  </si>
  <si>
    <t>LV-099</t>
  </si>
  <si>
    <t>Berthoud North</t>
  </si>
  <si>
    <t xml:space="preserve">LC-049 </t>
  </si>
  <si>
    <t>Timnath - Golf Course</t>
  </si>
  <si>
    <t xml:space="preserve">LC-022 </t>
  </si>
  <si>
    <t>FC-038</t>
  </si>
  <si>
    <t>FC-047</t>
  </si>
  <si>
    <t>FC-046</t>
  </si>
  <si>
    <t>FC-088gr</t>
  </si>
  <si>
    <t>FC-059</t>
  </si>
  <si>
    <t>FC-052</t>
  </si>
  <si>
    <t>FC-041</t>
  </si>
  <si>
    <t>FC-060</t>
  </si>
  <si>
    <t>FC-063gr</t>
  </si>
  <si>
    <t>FC-049</t>
  </si>
  <si>
    <t>LC-055</t>
  </si>
  <si>
    <t>FC-068</t>
  </si>
  <si>
    <t>FC-089gr</t>
  </si>
  <si>
    <t>FC-057</t>
  </si>
  <si>
    <t>Lochside Lane</t>
  </si>
  <si>
    <t>Springwood and Lochwood</t>
  </si>
  <si>
    <t>Keenland and Twin Oak</t>
  </si>
  <si>
    <t>725 Westshore Court</t>
  </si>
  <si>
    <t>Casa Grande and Downing</t>
  </si>
  <si>
    <t>Fishback</t>
  </si>
  <si>
    <t>808 Ponderosa</t>
  </si>
  <si>
    <t>603 Gilgalad Way</t>
  </si>
  <si>
    <t>5029 Crest Dr</t>
  </si>
  <si>
    <t>Registry Ridge</t>
  </si>
  <si>
    <t>Bayfield and Windsor</t>
  </si>
  <si>
    <t>LV-121</t>
  </si>
  <si>
    <t>Berthoud East</t>
  </si>
  <si>
    <t>Timnath - Summerfields</t>
  </si>
  <si>
    <t xml:space="preserve">LC-048 </t>
  </si>
  <si>
    <t>LV-Pip</t>
  </si>
  <si>
    <t>CSU-13127</t>
  </si>
  <si>
    <t>CSU-13128</t>
  </si>
  <si>
    <t>CSU-13129</t>
  </si>
  <si>
    <t>CSU-13130</t>
  </si>
  <si>
    <t>CSU-13131</t>
  </si>
  <si>
    <t>CSU-13132</t>
  </si>
  <si>
    <t>CSU-13133</t>
  </si>
  <si>
    <t>CSU-13134</t>
  </si>
  <si>
    <t>CSU-13135</t>
  </si>
  <si>
    <t>CSU-13136</t>
  </si>
  <si>
    <t>CSU-13137</t>
  </si>
  <si>
    <t>CSU-13138</t>
  </si>
  <si>
    <t>CSU-13139</t>
  </si>
  <si>
    <t>FC-040gr</t>
  </si>
  <si>
    <t>CSU-13140</t>
  </si>
  <si>
    <t>CSU-13141</t>
  </si>
  <si>
    <t>CSU-13142</t>
  </si>
  <si>
    <t>CSU-13143</t>
  </si>
  <si>
    <t>FC-092gr</t>
  </si>
  <si>
    <t>CSU-13144</t>
  </si>
  <si>
    <t>CSU-13145</t>
  </si>
  <si>
    <t>CSU-13146</t>
  </si>
  <si>
    <t>CSU-13147</t>
  </si>
  <si>
    <t>CSU-13148</t>
  </si>
  <si>
    <t>CSU-13149</t>
  </si>
  <si>
    <t>CSU-13150</t>
  </si>
  <si>
    <t>CSU-13151</t>
  </si>
  <si>
    <t>CSU-13152</t>
  </si>
  <si>
    <t>CSU-13153</t>
  </si>
  <si>
    <t>CSU-13154</t>
  </si>
  <si>
    <t>CSU-13155</t>
  </si>
  <si>
    <t>CSU-13156</t>
  </si>
  <si>
    <t>CSU-13157</t>
  </si>
  <si>
    <t>CSU-13158</t>
  </si>
  <si>
    <t>CSU-13159</t>
  </si>
  <si>
    <t>CSU-13160</t>
  </si>
  <si>
    <t>CSU-13161</t>
  </si>
  <si>
    <t>CSU-13162</t>
  </si>
  <si>
    <t>CSU-13163</t>
  </si>
  <si>
    <t>CSU-13164</t>
  </si>
  <si>
    <t>CSU-13165</t>
  </si>
  <si>
    <t>CSU-13166</t>
  </si>
  <si>
    <t>CSU-13167</t>
  </si>
  <si>
    <t>CSU-13168</t>
  </si>
  <si>
    <t>CSU-13169</t>
  </si>
  <si>
    <t>CSU-13170</t>
  </si>
  <si>
    <t>CSU-13171</t>
  </si>
  <si>
    <t>CSU-13172</t>
  </si>
  <si>
    <t>CSU-13173</t>
  </si>
  <si>
    <t>CSU-13174</t>
  </si>
  <si>
    <t>CSU-13175</t>
  </si>
  <si>
    <t>CSU-13176</t>
  </si>
  <si>
    <t>CSU-13177</t>
  </si>
  <si>
    <t>FC-075gr</t>
  </si>
  <si>
    <t>CSU-13178</t>
  </si>
  <si>
    <t>CSU-13179</t>
  </si>
  <si>
    <t>CSU-13180</t>
  </si>
  <si>
    <t>CSU-13181</t>
  </si>
  <si>
    <t>CSU-13182</t>
  </si>
  <si>
    <t>CSU-13183</t>
  </si>
  <si>
    <t>CSU-13184</t>
  </si>
  <si>
    <t>CSU-13185</t>
  </si>
  <si>
    <t>CSU-13186</t>
  </si>
  <si>
    <t>CSU-13187</t>
  </si>
  <si>
    <t>CSU-13188</t>
  </si>
  <si>
    <t>CSU-13189</t>
  </si>
  <si>
    <t>CSU-13190</t>
  </si>
  <si>
    <t>CSU-13191</t>
  </si>
  <si>
    <t>CSU-13192</t>
  </si>
  <si>
    <t>CSU-13193</t>
  </si>
  <si>
    <t>CSU-13194</t>
  </si>
  <si>
    <t>CSU-13195</t>
  </si>
  <si>
    <t>CSU-13196</t>
  </si>
  <si>
    <t>CSU-13197</t>
  </si>
  <si>
    <t>CSU-13198</t>
  </si>
  <si>
    <t>CSU-13199</t>
  </si>
  <si>
    <t>CSU-13200</t>
  </si>
  <si>
    <t>CSU-13201</t>
  </si>
  <si>
    <t>CSU-13202</t>
  </si>
  <si>
    <t>CSU-13203</t>
  </si>
  <si>
    <t>CSU-13204</t>
  </si>
  <si>
    <t>CSU-13205</t>
  </si>
  <si>
    <t>CSU-13206</t>
  </si>
  <si>
    <t>CSU-13207</t>
  </si>
  <si>
    <t>CSU-13208</t>
  </si>
  <si>
    <t>CSU-13209</t>
  </si>
  <si>
    <t>CSU-13210</t>
  </si>
  <si>
    <t>CSU-13211</t>
  </si>
  <si>
    <t>CSU-13212</t>
  </si>
  <si>
    <t>CSU-13213</t>
  </si>
  <si>
    <t>CSU-13214</t>
  </si>
  <si>
    <t>CSU-13215</t>
  </si>
  <si>
    <t>CSU-13216</t>
  </si>
  <si>
    <t>CSU-13217</t>
  </si>
  <si>
    <t>CSU-13218</t>
  </si>
  <si>
    <t>CSU-13219</t>
  </si>
  <si>
    <t>CSU-13220</t>
  </si>
  <si>
    <t>CSU-13221</t>
  </si>
  <si>
    <t>CSU-13222</t>
  </si>
  <si>
    <t>CSU-13223</t>
  </si>
  <si>
    <t>CSU-13224</t>
  </si>
  <si>
    <t>FC-093</t>
  </si>
  <si>
    <t>BE-Pip</t>
  </si>
  <si>
    <t>Lopez Elementary</t>
  </si>
  <si>
    <t>Pond at Silver Lake</t>
  </si>
  <si>
    <t>LV-093</t>
  </si>
  <si>
    <t>Blue Tree Realty</t>
  </si>
  <si>
    <t>LV-100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</si>
</sst>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14" fontId="0" fillId="0" borderId="0" xfId="0" applyNumberForma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67.774874189818" createdVersion="4" refreshedVersion="4" minRefreshableVersion="3" recordCount="113">
  <cacheSource type="worksheet">
    <worksheetSource ref="A1:K114" sheet="Weekly 009 input"/>
  </cacheSource>
  <cacheFields count="11">
    <cacheField name="Week" numFmtId="0">
      <sharedItems containsSemiMixedTypes="0" containsString="0" containsNumber="1" containsInteger="1" minValue="29" maxValue="29" count="1">
        <n v="29"/>
      </sharedItems>
    </cacheField>
    <cacheField name="Trap Date" numFmtId="14">
      <sharedItems containsSemiMixedTypes="0" containsNonDate="0" containsDate="1" containsString="0" minDate="2019-07-14T00:00:00" maxDate="2019-07-18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604"/>
    </cacheField>
    <cacheField name="Type" numFmtId="0">
      <sharedItems/>
    </cacheField>
    <cacheField name="Trap Number" numFmtId="0">
      <sharedItems/>
    </cacheField>
    <cacheField name="Cx tarsalis" numFmtId="0">
      <sharedItems containsSemiMixedTypes="0" containsString="0" containsNumber="1" containsInteger="1" minValue="0" maxValue="604"/>
    </cacheField>
    <cacheField name="Cx pipiens" numFmtId="0">
      <sharedItems containsSemiMixedTypes="0" containsString="0" containsNumber="1" containsInteger="1" minValue="0" maxValue="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67.780673263886" createdVersion="4" refreshedVersion="4" minRefreshableVersion="3" recordCount="98">
  <cacheSource type="worksheet">
    <worksheetSource ref="A1:R99"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2733" maxValue="22830"/>
    </cacheField>
    <cacheField name="Week" numFmtId="0">
      <sharedItems containsSemiMixedTypes="0" containsString="0" containsNumber="1" containsInteger="1" minValue="29" maxValue="29" count="1">
        <n v="29"/>
      </sharedItems>
    </cacheField>
    <cacheField name="Trap Date" numFmtId="164">
      <sharedItems containsSemiMixedTypes="0" containsNonDate="0" containsDate="1" containsString="0" minDate="2019-07-14T00:00:00" maxDate="2019-07-18T00:00:00" count="4">
        <d v="2019-07-14T00:00:00"/>
        <d v="2019-07-15T00:00:00"/>
        <d v="2019-07-16T00:00:00"/>
        <d v="2019-07-17T00:00:00"/>
      </sharedItems>
    </cacheField>
    <cacheField name="County" numFmtId="0">
      <sharedItems/>
    </cacheField>
    <cacheField name="Account" numFmtId="0">
      <sharedItems/>
    </cacheField>
    <cacheField name="Collection Site (Trap ID)" numFmtId="0">
      <sharedItems/>
    </cacheField>
    <cacheField name="Zone" numFmtId="0">
      <sharedItems count="6">
        <s v="NE"/>
        <s v="LV"/>
        <s v="NW"/>
        <s v="SE"/>
        <s v="SW"/>
        <s v="B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50"/>
    </cacheField>
    <cacheField name="No. Deplete" numFmtId="0">
      <sharedItems containsString="0" containsBlank="1" containsNumber="1" containsInteger="1" minValue="2" maxValue="50"/>
    </cacheField>
    <cacheField name="Total" numFmtId="0">
      <sharedItems containsSemiMixedTypes="0" containsString="0" containsNumber="1" containsInteger="1" minValue="2"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3">
  <r>
    <x v="0"/>
    <d v="2019-07-17T00:00:00"/>
    <s v="Fort Collins"/>
    <s v="Magic Carpet"/>
    <x v="0"/>
    <s v="Culex tarsalis"/>
    <n v="29"/>
    <s v="CDC Light Trap"/>
    <s v="FC-001"/>
    <n v="29"/>
    <n v="0"/>
  </r>
  <r>
    <x v="0"/>
    <d v="2019-07-15T00:00:00"/>
    <s v="Fort Collins"/>
    <s v="Bighorn"/>
    <x v="1"/>
    <s v="Culex tarsalis"/>
    <n v="46"/>
    <s v="CDC Light Trap"/>
    <s v="FC-004"/>
    <n v="46"/>
    <n v="0"/>
  </r>
  <r>
    <x v="0"/>
    <d v="2019-07-14T00:00:00"/>
    <s v="Fort Collins"/>
    <s v="N. Linden"/>
    <x v="2"/>
    <s v="Culex pipiens"/>
    <n v="21"/>
    <s v="CDC Light Trap"/>
    <s v="FC-006"/>
    <n v="0"/>
    <n v="21"/>
  </r>
  <r>
    <x v="0"/>
    <d v="2019-07-14T00:00:00"/>
    <s v="Fort Collins"/>
    <s v="N. Linden"/>
    <x v="2"/>
    <s v="Culex tarsalis"/>
    <n v="31"/>
    <s v="CDC Light Trap"/>
    <s v="FC-006"/>
    <n v="31"/>
    <n v="0"/>
  </r>
  <r>
    <x v="0"/>
    <d v="2019-07-14T00:00:00"/>
    <s v="Fort Collins"/>
    <s v="FC Visitors Center"/>
    <x v="2"/>
    <s v="Culex tarsalis"/>
    <n v="114"/>
    <s v="CDC Light Trap"/>
    <s v="FC-014"/>
    <n v="114"/>
    <n v="0"/>
  </r>
  <r>
    <x v="0"/>
    <d v="2019-07-14T00:00:00"/>
    <s v="Fort Collins"/>
    <s v="Edora Park"/>
    <x v="2"/>
    <s v="Culex pipiens"/>
    <n v="4"/>
    <s v="CDC Light Trap"/>
    <s v="FC-019"/>
    <n v="0"/>
    <n v="4"/>
  </r>
  <r>
    <x v="0"/>
    <d v="2019-07-14T00:00:00"/>
    <s v="Fort Collins"/>
    <s v="Edora Park"/>
    <x v="2"/>
    <s v="Culex tarsalis"/>
    <n v="44"/>
    <s v="CDC Light Trap"/>
    <s v="FC-019"/>
    <n v="44"/>
    <n v="0"/>
  </r>
  <r>
    <x v="0"/>
    <d v="2019-07-15T00:00:00"/>
    <s v="Fort Collins"/>
    <s v="Boltz"/>
    <x v="1"/>
    <s v="Culex tarsalis"/>
    <n v="25"/>
    <s v="CDC Light Trap"/>
    <s v="FC-023"/>
    <n v="25"/>
    <n v="0"/>
  </r>
  <r>
    <x v="0"/>
    <d v="2019-07-15T00:00:00"/>
    <s v="Fort Collins"/>
    <s v="3001 San Luis"/>
    <x v="1"/>
    <s v="Culex tarsalis"/>
    <n v="40"/>
    <s v="CDC Light Trap"/>
    <s v="FC-027"/>
    <n v="40"/>
    <n v="0"/>
  </r>
  <r>
    <x v="0"/>
    <d v="2019-07-17T00:00:00"/>
    <s v="Fort Collins"/>
    <s v="Ben's Park"/>
    <x v="1"/>
    <s v="Culex tarsalis"/>
    <n v="16"/>
    <s v="CDC Light Trap"/>
    <s v="FC-029"/>
    <n v="16"/>
    <n v="0"/>
  </r>
  <r>
    <x v="0"/>
    <d v="2019-07-17T00:00:00"/>
    <s v="Fort Collins"/>
    <s v="Ben's Park"/>
    <x v="1"/>
    <s v="Culex pipiens"/>
    <n v="5"/>
    <s v="CDC Light Trap"/>
    <s v="FC-029"/>
    <n v="0"/>
    <n v="5"/>
  </r>
  <r>
    <x v="0"/>
    <d v="2019-07-15T00:00:00"/>
    <s v="Fort Collins"/>
    <s v="Willow Springs"/>
    <x v="1"/>
    <s v="Culex tarsalis"/>
    <n v="46"/>
    <s v="CDC Light Trap"/>
    <s v="FC-031"/>
    <n v="46"/>
    <n v="0"/>
  </r>
  <r>
    <x v="0"/>
    <d v="2019-07-14T00:00:00"/>
    <s v="Fort Collins"/>
    <s v="Country Club"/>
    <x v="2"/>
    <s v="Culex tarsalis"/>
    <n v="195"/>
    <s v="CDC Light Trap"/>
    <s v="FC-034"/>
    <n v="195"/>
    <n v="0"/>
  </r>
  <r>
    <x v="0"/>
    <d v="2019-07-14T00:00:00"/>
    <s v="Fort Collins"/>
    <s v="Hemlock"/>
    <x v="3"/>
    <s v="Culex tarsalis"/>
    <n v="67"/>
    <s v="CDC Light Trap"/>
    <s v="FC-036 "/>
    <n v="67"/>
    <n v="0"/>
  </r>
  <r>
    <x v="0"/>
    <d v="2019-07-14T00:00:00"/>
    <s v="Fort Collins"/>
    <s v="Hemlock"/>
    <x v="3"/>
    <s v="Culex pipiens"/>
    <n v="13"/>
    <s v="CDC Light Trap"/>
    <s v="FC-036 "/>
    <n v="0"/>
    <n v="13"/>
  </r>
  <r>
    <x v="0"/>
    <d v="2019-07-17T00:00:00"/>
    <s v="Fort Collins"/>
    <s v="Chelsea Ridge"/>
    <x v="0"/>
    <s v="Culex tarsalis"/>
    <n v="25"/>
    <s v="CDC Light Trap"/>
    <s v="FC-037"/>
    <n v="25"/>
    <n v="0"/>
  </r>
  <r>
    <x v="0"/>
    <d v="2019-07-14T00:00:00"/>
    <s v="Fort Collins"/>
    <s v="Lochside Lane"/>
    <x v="2"/>
    <s v="Culex tarsalis"/>
    <n v="50"/>
    <s v="CDC Light Trap"/>
    <s v="FC-038"/>
    <n v="50"/>
    <n v="0"/>
  </r>
  <r>
    <x v="0"/>
    <d v="2019-07-15T00:00:00"/>
    <s v="Fort Collins"/>
    <s v="Fossil Creek South"/>
    <x v="1"/>
    <s v="Culex tarsalis"/>
    <n v="112"/>
    <s v="CDC Light Trap"/>
    <s v="FC-039"/>
    <n v="112"/>
    <n v="0"/>
  </r>
  <r>
    <x v="0"/>
    <d v="2019-07-15T00:00:00"/>
    <s v="Fort Collins"/>
    <s v="Fossil Creek South"/>
    <x v="1"/>
    <s v="Culex pipiens"/>
    <n v="3"/>
    <s v="CDC Light Trap"/>
    <s v="FC-039"/>
    <n v="0"/>
    <n v="3"/>
  </r>
  <r>
    <x v="0"/>
    <d v="2019-07-14T00:00:00"/>
    <s v="Fort Collins"/>
    <s v="Redwood"/>
    <x v="2"/>
    <s v="Culex tarsalis"/>
    <n v="22"/>
    <s v="CDC Light Trap"/>
    <s v="FC-040"/>
    <n v="22"/>
    <n v="0"/>
  </r>
  <r>
    <x v="0"/>
    <d v="2019-07-16T00:00:00"/>
    <s v="Fort Collins"/>
    <s v="Fishback"/>
    <x v="3"/>
    <s v="Culex tarsalis"/>
    <n v="3"/>
    <s v="CDC Light Trap"/>
    <s v="FC-041"/>
    <n v="3"/>
    <n v="0"/>
  </r>
  <r>
    <x v="0"/>
    <d v="2019-07-15T00:00:00"/>
    <s v="Fort Collins"/>
    <s v="725 Westshore Court"/>
    <x v="1"/>
    <s v="Culex tarsalis"/>
    <n v="28"/>
    <s v="CDC Light Trap"/>
    <s v="FC-046"/>
    <n v="28"/>
    <n v="0"/>
  </r>
  <r>
    <x v="0"/>
    <d v="2019-07-15T00:00:00"/>
    <s v="Fort Collins"/>
    <s v="Keenland and Twin Oak"/>
    <x v="1"/>
    <s v="Culex tarsalis"/>
    <n v="29"/>
    <s v="CDC Light Trap"/>
    <s v="FC-047"/>
    <n v="29"/>
    <n v="0"/>
  </r>
  <r>
    <x v="0"/>
    <d v="2019-07-16T00:00:00"/>
    <s v="Fort Collins"/>
    <s v="Casa Grande and Downing"/>
    <x v="0"/>
    <s v="Culex pipiens"/>
    <n v="2"/>
    <s v="CDC Light Trap"/>
    <s v="FC-049"/>
    <n v="0"/>
    <n v="2"/>
  </r>
  <r>
    <x v="0"/>
    <d v="2019-07-15T00:00:00"/>
    <s v="Fort Collins"/>
    <s v="Golden Meadows Ditch"/>
    <x v="1"/>
    <s v="Culex pipiens"/>
    <n v="7"/>
    <s v="CDC Light Trap"/>
    <s v="FC-050"/>
    <n v="0"/>
    <n v="7"/>
  </r>
  <r>
    <x v="0"/>
    <d v="2019-07-15T00:00:00"/>
    <s v="Fort Collins"/>
    <s v="Golden Meadows Ditch"/>
    <x v="1"/>
    <s v="Culex tarsalis"/>
    <n v="50"/>
    <s v="CDC Light Trap"/>
    <s v="FC-050"/>
    <n v="50"/>
    <n v="0"/>
  </r>
  <r>
    <x v="0"/>
    <d v="2019-07-16T00:00:00"/>
    <s v="Fort Collins"/>
    <s v="603 Gilgalad Way"/>
    <x v="3"/>
    <s v="Culex tarsalis"/>
    <n v="4"/>
    <s v="CDC Light Trap"/>
    <s v="FC-052"/>
    <n v="4"/>
    <n v="0"/>
  </r>
  <r>
    <x v="0"/>
    <d v="2019-07-15T00:00:00"/>
    <s v="Fort Collins"/>
    <s v="Egret and Rookery"/>
    <x v="1"/>
    <s v="Culex pipiens"/>
    <n v="11"/>
    <s v="CDC Light Trap"/>
    <s v="FC-053"/>
    <n v="0"/>
    <n v="11"/>
  </r>
  <r>
    <x v="0"/>
    <d v="2019-07-15T00:00:00"/>
    <s v="Fort Collins"/>
    <s v="Egret and Rookery"/>
    <x v="1"/>
    <s v="Culex tarsalis"/>
    <n v="314"/>
    <s v="CDC Light Trap"/>
    <s v="FC-053"/>
    <n v="314"/>
    <n v="0"/>
  </r>
  <r>
    <x v="0"/>
    <d v="2019-07-17T00:00:00"/>
    <s v="Fort Collins"/>
    <s v="737 Parliament"/>
    <x v="1"/>
    <s v="Culex tarsalis"/>
    <n v="14"/>
    <s v="CDC Light Trap"/>
    <s v="FC-054"/>
    <n v="14"/>
    <n v="0"/>
  </r>
  <r>
    <x v="0"/>
    <d v="2019-07-17T00:00:00"/>
    <s v="Fort Collins"/>
    <s v="Registry Ridge"/>
    <x v="0"/>
    <s v="Culex tarsalis"/>
    <n v="5"/>
    <s v="CDC Light Trap"/>
    <s v="FC-057"/>
    <n v="5"/>
    <n v="0"/>
  </r>
  <r>
    <x v="0"/>
    <d v="2019-07-15T00:00:00"/>
    <s v="Fort Collins"/>
    <s v="Springwood and Lochwood"/>
    <x v="1"/>
    <s v="Culex tarsalis"/>
    <n v="31"/>
    <s v="CDC Light Trap"/>
    <s v="FC-059"/>
    <n v="31"/>
    <n v="0"/>
  </r>
  <r>
    <x v="0"/>
    <d v="2019-07-16T00:00:00"/>
    <s v="Fort Collins"/>
    <s v="808 Ponderosa"/>
    <x v="3"/>
    <s v="Culex tarsalis"/>
    <n v="6"/>
    <s v="CDC Light Trap"/>
    <s v="FC-060"/>
    <n v="6"/>
    <n v="0"/>
  </r>
  <r>
    <x v="0"/>
    <d v="2019-07-16T00:00:00"/>
    <s v="Fort Collins"/>
    <s v="Holley Plant Research Center"/>
    <x v="3"/>
    <s v="Culex tarsalis"/>
    <n v="13"/>
    <s v="CDC Light Trap"/>
    <s v="FC-061"/>
    <n v="13"/>
    <n v="0"/>
  </r>
  <r>
    <x v="0"/>
    <d v="2019-07-17T00:00:00"/>
    <s v="Fort Collins"/>
    <s v="Water's Edge at Blue Mesa"/>
    <x v="0"/>
    <s v="Culex tarsalis"/>
    <n v="6"/>
    <s v="CDC Light Trap"/>
    <s v="FC-062"/>
    <n v="6"/>
    <n v="0"/>
  </r>
  <r>
    <x v="0"/>
    <d v="2019-07-15T00:00:00"/>
    <s v="Fort Collins"/>
    <s v="West Chase"/>
    <x v="1"/>
    <s v="Culex tarsalis"/>
    <n v="90"/>
    <s v="CDC Light Trap"/>
    <s v="FC-064"/>
    <n v="90"/>
    <n v="0"/>
  </r>
  <r>
    <x v="0"/>
    <d v="2019-07-14T00:00:00"/>
    <s v="Fort Collins"/>
    <s v="Prospect Ponds"/>
    <x v="2"/>
    <s v="Culex tarsalis"/>
    <n v="29"/>
    <s v="CDC Light Trap"/>
    <s v="FC-066"/>
    <n v="29"/>
    <n v="0"/>
  </r>
  <r>
    <x v="0"/>
    <d v="2019-07-14T00:00:00"/>
    <s v="Fort Collins"/>
    <s v="Prospect Ponds"/>
    <x v="2"/>
    <s v="Culex pipiens"/>
    <n v="8"/>
    <s v="CDC Light Trap"/>
    <s v="FC-066"/>
    <n v="0"/>
    <n v="8"/>
  </r>
  <r>
    <x v="0"/>
    <d v="2019-07-14T00:00:00"/>
    <s v="Fort Collins"/>
    <s v="Poudre River Trail"/>
    <x v="2"/>
    <s v="Culex tarsalis"/>
    <n v="121"/>
    <s v="CDC Light Trap"/>
    <s v="FC-067"/>
    <n v="121"/>
    <n v="0"/>
  </r>
  <r>
    <x v="0"/>
    <d v="2019-07-14T00:00:00"/>
    <s v="Fort Collins"/>
    <s v="Poudre River Trail"/>
    <x v="2"/>
    <s v="Culex pipiens"/>
    <n v="5"/>
    <s v="CDC Light Trap"/>
    <s v="FC-067"/>
    <n v="0"/>
    <n v="5"/>
  </r>
  <r>
    <x v="0"/>
    <d v="2019-07-17T00:00:00"/>
    <s v="Fort Collins"/>
    <s v="5029 Crest Dr"/>
    <x v="0"/>
    <s v="Culex tarsalis"/>
    <n v="6"/>
    <s v="CDC Light Trap"/>
    <s v="FC-068"/>
    <n v="6"/>
    <n v="0"/>
  </r>
  <r>
    <x v="0"/>
    <d v="2019-07-14T00:00:00"/>
    <s v="Fort Collins"/>
    <s v="Linden Lake"/>
    <x v="2"/>
    <s v="Culex pipiens"/>
    <n v="6"/>
    <s v="CDC Light Trap"/>
    <s v="FC-069"/>
    <n v="0"/>
    <n v="6"/>
  </r>
  <r>
    <x v="0"/>
    <d v="2019-07-14T00:00:00"/>
    <s v="Fort Collins"/>
    <s v="Linden Lake"/>
    <x v="2"/>
    <s v="Culex tarsalis"/>
    <n v="42"/>
    <s v="CDC Light Trap"/>
    <s v="FC-069"/>
    <n v="42"/>
    <n v="0"/>
  </r>
  <r>
    <x v="0"/>
    <d v="2019-07-17T00:00:00"/>
    <s v="Fort Collins"/>
    <s v="Silvergate Rd"/>
    <x v="0"/>
    <s v="Culex tarsalis"/>
    <n v="9"/>
    <s v="CDC Light Trap"/>
    <s v="FC-071"/>
    <n v="9"/>
    <n v="0"/>
  </r>
  <r>
    <x v="0"/>
    <d v="2019-07-14T00:00:00"/>
    <s v="Fort Collins"/>
    <s v="422 Lake Dr"/>
    <x v="2"/>
    <s v="Culex tarsalis"/>
    <n v="17"/>
    <s v="CDC Light Trap"/>
    <s v="FC-072"/>
    <n v="17"/>
    <n v="0"/>
  </r>
  <r>
    <x v="0"/>
    <d v="2019-07-16T00:00:00"/>
    <s v="Fort Collins"/>
    <s v="118 N Grant"/>
    <x v="3"/>
    <s v="Culex pipiens"/>
    <n v="3"/>
    <s v="CDC Light Trap"/>
    <s v="FC-073"/>
    <n v="0"/>
    <n v="3"/>
  </r>
  <r>
    <x v="0"/>
    <d v="2019-07-16T00:00:00"/>
    <s v="Fort Collins"/>
    <s v="118 N Grant"/>
    <x v="3"/>
    <s v="Culex tarsalis"/>
    <n v="11"/>
    <s v="CDC Light Trap"/>
    <s v="FC-073"/>
    <n v="11"/>
    <n v="0"/>
  </r>
  <r>
    <x v="0"/>
    <d v="2019-07-15T00:00:00"/>
    <s v="Fort Collins"/>
    <s v="Rock Creek"/>
    <x v="1"/>
    <s v="Culex pipiens"/>
    <n v="3"/>
    <s v="CDC Light Trap"/>
    <s v="FC-074"/>
    <n v="0"/>
    <n v="3"/>
  </r>
  <r>
    <x v="0"/>
    <d v="2019-07-15T00:00:00"/>
    <s v="Fort Collins"/>
    <s v="Rock Creek"/>
    <x v="1"/>
    <s v="Culex tarsalis"/>
    <n v="47"/>
    <s v="CDC Light Trap"/>
    <s v="FC-074"/>
    <n v="47"/>
    <n v="0"/>
  </r>
  <r>
    <x v="0"/>
    <d v="2019-07-15T00:00:00"/>
    <s v="Fort Collins"/>
    <s v="Sage Creek North"/>
    <x v="1"/>
    <s v="Culex tarsalis"/>
    <n v="14"/>
    <s v="CDC Light Trap"/>
    <s v="FC-075"/>
    <n v="14"/>
    <n v="0"/>
  </r>
  <r>
    <x v="0"/>
    <d v="2019-07-17T00:00:00"/>
    <s v="Fort Collins"/>
    <s v="Lopez Elementary"/>
    <x v="0"/>
    <s v="Culex tarsalis"/>
    <n v="30"/>
    <s v="CDC Light Trap"/>
    <s v="FC-093"/>
    <n v="30"/>
    <n v="0"/>
  </r>
  <r>
    <x v="0"/>
    <d v="2019-07-16T00:00:00"/>
    <s v="Berthoud"/>
    <s v="Berthoud Park"/>
    <x v="4"/>
    <s v="Culex pipiens"/>
    <n v="7"/>
    <s v="CDC Light Trap"/>
    <s v="LC-001 "/>
    <n v="0"/>
    <n v="7"/>
  </r>
  <r>
    <x v="0"/>
    <d v="2019-07-16T00:00:00"/>
    <s v="Berthoud"/>
    <s v="Berthoud Park"/>
    <x v="4"/>
    <s v="Culex tarsalis"/>
    <n v="63"/>
    <s v="CDC Light Trap"/>
    <s v="LC-001 "/>
    <n v="63"/>
    <n v="0"/>
  </r>
  <r>
    <x v="0"/>
    <d v="2019-07-14T00:00:00"/>
    <s v="Timnath"/>
    <s v="Timnath - 5th and Kern"/>
    <x v="5"/>
    <s v="Culex tarsalis"/>
    <n v="604"/>
    <s v="CDC Light Trap"/>
    <s v="LC-010 "/>
    <n v="604"/>
    <n v="0"/>
  </r>
  <r>
    <x v="0"/>
    <d v="2019-07-14T00:00:00"/>
    <s v="Timnath"/>
    <s v="Timnath - Golf Course"/>
    <x v="5"/>
    <s v="Culex tarsalis"/>
    <n v="252"/>
    <s v="CDC Light Trap"/>
    <s v="LC-022 "/>
    <n v="252"/>
    <n v="0"/>
  </r>
  <r>
    <x v="0"/>
    <d v="2019-07-14T00:00:00"/>
    <s v="Timnath"/>
    <s v="Timnath - Golf Course"/>
    <x v="5"/>
    <s v="Culex pipiens"/>
    <n v="4"/>
    <s v="CDC Light Trap"/>
    <s v="LC-022 "/>
    <n v="0"/>
    <n v="4"/>
  </r>
  <r>
    <x v="0"/>
    <d v="2019-07-14T00:00:00"/>
    <s v="Timnath"/>
    <s v="Timnath - Summerfields"/>
    <x v="5"/>
    <s v="Culex tarsalis"/>
    <n v="110"/>
    <s v="CDC Light Trap"/>
    <s v="LC-048 "/>
    <n v="110"/>
    <n v="0"/>
  </r>
  <r>
    <x v="0"/>
    <d v="2019-07-16T00:00:00"/>
    <s v="Berthoud"/>
    <s v="Berthoud North"/>
    <x v="4"/>
    <s v="Culex tarsalis"/>
    <n v="24"/>
    <s v="CDC Light Trap"/>
    <s v="LC-049 "/>
    <n v="24"/>
    <n v="0"/>
  </r>
  <r>
    <x v="0"/>
    <d v="2019-07-14T00:00:00"/>
    <s v="Timnath"/>
    <s v="Timnath - Wildwing"/>
    <x v="5"/>
    <s v="Culex tarsalis"/>
    <n v="348"/>
    <s v="CDC Light Trap"/>
    <s v="LC-050 "/>
    <n v="348"/>
    <n v="0"/>
  </r>
  <r>
    <x v="0"/>
    <d v="2019-07-14T00:00:00"/>
    <s v="Timnath"/>
    <s v="Timnath - Wildwing"/>
    <x v="5"/>
    <s v="Culex pipiens"/>
    <n v="32"/>
    <s v="CDC Light Trap"/>
    <s v="LC-050 "/>
    <n v="0"/>
    <n v="32"/>
  </r>
  <r>
    <x v="0"/>
    <d v="2019-07-14T00:00:00"/>
    <s v="Timnath"/>
    <s v="Timnath - Serratoga Falls"/>
    <x v="5"/>
    <s v="Culex tarsalis"/>
    <n v="460"/>
    <s v="CDC Light Trap"/>
    <s v="LC-051 "/>
    <n v="460"/>
    <n v="0"/>
  </r>
  <r>
    <x v="0"/>
    <d v="2019-07-14T00:00:00"/>
    <s v="Timnath"/>
    <s v="Timnath - Walmart"/>
    <x v="5"/>
    <s v="Culex pipiens"/>
    <n v="8"/>
    <s v="CDC Light Trap"/>
    <s v="LC-052 "/>
    <n v="0"/>
    <n v="8"/>
  </r>
  <r>
    <x v="0"/>
    <d v="2019-07-14T00:00:00"/>
    <s v="Timnath"/>
    <s v="Timnath - Walmart"/>
    <x v="5"/>
    <s v="Culex tarsalis"/>
    <n v="360"/>
    <s v="CDC Light Trap"/>
    <s v="LC-052 "/>
    <n v="360"/>
    <n v="0"/>
  </r>
  <r>
    <x v="0"/>
    <d v="2019-07-16T00:00:00"/>
    <s v="Berthoud"/>
    <s v="Berthoud West"/>
    <x v="4"/>
    <s v="Culex tarsalis"/>
    <n v="103"/>
    <s v="CDC Light Trap"/>
    <s v="LC-053 "/>
    <n v="103"/>
    <n v="0"/>
  </r>
  <r>
    <x v="0"/>
    <d v="2019-07-16T00:00:00"/>
    <s v="Berthoud"/>
    <s v="Berthoud Point"/>
    <x v="4"/>
    <s v="Culex tarsalis"/>
    <n v="100"/>
    <s v="CDC Light Trap"/>
    <s v="LC-054 "/>
    <n v="100"/>
    <n v="0"/>
  </r>
  <r>
    <x v="0"/>
    <d v="2019-07-16T00:00:00"/>
    <s v="Berthoud"/>
    <s v="Berthoud East"/>
    <x v="4"/>
    <s v="Culex tarsalis"/>
    <n v="12"/>
    <s v="CDC Light Trap"/>
    <s v="LC-055"/>
    <n v="12"/>
    <n v="0"/>
  </r>
  <r>
    <x v="0"/>
    <d v="2019-07-14T00:00:00"/>
    <s v="Loveland"/>
    <s v="29th and Madison"/>
    <x v="6"/>
    <s v="Culex tarsalis"/>
    <n v="42"/>
    <s v="CDC Light Trap"/>
    <s v="LV-004"/>
    <n v="42"/>
    <n v="0"/>
  </r>
  <r>
    <x v="0"/>
    <d v="2019-07-16T00:00:00"/>
    <s v="Loveland"/>
    <s v="Jocelyn and Eagle"/>
    <x v="6"/>
    <s v="Culex tarsalis"/>
    <n v="67"/>
    <s v="CDC Light Trap"/>
    <s v="LV-019"/>
    <n v="67"/>
    <n v="0"/>
  </r>
  <r>
    <x v="0"/>
    <d v="2019-07-16T00:00:00"/>
    <s v="Loveland"/>
    <s v="Jocelyn and Eagle"/>
    <x v="6"/>
    <s v="Culex pipiens"/>
    <n v="5"/>
    <s v="CDC Light Trap"/>
    <s v="LV-019"/>
    <n v="0"/>
    <n v="5"/>
  </r>
  <r>
    <x v="0"/>
    <d v="2019-07-16T00:00:00"/>
    <s v="Loveland"/>
    <s v="Cattail Pond"/>
    <x v="6"/>
    <s v="Culex tarsalis"/>
    <n v="121"/>
    <s v="CDC Light Trap"/>
    <s v="LV-020"/>
    <n v="121"/>
    <n v="0"/>
  </r>
  <r>
    <x v="0"/>
    <d v="2019-07-16T00:00:00"/>
    <s v="Loveland"/>
    <s v="Linda and 26th "/>
    <x v="6"/>
    <s v="Culex tarsalis"/>
    <n v="20"/>
    <s v="CDC Light Trap"/>
    <s v="LV-021"/>
    <n v="20"/>
    <n v="0"/>
  </r>
  <r>
    <x v="0"/>
    <d v="2019-07-16T00:00:00"/>
    <s v="Loveland"/>
    <s v="Linda and 26th "/>
    <x v="6"/>
    <s v="Culex pipiens"/>
    <n v="2"/>
    <s v="CDC Light Trap"/>
    <s v="LV-021"/>
    <n v="0"/>
    <n v="2"/>
  </r>
  <r>
    <x v="0"/>
    <d v="2019-07-16T00:00:00"/>
    <s v="Loveland"/>
    <s v="2001 S Douglas"/>
    <x v="6"/>
    <s v="Culex pipiens"/>
    <n v="4"/>
    <s v="CDC Light Trap"/>
    <s v="LV-042"/>
    <n v="0"/>
    <n v="4"/>
  </r>
  <r>
    <x v="0"/>
    <d v="2019-07-16T00:00:00"/>
    <s v="Loveland"/>
    <s v="2001 S Douglas"/>
    <x v="6"/>
    <s v="Culex tarsalis"/>
    <n v="7"/>
    <s v="CDC Light Trap"/>
    <s v="LV-042"/>
    <n v="7"/>
    <n v="0"/>
  </r>
  <r>
    <x v="0"/>
    <d v="2019-07-14T00:00:00"/>
    <s v="Loveland"/>
    <s v="Outlet Mall Apartments"/>
    <x v="6"/>
    <s v="Culex pipiens"/>
    <n v="2"/>
    <s v="CDC Light Trap"/>
    <s v="LV-066"/>
    <n v="0"/>
    <n v="2"/>
  </r>
  <r>
    <x v="0"/>
    <d v="2019-07-14T00:00:00"/>
    <s v="Loveland"/>
    <s v="Outlet Mall Apartments"/>
    <x v="6"/>
    <s v="Culex tarsalis"/>
    <n v="14"/>
    <s v="CDC Light Trap"/>
    <s v="LV-066"/>
    <n v="14"/>
    <n v="0"/>
  </r>
  <r>
    <x v="0"/>
    <d v="2019-07-14T00:00:00"/>
    <s v="Loveland"/>
    <s v="Horseshoe Pennninsula"/>
    <x v="6"/>
    <s v="Culex pipiens"/>
    <n v="3"/>
    <s v="CDC Light Trap"/>
    <s v="LV-069"/>
    <n v="0"/>
    <n v="3"/>
  </r>
  <r>
    <x v="0"/>
    <d v="2019-07-14T00:00:00"/>
    <s v="Loveland"/>
    <s v="Horseshoe Pennninsula"/>
    <x v="6"/>
    <s v="Culex tarsalis"/>
    <n v="59"/>
    <s v="CDC Light Trap"/>
    <s v="LV-069"/>
    <n v="59"/>
    <n v="0"/>
  </r>
  <r>
    <x v="0"/>
    <d v="2019-07-15T00:00:00"/>
    <s v="Loveland"/>
    <s v="Jefferson and 11th"/>
    <x v="6"/>
    <s v="Culex tarsalis"/>
    <n v="34"/>
    <s v="CDC Light Trap"/>
    <s v="LV-074"/>
    <n v="34"/>
    <n v="0"/>
  </r>
  <r>
    <x v="0"/>
    <d v="2019-07-15T00:00:00"/>
    <s v="Loveland"/>
    <s v="Jefferson and 11th"/>
    <x v="6"/>
    <s v="Culex pipiens"/>
    <n v="7"/>
    <s v="CDC Light Trap"/>
    <s v="LV-074"/>
    <n v="0"/>
    <n v="7"/>
  </r>
  <r>
    <x v="0"/>
    <d v="2019-07-14T00:00:00"/>
    <s v="Loveland"/>
    <s v="7 Lakes Park"/>
    <x v="6"/>
    <s v="Culex pipiens"/>
    <n v="8"/>
    <s v="CDC Light Trap"/>
    <s v="LV-078"/>
    <n v="0"/>
    <n v="8"/>
  </r>
  <r>
    <x v="0"/>
    <d v="2019-07-14T00:00:00"/>
    <s v="Loveland"/>
    <s v="7 Lakes Park"/>
    <x v="6"/>
    <s v="Culex tarsalis"/>
    <n v="52"/>
    <s v="CDC Light Trap"/>
    <s v="LV-078"/>
    <n v="52"/>
    <n v="0"/>
  </r>
  <r>
    <x v="0"/>
    <d v="2019-07-16T00:00:00"/>
    <s v="Loveland"/>
    <s v="Derby Hill"/>
    <x v="6"/>
    <s v="Culex tarsalis"/>
    <n v="54"/>
    <s v="CDC Light Trap"/>
    <s v="LV-087"/>
    <n v="54"/>
    <n v="0"/>
  </r>
  <r>
    <x v="0"/>
    <d v="2019-07-14T00:00:00"/>
    <s v="Loveland"/>
    <s v="2229 Arikaree"/>
    <x v="6"/>
    <s v="Culex tarsalis"/>
    <n v="40"/>
    <s v="CDC Light Trap"/>
    <s v="LV-088"/>
    <n v="40"/>
    <n v="0"/>
  </r>
  <r>
    <x v="0"/>
    <d v="2019-07-14T00:00:00"/>
    <s v="Loveland"/>
    <s v="2229 Arikaree"/>
    <x v="6"/>
    <s v="Culex pipiens"/>
    <n v="2"/>
    <s v="CDC Light Trap"/>
    <s v="LV-088"/>
    <n v="0"/>
    <n v="2"/>
  </r>
  <r>
    <x v="0"/>
    <d v="2019-07-14T00:00:00"/>
    <s v="Loveland"/>
    <s v="Pond at Silver Lake"/>
    <x v="6"/>
    <s v="Culex pipiens"/>
    <n v="4"/>
    <s v="CDC Light Trap"/>
    <s v="LV-093"/>
    <n v="0"/>
    <n v="4"/>
  </r>
  <r>
    <x v="0"/>
    <d v="2019-07-14T00:00:00"/>
    <s v="Loveland"/>
    <s v="Pond at Silver Lake"/>
    <x v="6"/>
    <s v="Culex tarsalis"/>
    <n v="12"/>
    <s v="CDC Light Trap"/>
    <s v="LV-093"/>
    <n v="12"/>
    <n v="0"/>
  </r>
  <r>
    <x v="0"/>
    <d v="2019-07-14T00:00:00"/>
    <s v="Loveland"/>
    <s v="Boyd Lake"/>
    <x v="6"/>
    <s v="Culex tarsalis"/>
    <n v="85"/>
    <s v="CDC Light Trap"/>
    <s v="LV-095"/>
    <n v="85"/>
    <n v="0"/>
  </r>
  <r>
    <x v="0"/>
    <d v="2019-07-17T00:00:00"/>
    <s v="Loveland"/>
    <s v="Benson Sculpture Park"/>
    <x v="6"/>
    <s v="Culex pipiens"/>
    <n v="22"/>
    <s v="CDC Light Trap"/>
    <s v="LV-098"/>
    <n v="0"/>
    <n v="22"/>
  </r>
  <r>
    <x v="0"/>
    <d v="2019-07-17T00:00:00"/>
    <s v="Loveland"/>
    <s v="Benson Sculpture Park"/>
    <x v="6"/>
    <s v="Culex tarsalis"/>
    <n v="26"/>
    <s v="CDC Light Trap"/>
    <s v="LV-098"/>
    <n v="26"/>
    <n v="0"/>
  </r>
  <r>
    <x v="0"/>
    <d v="2019-07-17T00:00:00"/>
    <s v="Loveland"/>
    <s v="Cattails Golfcourse"/>
    <x v="6"/>
    <s v="Culex pipiens"/>
    <n v="1"/>
    <s v="CDC Light Trap"/>
    <s v="LV-099"/>
    <n v="0"/>
    <n v="1"/>
  </r>
  <r>
    <x v="0"/>
    <d v="2019-07-17T00:00:00"/>
    <s v="Loveland"/>
    <s v="Cattails Golfcourse"/>
    <x v="6"/>
    <s v="Culex tarsalis"/>
    <n v="3"/>
    <s v="CDC Light Trap"/>
    <s v="LV-099"/>
    <n v="3"/>
    <n v="0"/>
  </r>
  <r>
    <x v="0"/>
    <d v="2019-07-15T00:00:00"/>
    <s v="Loveland"/>
    <s v="Blue Tree Realty"/>
    <x v="6"/>
    <s v="Culex tarsalis"/>
    <n v="9"/>
    <s v="CDC Light Trap"/>
    <s v="LV-100"/>
    <n v="9"/>
    <n v="0"/>
  </r>
  <r>
    <x v="0"/>
    <d v="2019-07-15T00:00:00"/>
    <s v="Loveland"/>
    <s v="Blue Tree Realty"/>
    <x v="6"/>
    <s v="Culex pipiens"/>
    <n v="3"/>
    <s v="CDC Light Trap"/>
    <s v="LV-100"/>
    <n v="0"/>
    <n v="3"/>
  </r>
  <r>
    <x v="0"/>
    <d v="2019-07-17T00:00:00"/>
    <s v="Loveland"/>
    <s v="Glen Isle Ditch"/>
    <x v="6"/>
    <s v="Culex pipiens"/>
    <n v="9"/>
    <s v="CDC Light Trap"/>
    <s v="LV-102"/>
    <n v="0"/>
    <n v="9"/>
  </r>
  <r>
    <x v="0"/>
    <d v="2019-07-17T00:00:00"/>
    <s v="Loveland"/>
    <s v="Glen Isle Ditch"/>
    <x v="6"/>
    <s v="Culex tarsalis"/>
    <n v="11"/>
    <s v="CDC Light Trap"/>
    <s v="LV-102"/>
    <n v="11"/>
    <n v="0"/>
  </r>
  <r>
    <x v="0"/>
    <d v="2019-07-15T00:00:00"/>
    <s v="Loveland"/>
    <s v="Cr 20 and 9"/>
    <x v="6"/>
    <s v="Culex tarsalis"/>
    <n v="43"/>
    <s v="CDC Light Trap"/>
    <s v="LV-104"/>
    <n v="43"/>
    <n v="0"/>
  </r>
  <r>
    <x v="0"/>
    <d v="2019-07-17T00:00:00"/>
    <s v="Loveland"/>
    <s v="West 43rd Railroad"/>
    <x v="6"/>
    <s v="Culex tarsalis"/>
    <n v="11"/>
    <s v="CDC Light Trap"/>
    <s v="LV-105"/>
    <n v="11"/>
    <n v="0"/>
  </r>
  <r>
    <x v="0"/>
    <d v="2019-07-15T00:00:00"/>
    <s v="Loveland"/>
    <s v="Big Thompson "/>
    <x v="6"/>
    <s v="Culex tarsalis"/>
    <n v="8"/>
    <s v="CDC Light Trap"/>
    <s v="LV-110"/>
    <n v="8"/>
    <n v="0"/>
  </r>
  <r>
    <x v="0"/>
    <d v="2019-07-15T00:00:00"/>
    <s v="Loveland"/>
    <s v="915 S Boise"/>
    <x v="6"/>
    <s v="Culex tarsalis"/>
    <n v="9"/>
    <s v="CDC Light Trap"/>
    <s v="LV-112"/>
    <n v="9"/>
    <n v="0"/>
  </r>
  <r>
    <x v="0"/>
    <d v="2019-07-15T00:00:00"/>
    <s v="Loveland"/>
    <s v="915 S Boise"/>
    <x v="6"/>
    <s v="Culex pipiens"/>
    <n v="1"/>
    <s v="CDC Light Trap"/>
    <s v="LV-112"/>
    <n v="0"/>
    <n v="1"/>
  </r>
  <r>
    <x v="0"/>
    <d v="2019-07-15T00:00:00"/>
    <s v="Loveland"/>
    <s v="Springs at Marianna"/>
    <x v="6"/>
    <s v="Culex tarsalis"/>
    <n v="8"/>
    <s v="CDC Light Trap"/>
    <s v="LV-113"/>
    <n v="8"/>
    <n v="0"/>
  </r>
  <r>
    <x v="0"/>
    <d v="2019-07-15T00:00:00"/>
    <s v="Loveland"/>
    <s v="Springs at Marianna"/>
    <x v="6"/>
    <s v="Culex pipiens"/>
    <n v="3"/>
    <s v="CDC Light Trap"/>
    <s v="LV-113"/>
    <n v="0"/>
    <n v="3"/>
  </r>
  <r>
    <x v="0"/>
    <d v="2019-07-14T00:00:00"/>
    <s v="Loveland"/>
    <s v="Sundisk and 13E"/>
    <x v="6"/>
    <s v="Culex pipiens"/>
    <n v="6"/>
    <s v="CDC Light Trap"/>
    <s v="LV-116"/>
    <n v="0"/>
    <n v="6"/>
  </r>
  <r>
    <x v="0"/>
    <d v="2019-07-14T00:00:00"/>
    <s v="Loveland"/>
    <s v="Sundisk and 13E"/>
    <x v="6"/>
    <s v="Culex tarsalis"/>
    <n v="29"/>
    <s v="CDC Light Trap"/>
    <s v="LV-116"/>
    <n v="29"/>
    <n v="0"/>
  </r>
  <r>
    <x v="0"/>
    <d v="2019-07-14T00:00:00"/>
    <s v="Loveland"/>
    <s v="Centerra"/>
    <x v="6"/>
    <s v="Culex tarsalis"/>
    <n v="25"/>
    <s v="CDC Light Trap"/>
    <s v="LV-117"/>
    <n v="25"/>
    <n v="0"/>
  </r>
  <r>
    <x v="0"/>
    <d v="2019-07-14T00:00:00"/>
    <s v="Loveland"/>
    <s v="Centerra"/>
    <x v="6"/>
    <s v="Culex pipiens"/>
    <n v="20"/>
    <s v="CDC Light Trap"/>
    <s v="LV-117"/>
    <n v="0"/>
    <n v="20"/>
  </r>
  <r>
    <x v="0"/>
    <d v="2019-07-15T00:00:00"/>
    <s v="Loveland"/>
    <s v="Golf Vista"/>
    <x v="6"/>
    <s v="Culex tarsalis"/>
    <n v="23"/>
    <s v="CDC Light Trap"/>
    <s v="LV-118"/>
    <n v="23"/>
    <n v="0"/>
  </r>
  <r>
    <x v="0"/>
    <d v="2019-07-15T00:00:00"/>
    <s v="Loveland"/>
    <s v="Golf Vista"/>
    <x v="6"/>
    <s v="Culex pipiens"/>
    <n v="3"/>
    <s v="CDC Light Trap"/>
    <s v="LV-118"/>
    <n v="0"/>
    <n v="3"/>
  </r>
  <r>
    <x v="0"/>
    <d v="2019-07-17T00:00:00"/>
    <s v="Loveland"/>
    <s v="Bayfield and Windsor"/>
    <x v="6"/>
    <s v="Culex tarsalis"/>
    <n v="9"/>
    <s v="CDC Light Trap"/>
    <s v="LV-121"/>
    <n v="9"/>
    <n v="0"/>
  </r>
  <r>
    <x v="0"/>
    <d v="2019-07-15T00:00:00"/>
    <s v="Loveland"/>
    <s v="Storage Yard and 2nd"/>
    <x v="6"/>
    <s v="Culex tarsalis"/>
    <n v="33"/>
    <s v="CDC Light Trap"/>
    <s v="LV-124"/>
    <n v="33"/>
    <n v="0"/>
  </r>
  <r>
    <x v="0"/>
    <d v="2019-07-15T00:00:00"/>
    <s v="Loveland"/>
    <s v="8th And No Name"/>
    <x v="6"/>
    <s v="Culex tarsalis"/>
    <n v="53"/>
    <s v="CDC Light Trap"/>
    <s v="LV-125"/>
    <n v="53"/>
    <n v="0"/>
  </r>
  <r>
    <x v="0"/>
    <d v="2019-07-15T00:00:00"/>
    <s v="Loveland"/>
    <s v="8th And No Name"/>
    <x v="6"/>
    <s v="Culex pipiens"/>
    <n v="27"/>
    <s v="CDC Light Trap"/>
    <s v="LV-125"/>
    <n v="0"/>
    <n v="27"/>
  </r>
</pivotCacheRecords>
</file>

<file path=xl/pivotCache/pivotCacheRecords2.xml><?xml version="1.0" encoding="utf-8"?>
<pivotCacheRecords xmlns="http://schemas.openxmlformats.org/spreadsheetml/2006/main" xmlns:r="http://schemas.openxmlformats.org/officeDocument/2006/relationships" count="98">
  <r>
    <n v="2019"/>
    <s v="CSU-13127"/>
    <n v="22733"/>
    <x v="0"/>
    <x v="0"/>
    <s v="LC"/>
    <s v="FC"/>
    <s v="FC-034"/>
    <x v="0"/>
    <s v="L"/>
    <s v="Cx."/>
    <x v="0"/>
    <s v="F"/>
    <m/>
    <n v="50"/>
    <n v="50"/>
    <n v="0"/>
    <s v="Negative"/>
  </r>
  <r>
    <n v="2019"/>
    <s v="CSU-13128"/>
    <n v="22734"/>
    <x v="0"/>
    <x v="0"/>
    <s v="LC"/>
    <s v="FC"/>
    <s v="FC-034"/>
    <x v="0"/>
    <s v="L"/>
    <s v="Cx."/>
    <x v="0"/>
    <s v="F"/>
    <m/>
    <n v="50"/>
    <n v="50"/>
    <n v="0"/>
    <s v="Negative"/>
  </r>
  <r>
    <n v="2019"/>
    <s v="CSU-13129"/>
    <n v="22735"/>
    <x v="0"/>
    <x v="0"/>
    <s v="LC"/>
    <s v="FC"/>
    <s v="FC-034"/>
    <x v="0"/>
    <s v="L"/>
    <s v="Cx."/>
    <x v="0"/>
    <s v="F"/>
    <m/>
    <n v="50"/>
    <n v="50"/>
    <n v="0"/>
    <s v="Negative"/>
  </r>
  <r>
    <n v="2019"/>
    <s v="CSU-13130"/>
    <n v="22736"/>
    <x v="0"/>
    <x v="0"/>
    <s v="LC"/>
    <s v="FC"/>
    <s v="FC-034"/>
    <x v="0"/>
    <s v="L"/>
    <s v="Cx."/>
    <x v="0"/>
    <s v="F"/>
    <m/>
    <n v="45"/>
    <n v="45"/>
    <n v="0"/>
    <s v="Negative"/>
  </r>
  <r>
    <n v="2019"/>
    <s v="CSU-13131"/>
    <n v="22737"/>
    <x v="0"/>
    <x v="0"/>
    <s v="LC"/>
    <s v="LV"/>
    <s v="LV-069"/>
    <x v="1"/>
    <s v="L"/>
    <s v="Cx."/>
    <x v="0"/>
    <s v="F"/>
    <m/>
    <n v="50"/>
    <n v="50"/>
    <n v="0"/>
    <s v="Negative"/>
  </r>
  <r>
    <n v="2019"/>
    <s v="CSU-13132"/>
    <n v="22738"/>
    <x v="0"/>
    <x v="0"/>
    <s v="LC"/>
    <s v="LV"/>
    <s v="LV-069"/>
    <x v="1"/>
    <s v="L"/>
    <s v="Cx."/>
    <x v="0"/>
    <s v="F"/>
    <m/>
    <n v="9"/>
    <n v="9"/>
    <n v="0"/>
    <s v="Negative"/>
  </r>
  <r>
    <n v="2019"/>
    <s v="CSU-13133"/>
    <n v="22739"/>
    <x v="0"/>
    <x v="0"/>
    <s v="LC"/>
    <s v="LV"/>
    <s v="LV-069"/>
    <x v="1"/>
    <s v="L"/>
    <s v="Cx."/>
    <x v="1"/>
    <s v="F"/>
    <m/>
    <n v="3"/>
    <n v="3"/>
    <n v="0"/>
    <s v="Negative"/>
  </r>
  <r>
    <n v="2019"/>
    <s v="CSU-13134"/>
    <n v="22740"/>
    <x v="0"/>
    <x v="0"/>
    <s v="LC"/>
    <s v="LV"/>
    <s v="LV-095"/>
    <x v="1"/>
    <s v="L"/>
    <s v="Cx."/>
    <x v="0"/>
    <s v="F"/>
    <m/>
    <n v="50"/>
    <n v="50"/>
    <n v="0"/>
    <s v="Negative"/>
  </r>
  <r>
    <n v="2019"/>
    <s v="CSU-13135"/>
    <n v="22741"/>
    <x v="0"/>
    <x v="0"/>
    <s v="LC"/>
    <s v="LV"/>
    <s v="LV-095"/>
    <x v="1"/>
    <s v="L"/>
    <s v="Cx."/>
    <x v="0"/>
    <s v="F"/>
    <m/>
    <n v="35"/>
    <n v="35"/>
    <n v="0"/>
    <s v="Negative"/>
  </r>
  <r>
    <n v="2019"/>
    <s v="CSU-13136"/>
    <n v="22742"/>
    <x v="0"/>
    <x v="0"/>
    <s v="LC"/>
    <s v="FC"/>
    <s v="FC-069"/>
    <x v="0"/>
    <s v="L"/>
    <s v="Cx."/>
    <x v="0"/>
    <s v="F"/>
    <m/>
    <n v="42"/>
    <n v="42"/>
    <n v="0"/>
    <s v="Negative"/>
  </r>
  <r>
    <n v="2019"/>
    <s v="CSU-13137"/>
    <n v="22743"/>
    <x v="0"/>
    <x v="0"/>
    <s v="LC"/>
    <s v="FC"/>
    <s v="FC-069"/>
    <x v="0"/>
    <s v="L"/>
    <s v="Cx."/>
    <x v="1"/>
    <s v="F"/>
    <m/>
    <n v="6"/>
    <n v="6"/>
    <n v="0"/>
    <s v="Negative"/>
  </r>
  <r>
    <n v="2019"/>
    <s v="CSU-13138"/>
    <n v="22744"/>
    <x v="0"/>
    <x v="0"/>
    <s v="LC"/>
    <s v="FC"/>
    <s v="FC-038"/>
    <x v="0"/>
    <s v="L"/>
    <s v="Cx."/>
    <x v="0"/>
    <s v="F"/>
    <m/>
    <n v="50"/>
    <n v="50"/>
    <n v="0"/>
    <s v="Negative"/>
  </r>
  <r>
    <n v="2019"/>
    <s v="CSU-13139"/>
    <n v="22745"/>
    <x v="0"/>
    <x v="0"/>
    <s v="LC"/>
    <s v="FC"/>
    <s v="FC-040gr"/>
    <x v="0"/>
    <s v="G"/>
    <s v="Cx."/>
    <x v="1"/>
    <s v="F"/>
    <n v="4"/>
    <m/>
    <n v="4"/>
    <n v="0"/>
    <s v="Negative"/>
  </r>
  <r>
    <n v="2019"/>
    <s v="CSU-13140"/>
    <n v="22746"/>
    <x v="0"/>
    <x v="0"/>
    <s v="LC"/>
    <s v="FC"/>
    <s v="FC-040"/>
    <x v="0"/>
    <s v="L"/>
    <s v="Cx."/>
    <x v="0"/>
    <s v="F"/>
    <m/>
    <n v="22"/>
    <n v="22"/>
    <n v="0"/>
    <s v="Negative"/>
  </r>
  <r>
    <n v="2019"/>
    <s v="CSU-13141"/>
    <n v="22747"/>
    <x v="0"/>
    <x v="0"/>
    <s v="LC"/>
    <s v="FC"/>
    <s v="FC-006"/>
    <x v="0"/>
    <s v="L"/>
    <s v="Cx."/>
    <x v="0"/>
    <s v="F"/>
    <m/>
    <n v="31"/>
    <n v="31"/>
    <n v="0"/>
    <s v="Negative"/>
  </r>
  <r>
    <n v="2019"/>
    <s v="CSU-13142"/>
    <n v="22748"/>
    <x v="0"/>
    <x v="0"/>
    <s v="LC"/>
    <s v="FC"/>
    <s v="FC-006"/>
    <x v="0"/>
    <s v="L"/>
    <s v="Cx."/>
    <x v="1"/>
    <s v="F"/>
    <m/>
    <n v="21"/>
    <n v="21"/>
    <n v="0"/>
    <s v="Negative"/>
  </r>
  <r>
    <n v="2019"/>
    <s v="CSU-13143"/>
    <n v="22749"/>
    <x v="0"/>
    <x v="0"/>
    <s v="LC"/>
    <s v="FC"/>
    <s v="FC-092gr"/>
    <x v="0"/>
    <s v="G"/>
    <s v="Cx."/>
    <x v="1"/>
    <s v="F"/>
    <n v="2"/>
    <m/>
    <n v="2"/>
    <n v="0"/>
    <s v="Negative"/>
  </r>
  <r>
    <n v="2019"/>
    <s v="CSU-13144"/>
    <n v="22750"/>
    <x v="0"/>
    <x v="0"/>
    <s v="LC"/>
    <s v="FC"/>
    <s v="FC-036"/>
    <x v="2"/>
    <s v="L"/>
    <s v="Cx."/>
    <x v="0"/>
    <s v="F"/>
    <m/>
    <n v="50"/>
    <n v="50"/>
    <n v="0"/>
    <s v="Negative"/>
  </r>
  <r>
    <n v="2019"/>
    <s v="CSU-13145"/>
    <n v="22751"/>
    <x v="0"/>
    <x v="0"/>
    <s v="LC"/>
    <s v="FC"/>
    <s v="FC-036"/>
    <x v="2"/>
    <s v="L"/>
    <s v="Cx."/>
    <x v="0"/>
    <s v="F"/>
    <m/>
    <n v="17"/>
    <n v="17"/>
    <n v="0"/>
    <s v="Negative"/>
  </r>
  <r>
    <n v="2019"/>
    <s v="CSU-13146"/>
    <n v="22752"/>
    <x v="0"/>
    <x v="0"/>
    <s v="LC"/>
    <s v="FC"/>
    <s v="FC-036"/>
    <x v="2"/>
    <s v="L"/>
    <s v="Cx."/>
    <x v="1"/>
    <s v="F"/>
    <m/>
    <n v="13"/>
    <n v="13"/>
    <n v="0"/>
    <s v="Negative"/>
  </r>
  <r>
    <n v="2019"/>
    <s v="CSU-13147"/>
    <n v="22753"/>
    <x v="0"/>
    <x v="0"/>
    <s v="LC"/>
    <s v="FC"/>
    <s v="FC-066"/>
    <x v="0"/>
    <s v="L"/>
    <s v="Cx."/>
    <x v="0"/>
    <s v="F"/>
    <m/>
    <n v="29"/>
    <n v="29"/>
    <n v="0"/>
    <s v="Negative"/>
  </r>
  <r>
    <n v="2019"/>
    <s v="CSU-13148"/>
    <n v="22754"/>
    <x v="0"/>
    <x v="0"/>
    <s v="LC"/>
    <s v="FC"/>
    <s v="FC-066"/>
    <x v="0"/>
    <s v="L"/>
    <s v="Cx."/>
    <x v="1"/>
    <s v="F"/>
    <m/>
    <n v="8"/>
    <n v="8"/>
    <n v="0"/>
    <s v="Negative"/>
  </r>
  <r>
    <n v="2019"/>
    <s v="CSU-13149"/>
    <n v="22755"/>
    <x v="0"/>
    <x v="0"/>
    <s v="LC"/>
    <s v="FC"/>
    <s v="FC-019"/>
    <x v="0"/>
    <s v="L"/>
    <s v="Cx."/>
    <x v="0"/>
    <s v="F"/>
    <m/>
    <n v="44"/>
    <n v="44"/>
    <n v="0"/>
    <s v="Negative"/>
  </r>
  <r>
    <n v="2019"/>
    <s v="CSU-13150"/>
    <n v="22756"/>
    <x v="0"/>
    <x v="0"/>
    <s v="LC"/>
    <s v="FC"/>
    <s v="FC-019"/>
    <x v="0"/>
    <s v="L"/>
    <s v="Cx."/>
    <x v="1"/>
    <s v="F"/>
    <m/>
    <n v="4"/>
    <n v="4"/>
    <n v="0"/>
    <s v="Negative"/>
  </r>
  <r>
    <n v="2019"/>
    <s v="CSU-13151"/>
    <n v="22757"/>
    <x v="0"/>
    <x v="0"/>
    <s v="LC"/>
    <s v="FC"/>
    <s v="FC-072"/>
    <x v="0"/>
    <s v="L"/>
    <s v="Cx."/>
    <x v="0"/>
    <s v="F"/>
    <m/>
    <n v="17"/>
    <n v="17"/>
    <n v="0"/>
    <s v="Negative"/>
  </r>
  <r>
    <n v="2019"/>
    <s v="CSU-13152"/>
    <n v="22758"/>
    <x v="0"/>
    <x v="0"/>
    <s v="LC"/>
    <s v="FC"/>
    <s v="FC-014"/>
    <x v="0"/>
    <s v="L"/>
    <s v="Cx."/>
    <x v="0"/>
    <s v="F"/>
    <m/>
    <n v="50"/>
    <n v="50"/>
    <n v="0"/>
    <s v="Negative"/>
  </r>
  <r>
    <n v="2019"/>
    <s v="CSU-13153"/>
    <n v="22759"/>
    <x v="0"/>
    <x v="0"/>
    <s v="LC"/>
    <s v="FC"/>
    <s v="FC-014"/>
    <x v="0"/>
    <s v="L"/>
    <s v="Cx."/>
    <x v="0"/>
    <s v="F"/>
    <m/>
    <n v="50"/>
    <n v="50"/>
    <n v="0"/>
    <s v="Negative"/>
  </r>
  <r>
    <n v="2019"/>
    <s v="CSU-13154"/>
    <n v="22760"/>
    <x v="0"/>
    <x v="0"/>
    <s v="LC"/>
    <s v="FC"/>
    <s v="FC-014"/>
    <x v="0"/>
    <s v="L"/>
    <s v="Cx."/>
    <x v="0"/>
    <s v="F"/>
    <m/>
    <n v="14"/>
    <n v="14"/>
    <n v="0"/>
    <s v="Negative"/>
  </r>
  <r>
    <n v="2019"/>
    <s v="CSU-13155"/>
    <n v="22761"/>
    <x v="0"/>
    <x v="0"/>
    <s v="LC"/>
    <s v="FC"/>
    <s v="FC-067"/>
    <x v="0"/>
    <s v="L"/>
    <s v="Cx."/>
    <x v="0"/>
    <s v="F"/>
    <m/>
    <n v="50"/>
    <n v="50"/>
    <n v="0"/>
    <s v="Negative"/>
  </r>
  <r>
    <n v="2019"/>
    <s v="CSU-13156"/>
    <n v="22762"/>
    <x v="0"/>
    <x v="0"/>
    <s v="LC"/>
    <s v="FC"/>
    <s v="FC-067"/>
    <x v="0"/>
    <s v="L"/>
    <s v="Cx."/>
    <x v="0"/>
    <s v="F"/>
    <m/>
    <n v="50"/>
    <n v="50"/>
    <n v="0"/>
    <s v="Negative"/>
  </r>
  <r>
    <n v="2019"/>
    <s v="CSU-13157"/>
    <n v="22763"/>
    <x v="0"/>
    <x v="0"/>
    <s v="LC"/>
    <s v="FC"/>
    <s v="FC-067"/>
    <x v="0"/>
    <s v="L"/>
    <s v="Cx."/>
    <x v="0"/>
    <s v="F"/>
    <m/>
    <n v="21"/>
    <n v="21"/>
    <n v="0"/>
    <s v="Negative"/>
  </r>
  <r>
    <n v="2019"/>
    <s v="CSU-13158"/>
    <n v="22764"/>
    <x v="0"/>
    <x v="0"/>
    <s v="LC"/>
    <s v="FC"/>
    <s v="FC-067"/>
    <x v="0"/>
    <s v="L"/>
    <s v="Cx."/>
    <x v="1"/>
    <s v="F"/>
    <m/>
    <n v="5"/>
    <n v="5"/>
    <n v="0"/>
    <s v="Negative"/>
  </r>
  <r>
    <n v="2019"/>
    <s v="CSU-13159"/>
    <n v="22765"/>
    <x v="0"/>
    <x v="1"/>
    <s v="LC"/>
    <s v="LV"/>
    <s v="LV-104"/>
    <x v="1"/>
    <s v="L"/>
    <s v="Cx."/>
    <x v="0"/>
    <s v="F"/>
    <m/>
    <n v="43"/>
    <n v="43"/>
    <n v="0"/>
    <s v="Negative"/>
  </r>
  <r>
    <n v="2019"/>
    <s v="CSU-13160"/>
    <n v="22766"/>
    <x v="0"/>
    <x v="1"/>
    <s v="LC"/>
    <s v="FC"/>
    <s v="FC-039"/>
    <x v="3"/>
    <s v="L"/>
    <s v="Cx."/>
    <x v="0"/>
    <s v="F"/>
    <m/>
    <n v="50"/>
    <n v="50"/>
    <n v="0"/>
    <s v="Negative"/>
  </r>
  <r>
    <n v="2019"/>
    <s v="CSU-13161"/>
    <n v="22767"/>
    <x v="0"/>
    <x v="1"/>
    <s v="LC"/>
    <s v="FC"/>
    <s v="FC-039"/>
    <x v="3"/>
    <s v="L"/>
    <s v="Cx."/>
    <x v="0"/>
    <s v="F"/>
    <m/>
    <n v="50"/>
    <n v="50"/>
    <n v="0"/>
    <s v="Negative"/>
  </r>
  <r>
    <n v="2019"/>
    <s v="CSU-13162"/>
    <n v="22768"/>
    <x v="0"/>
    <x v="1"/>
    <s v="LC"/>
    <s v="FC"/>
    <s v="FC-039"/>
    <x v="3"/>
    <s v="L"/>
    <s v="Cx."/>
    <x v="0"/>
    <s v="F"/>
    <m/>
    <n v="12"/>
    <n v="12"/>
    <n v="0"/>
    <s v="Negative"/>
  </r>
  <r>
    <n v="2019"/>
    <s v="CSU-13163"/>
    <n v="22769"/>
    <x v="0"/>
    <x v="1"/>
    <s v="LC"/>
    <s v="FC"/>
    <s v="FC-039"/>
    <x v="3"/>
    <s v="L"/>
    <s v="Cx."/>
    <x v="1"/>
    <s v="F"/>
    <m/>
    <n v="3"/>
    <n v="3"/>
    <n v="0"/>
    <s v="Negative"/>
  </r>
  <r>
    <n v="2019"/>
    <s v="CSU-13164"/>
    <n v="22770"/>
    <x v="0"/>
    <x v="1"/>
    <s v="LC"/>
    <s v="LV"/>
    <s v="LV-110"/>
    <x v="1"/>
    <s v="L"/>
    <s v="Cx."/>
    <x v="0"/>
    <s v="F"/>
    <m/>
    <n v="8"/>
    <n v="8"/>
    <n v="0"/>
    <s v="Negative"/>
  </r>
  <r>
    <n v="2019"/>
    <s v="CSU-13165"/>
    <n v="22771"/>
    <x v="0"/>
    <x v="1"/>
    <s v="LC"/>
    <s v="FC"/>
    <s v="FC-064"/>
    <x v="3"/>
    <s v="L"/>
    <s v="Cx."/>
    <x v="0"/>
    <s v="F"/>
    <m/>
    <n v="50"/>
    <n v="50"/>
    <n v="0"/>
    <s v="Negative"/>
  </r>
  <r>
    <n v="2019"/>
    <s v="CSU-13166"/>
    <n v="22772"/>
    <x v="0"/>
    <x v="1"/>
    <s v="LC"/>
    <s v="FC"/>
    <s v="FC-064"/>
    <x v="3"/>
    <s v="L"/>
    <s v="Cx."/>
    <x v="0"/>
    <s v="F"/>
    <m/>
    <n v="40"/>
    <n v="40"/>
    <n v="0"/>
    <s v="Negative"/>
  </r>
  <r>
    <n v="2019"/>
    <s v="CSU-13167"/>
    <n v="22773"/>
    <x v="0"/>
    <x v="1"/>
    <s v="LC"/>
    <s v="FC"/>
    <s v="FC-053"/>
    <x v="3"/>
    <s v="L"/>
    <s v="Cx."/>
    <x v="0"/>
    <s v="F"/>
    <m/>
    <n v="50"/>
    <n v="50"/>
    <n v="0"/>
    <s v="Negative"/>
  </r>
  <r>
    <n v="2019"/>
    <s v="CSU-13168"/>
    <n v="22774"/>
    <x v="0"/>
    <x v="1"/>
    <s v="LC"/>
    <s v="FC"/>
    <s v="FC-053"/>
    <x v="3"/>
    <s v="L"/>
    <s v="Cx."/>
    <x v="0"/>
    <s v="F"/>
    <m/>
    <n v="50"/>
    <n v="50"/>
    <n v="0"/>
    <s v="Negative"/>
  </r>
  <r>
    <n v="2019"/>
    <s v="CSU-13169"/>
    <n v="22775"/>
    <x v="0"/>
    <x v="1"/>
    <s v="LC"/>
    <s v="FC"/>
    <s v="FC-053"/>
    <x v="3"/>
    <s v="L"/>
    <s v="Cx."/>
    <x v="0"/>
    <s v="F"/>
    <m/>
    <n v="50"/>
    <n v="50"/>
    <n v="0"/>
    <s v="Negative"/>
  </r>
  <r>
    <n v="2019"/>
    <s v="CSU-13170"/>
    <n v="22776"/>
    <x v="0"/>
    <x v="1"/>
    <s v="LC"/>
    <s v="FC"/>
    <s v="FC-053"/>
    <x v="3"/>
    <s v="L"/>
    <s v="Cx."/>
    <x v="0"/>
    <s v="F"/>
    <m/>
    <n v="50"/>
    <n v="50"/>
    <n v="0"/>
    <s v="Negative"/>
  </r>
  <r>
    <n v="2019"/>
    <s v="CSU-13171"/>
    <n v="22777"/>
    <x v="0"/>
    <x v="1"/>
    <s v="LC"/>
    <s v="FC"/>
    <s v="FC-053"/>
    <x v="3"/>
    <s v="L"/>
    <s v="Cx."/>
    <x v="0"/>
    <s v="F"/>
    <m/>
    <n v="50"/>
    <n v="50"/>
    <n v="0"/>
    <s v="Negative"/>
  </r>
  <r>
    <n v="2019"/>
    <s v="CSU-13172"/>
    <n v="22778"/>
    <x v="0"/>
    <x v="1"/>
    <s v="LC"/>
    <s v="FC"/>
    <s v="FC-053"/>
    <x v="3"/>
    <s v="L"/>
    <s v="Cx."/>
    <x v="0"/>
    <s v="F"/>
    <m/>
    <n v="50"/>
    <n v="50"/>
    <n v="0"/>
    <s v="Negative"/>
  </r>
  <r>
    <n v="2019"/>
    <s v="CSU-13173"/>
    <n v="22779"/>
    <x v="0"/>
    <x v="1"/>
    <s v="LC"/>
    <s v="FC"/>
    <s v="FC-053"/>
    <x v="3"/>
    <s v="L"/>
    <s v="Cx."/>
    <x v="0"/>
    <s v="F"/>
    <m/>
    <n v="14"/>
    <n v="14"/>
    <n v="0"/>
    <s v="Negative"/>
  </r>
  <r>
    <n v="2019"/>
    <s v="CSU-13174"/>
    <n v="22780"/>
    <x v="0"/>
    <x v="1"/>
    <s v="LC"/>
    <s v="FC"/>
    <s v="FC-053"/>
    <x v="3"/>
    <s v="L"/>
    <s v="Cx."/>
    <x v="1"/>
    <s v="F"/>
    <m/>
    <n v="11"/>
    <n v="11"/>
    <n v="0"/>
    <s v="Negative"/>
  </r>
  <r>
    <n v="2019"/>
    <s v="CSU-13175"/>
    <n v="22781"/>
    <x v="0"/>
    <x v="1"/>
    <s v="LC"/>
    <s v="FC"/>
    <s v="FC-047"/>
    <x v="3"/>
    <s v="L"/>
    <s v="Cx."/>
    <x v="0"/>
    <s v="F"/>
    <m/>
    <n v="29"/>
    <n v="29"/>
    <n v="0"/>
    <s v="Negative"/>
  </r>
  <r>
    <n v="2019"/>
    <s v="CSU-13176"/>
    <n v="22782"/>
    <x v="0"/>
    <x v="1"/>
    <s v="LC"/>
    <s v="FC"/>
    <s v="FC-075"/>
    <x v="3"/>
    <s v="L"/>
    <s v="Cx."/>
    <x v="0"/>
    <s v="F"/>
    <m/>
    <n v="14"/>
    <n v="14"/>
    <n v="0"/>
    <s v="Negative"/>
  </r>
  <r>
    <n v="2019"/>
    <s v="CSU-13177"/>
    <n v="22783"/>
    <x v="0"/>
    <x v="1"/>
    <s v="LC"/>
    <s v="FC"/>
    <s v="FC-075gr"/>
    <x v="3"/>
    <s v="G"/>
    <s v="Cx."/>
    <x v="1"/>
    <s v="F"/>
    <n v="3"/>
    <m/>
    <n v="3"/>
    <n v="0"/>
    <s v="Negative"/>
  </r>
  <r>
    <n v="2019"/>
    <s v="CSU-13178"/>
    <n v="22784"/>
    <x v="0"/>
    <x v="1"/>
    <s v="LC"/>
    <s v="FC"/>
    <s v="FC-088gr"/>
    <x v="3"/>
    <s v="G"/>
    <s v="Cx."/>
    <x v="0"/>
    <s v="F"/>
    <n v="4"/>
    <m/>
    <n v="4"/>
    <n v="0"/>
    <s v="Negative"/>
  </r>
  <r>
    <n v="2019"/>
    <s v="CSU-13179"/>
    <n v="22785"/>
    <x v="0"/>
    <x v="1"/>
    <s v="LC"/>
    <s v="FC"/>
    <s v="FC-088gr"/>
    <x v="3"/>
    <s v="G"/>
    <s v="Cx."/>
    <x v="1"/>
    <s v="F"/>
    <n v="43"/>
    <m/>
    <n v="43"/>
    <n v="0"/>
    <s v="Negative"/>
  </r>
  <r>
    <n v="2019"/>
    <s v="CSU-13180"/>
    <n v="22786"/>
    <x v="0"/>
    <x v="1"/>
    <s v="LC"/>
    <s v="FC"/>
    <s v="FC-074"/>
    <x v="3"/>
    <s v="L"/>
    <s v="Cx."/>
    <x v="0"/>
    <s v="F"/>
    <m/>
    <n v="47"/>
    <n v="47"/>
    <n v="0"/>
    <s v="Negative"/>
  </r>
  <r>
    <n v="2019"/>
    <s v="CSU-13181"/>
    <n v="22787"/>
    <x v="0"/>
    <x v="1"/>
    <s v="LC"/>
    <s v="FC"/>
    <s v="FC-074"/>
    <x v="3"/>
    <s v="L"/>
    <s v="Cx."/>
    <x v="1"/>
    <s v="F"/>
    <m/>
    <n v="3"/>
    <n v="3"/>
    <n v="0"/>
    <s v="Negative"/>
  </r>
  <r>
    <n v="2019"/>
    <s v="CSU-13182"/>
    <n v="22788"/>
    <x v="0"/>
    <x v="1"/>
    <s v="LC"/>
    <s v="FC"/>
    <s v="FC-004"/>
    <x v="3"/>
    <s v="L"/>
    <s v="Cx."/>
    <x v="0"/>
    <s v="F"/>
    <m/>
    <n v="46"/>
    <n v="46"/>
    <n v="0"/>
    <s v="Negative"/>
  </r>
  <r>
    <n v="2019"/>
    <s v="CSU-13183"/>
    <n v="22789"/>
    <x v="0"/>
    <x v="1"/>
    <s v="LC"/>
    <s v="FC"/>
    <s v="FC-027"/>
    <x v="3"/>
    <s v="L"/>
    <s v="Cx."/>
    <x v="0"/>
    <s v="F"/>
    <m/>
    <n v="40"/>
    <n v="40"/>
    <n v="0"/>
    <s v="Negative"/>
  </r>
  <r>
    <n v="2019"/>
    <s v="CSU-13184"/>
    <n v="22790"/>
    <x v="0"/>
    <x v="1"/>
    <s v="LC"/>
    <s v="FC"/>
    <s v="FC-059"/>
    <x v="3"/>
    <s v="L"/>
    <s v="Cx."/>
    <x v="0"/>
    <s v="F"/>
    <m/>
    <n v="31"/>
    <n v="31"/>
    <n v="0"/>
    <s v="Negative"/>
  </r>
  <r>
    <n v="2019"/>
    <s v="CSU-13185"/>
    <n v="22791"/>
    <x v="0"/>
    <x v="1"/>
    <s v="LC"/>
    <s v="FC"/>
    <s v="FC-031"/>
    <x v="3"/>
    <s v="L"/>
    <s v="Cx."/>
    <x v="0"/>
    <s v="F"/>
    <m/>
    <n v="46"/>
    <n v="46"/>
    <n v="0"/>
    <s v="Negative"/>
  </r>
  <r>
    <n v="2019"/>
    <s v="CSU-13186"/>
    <n v="22792"/>
    <x v="0"/>
    <x v="1"/>
    <s v="LC"/>
    <s v="FC"/>
    <s v="FC-050"/>
    <x v="3"/>
    <s v="L"/>
    <s v="Cx."/>
    <x v="0"/>
    <s v="F"/>
    <m/>
    <n v="50"/>
    <n v="50"/>
    <n v="0"/>
    <s v="Negative"/>
  </r>
  <r>
    <n v="2019"/>
    <s v="CSU-13187"/>
    <n v="22793"/>
    <x v="0"/>
    <x v="1"/>
    <s v="LC"/>
    <s v="FC"/>
    <s v="FC-050"/>
    <x v="3"/>
    <s v="L"/>
    <s v="Cx."/>
    <x v="1"/>
    <s v="F"/>
    <m/>
    <n v="7"/>
    <n v="7"/>
    <n v="0"/>
    <s v="Negative"/>
  </r>
  <r>
    <n v="2019"/>
    <s v="CSU-13188"/>
    <n v="22794"/>
    <x v="0"/>
    <x v="1"/>
    <s v="LC"/>
    <s v="FC"/>
    <s v="FC-046"/>
    <x v="3"/>
    <s v="L"/>
    <s v="Cx."/>
    <x v="0"/>
    <s v="F"/>
    <m/>
    <n v="28"/>
    <n v="28"/>
    <n v="0"/>
    <s v="Negative"/>
  </r>
  <r>
    <n v="2019"/>
    <s v="CSU-13189"/>
    <n v="22795"/>
    <x v="0"/>
    <x v="1"/>
    <s v="LC"/>
    <s v="FC"/>
    <s v="FC-023"/>
    <x v="3"/>
    <s v="L"/>
    <s v="Cx."/>
    <x v="0"/>
    <s v="F"/>
    <m/>
    <n v="25"/>
    <n v="25"/>
    <n v="0"/>
    <s v="Negative"/>
  </r>
  <r>
    <n v="2019"/>
    <s v="CSU-13190"/>
    <n v="22796"/>
    <x v="0"/>
    <x v="2"/>
    <s v="LC"/>
    <s v="FC"/>
    <s v="FC-052"/>
    <x v="2"/>
    <s v="L"/>
    <s v="Cx."/>
    <x v="0"/>
    <s v="F"/>
    <m/>
    <n v="4"/>
    <n v="4"/>
    <n v="0"/>
    <s v="Negative"/>
  </r>
  <r>
    <n v="2019"/>
    <s v="CSU-13191"/>
    <n v="22797"/>
    <x v="0"/>
    <x v="2"/>
    <s v="LC"/>
    <s v="FC"/>
    <s v="FC-061"/>
    <x v="2"/>
    <s v="L"/>
    <s v="Cx."/>
    <x v="0"/>
    <s v="F"/>
    <m/>
    <n v="13"/>
    <n v="13"/>
    <n v="0"/>
    <s v="Negative"/>
  </r>
  <r>
    <n v="2019"/>
    <s v="CSU-13192"/>
    <n v="22798"/>
    <x v="0"/>
    <x v="2"/>
    <s v="LC"/>
    <s v="FC"/>
    <s v="FC-073"/>
    <x v="2"/>
    <s v="L"/>
    <s v="Cx."/>
    <x v="0"/>
    <s v="F"/>
    <m/>
    <n v="11"/>
    <n v="11"/>
    <n v="0"/>
    <s v="Negative"/>
  </r>
  <r>
    <n v="2019"/>
    <s v="CSU-13193"/>
    <n v="22799"/>
    <x v="0"/>
    <x v="2"/>
    <s v="LC"/>
    <s v="FC"/>
    <s v="FC-073"/>
    <x v="2"/>
    <s v="L"/>
    <s v="Cx."/>
    <x v="1"/>
    <s v="F"/>
    <m/>
    <n v="3"/>
    <n v="3"/>
    <n v="0"/>
    <s v="Negative"/>
  </r>
  <r>
    <n v="2019"/>
    <s v="CSU-13194"/>
    <n v="22800"/>
    <x v="0"/>
    <x v="2"/>
    <s v="LC"/>
    <s v="FC"/>
    <s v="FC-041"/>
    <x v="2"/>
    <s v="L"/>
    <s v="Cx."/>
    <x v="0"/>
    <s v="F"/>
    <m/>
    <n v="3"/>
    <n v="3"/>
    <n v="0"/>
    <s v="Negative"/>
  </r>
  <r>
    <n v="2019"/>
    <s v="CSU-13195"/>
    <n v="22801"/>
    <x v="0"/>
    <x v="2"/>
    <s v="LC"/>
    <s v="FC"/>
    <s v="FC-090gr"/>
    <x v="2"/>
    <s v="G"/>
    <s v="Cx."/>
    <x v="1"/>
    <s v="F"/>
    <n v="2"/>
    <m/>
    <n v="2"/>
    <n v="0"/>
    <s v="Negative"/>
  </r>
  <r>
    <n v="2019"/>
    <s v="CSU-13196"/>
    <n v="22802"/>
    <x v="0"/>
    <x v="2"/>
    <s v="LC"/>
    <s v="FC"/>
    <s v="FC-049"/>
    <x v="4"/>
    <s v="L"/>
    <s v="Cx."/>
    <x v="1"/>
    <s v="F"/>
    <m/>
    <n v="2"/>
    <n v="2"/>
    <n v="0"/>
    <s v="Negative"/>
  </r>
  <r>
    <n v="2019"/>
    <s v="CSU-13197"/>
    <n v="22803"/>
    <x v="0"/>
    <x v="2"/>
    <s v="LC"/>
    <s v="FC"/>
    <s v="FC-060"/>
    <x v="2"/>
    <s v="L"/>
    <s v="Cx."/>
    <x v="0"/>
    <s v="F"/>
    <m/>
    <n v="6"/>
    <n v="6"/>
    <n v="0"/>
    <s v="Negative"/>
  </r>
  <r>
    <n v="2019"/>
    <s v="CSU-13198"/>
    <n v="22804"/>
    <x v="0"/>
    <x v="2"/>
    <s v="LC"/>
    <s v="BE"/>
    <s v="LC-055"/>
    <x v="5"/>
    <s v="L"/>
    <s v="Cx."/>
    <x v="0"/>
    <s v="F"/>
    <m/>
    <n v="12"/>
    <n v="12"/>
    <n v="0"/>
    <s v="Negative"/>
  </r>
  <r>
    <n v="2019"/>
    <s v="CSU-13199"/>
    <n v="22805"/>
    <x v="0"/>
    <x v="2"/>
    <s v="LC"/>
    <s v="FC"/>
    <s v="FC-063gr"/>
    <x v="2"/>
    <s v="G"/>
    <s v="Cx."/>
    <x v="1"/>
    <s v="F"/>
    <n v="9"/>
    <m/>
    <n v="9"/>
    <n v="0"/>
    <s v="Negative"/>
  </r>
  <r>
    <n v="2019"/>
    <s v="CSU-13200"/>
    <n v="22806"/>
    <x v="0"/>
    <x v="2"/>
    <s v="LC"/>
    <s v="BE"/>
    <s v="LC-001"/>
    <x v="5"/>
    <s v="L"/>
    <s v="Cx."/>
    <x v="0"/>
    <s v="F"/>
    <m/>
    <n v="50"/>
    <n v="50"/>
    <n v="0"/>
    <s v="Negative"/>
  </r>
  <r>
    <n v="2019"/>
    <s v="CSU-13201"/>
    <n v="22807"/>
    <x v="0"/>
    <x v="2"/>
    <s v="LC"/>
    <s v="BE"/>
    <s v="LC-001"/>
    <x v="5"/>
    <s v="L"/>
    <s v="Cx."/>
    <x v="0"/>
    <s v="F"/>
    <m/>
    <n v="13"/>
    <n v="13"/>
    <n v="0"/>
    <s v="Negative"/>
  </r>
  <r>
    <n v="2019"/>
    <s v="CSU-13202"/>
    <n v="22808"/>
    <x v="0"/>
    <x v="2"/>
    <s v="LC"/>
    <s v="BE"/>
    <s v="LC-001"/>
    <x v="5"/>
    <s v="L"/>
    <s v="Cx."/>
    <x v="1"/>
    <s v="F"/>
    <m/>
    <n v="7"/>
    <n v="7"/>
    <n v="0"/>
    <s v="Negative"/>
  </r>
  <r>
    <n v="2019"/>
    <s v="CSU-13203"/>
    <n v="22809"/>
    <x v="0"/>
    <x v="2"/>
    <s v="LC"/>
    <s v="BE"/>
    <s v="LC-049"/>
    <x v="5"/>
    <s v="L"/>
    <s v="Cx."/>
    <x v="0"/>
    <s v="F"/>
    <m/>
    <n v="24"/>
    <n v="24"/>
    <n v="0"/>
    <s v="Negative"/>
  </r>
  <r>
    <n v="2019"/>
    <s v="CSU-13204"/>
    <n v="22810"/>
    <x v="0"/>
    <x v="2"/>
    <s v="LC"/>
    <s v="LV"/>
    <s v="LV-020"/>
    <x v="1"/>
    <s v="L"/>
    <s v="Cx."/>
    <x v="0"/>
    <s v="F"/>
    <m/>
    <n v="50"/>
    <n v="50"/>
    <n v="0"/>
    <s v="Negative"/>
  </r>
  <r>
    <n v="2019"/>
    <s v="CSU-13205"/>
    <n v="22811"/>
    <x v="0"/>
    <x v="2"/>
    <s v="LC"/>
    <s v="LV"/>
    <s v="LV-020"/>
    <x v="1"/>
    <s v="L"/>
    <s v="Cx."/>
    <x v="0"/>
    <s v="F"/>
    <m/>
    <n v="50"/>
    <n v="50"/>
    <n v="0"/>
    <s v="Negative"/>
  </r>
  <r>
    <n v="2019"/>
    <s v="CSU-13206"/>
    <n v="22812"/>
    <x v="0"/>
    <x v="2"/>
    <s v="LC"/>
    <s v="LV"/>
    <s v="LV-020"/>
    <x v="1"/>
    <s v="L"/>
    <s v="Cx."/>
    <x v="0"/>
    <s v="F"/>
    <m/>
    <n v="21"/>
    <n v="21"/>
    <n v="0"/>
    <s v="Negative"/>
  </r>
  <r>
    <n v="2019"/>
    <s v="CSU-13207"/>
    <n v="22813"/>
    <x v="0"/>
    <x v="2"/>
    <s v="LC"/>
    <s v="BE"/>
    <s v="LC-054"/>
    <x v="5"/>
    <s v="L"/>
    <s v="Cx."/>
    <x v="0"/>
    <s v="F"/>
    <m/>
    <n v="50"/>
    <n v="50"/>
    <n v="0"/>
    <s v="Negative"/>
  </r>
  <r>
    <n v="2019"/>
    <s v="CSU-13208"/>
    <n v="22814"/>
    <x v="0"/>
    <x v="2"/>
    <s v="LC"/>
    <s v="BE"/>
    <s v="LC-054"/>
    <x v="5"/>
    <s v="L"/>
    <s v="Cx."/>
    <x v="0"/>
    <s v="F"/>
    <m/>
    <n v="50"/>
    <n v="50"/>
    <n v="0"/>
    <s v="Negative"/>
  </r>
  <r>
    <n v="2019"/>
    <s v="CSU-13209"/>
    <n v="22815"/>
    <x v="0"/>
    <x v="2"/>
    <s v="LC"/>
    <s v="BE"/>
    <s v="LC-053"/>
    <x v="5"/>
    <s v="L"/>
    <s v="Cx."/>
    <x v="0"/>
    <s v="F"/>
    <m/>
    <n v="50"/>
    <n v="50"/>
    <n v="0"/>
    <s v="Negative"/>
  </r>
  <r>
    <n v="2019"/>
    <s v="CSU-13210"/>
    <n v="22816"/>
    <x v="0"/>
    <x v="2"/>
    <s v="LC"/>
    <s v="BE"/>
    <s v="LC-053"/>
    <x v="5"/>
    <s v="L"/>
    <s v="Cx."/>
    <x v="0"/>
    <s v="F"/>
    <m/>
    <n v="50"/>
    <n v="50"/>
    <n v="0"/>
    <s v="Negative"/>
  </r>
  <r>
    <n v="2019"/>
    <s v="CSU-13211"/>
    <n v="22817"/>
    <x v="0"/>
    <x v="2"/>
    <s v="LC"/>
    <s v="BE"/>
    <s v="LC-053"/>
    <x v="5"/>
    <s v="L"/>
    <s v="Cx."/>
    <x v="0"/>
    <s v="F"/>
    <m/>
    <n v="3"/>
    <n v="3"/>
    <n v="0"/>
    <s v="Negative"/>
  </r>
  <r>
    <n v="2019"/>
    <s v="CSU-13212"/>
    <n v="22818"/>
    <x v="0"/>
    <x v="3"/>
    <s v="LC"/>
    <s v="FC"/>
    <s v="FC-057"/>
    <x v="4"/>
    <s v="L"/>
    <s v="Cx."/>
    <x v="0"/>
    <s v="F"/>
    <m/>
    <n v="5"/>
    <n v="5"/>
    <n v="0"/>
    <s v="Negative"/>
  </r>
  <r>
    <n v="2019"/>
    <s v="CSU-13213"/>
    <n v="22819"/>
    <x v="0"/>
    <x v="3"/>
    <s v="LC"/>
    <s v="FC"/>
    <s v="FC-001"/>
    <x v="4"/>
    <s v="L"/>
    <s v="Cx."/>
    <x v="0"/>
    <s v="F"/>
    <m/>
    <n v="29"/>
    <n v="29"/>
    <n v="0"/>
    <s v="Negative"/>
  </r>
  <r>
    <n v="2019"/>
    <s v="CSU-13214"/>
    <n v="22820"/>
    <x v="0"/>
    <x v="3"/>
    <s v="LC"/>
    <s v="FC"/>
    <s v="FC-054"/>
    <x v="3"/>
    <s v="L"/>
    <s v="Cx."/>
    <x v="0"/>
    <s v="F"/>
    <m/>
    <n v="14"/>
    <n v="14"/>
    <n v="0"/>
    <s v="Negative"/>
  </r>
  <r>
    <n v="2019"/>
    <s v="CSU-13215"/>
    <n v="22821"/>
    <x v="0"/>
    <x v="3"/>
    <s v="LC"/>
    <s v="FC"/>
    <s v="FC-037"/>
    <x v="4"/>
    <s v="L"/>
    <s v="Cx."/>
    <x v="0"/>
    <s v="F"/>
    <m/>
    <n v="25"/>
    <n v="25"/>
    <n v="0"/>
    <s v="Negative"/>
  </r>
  <r>
    <n v="2019"/>
    <s v="CSU-13216"/>
    <n v="22822"/>
    <x v="0"/>
    <x v="3"/>
    <s v="LC"/>
    <s v="FC"/>
    <s v="FC-029"/>
    <x v="3"/>
    <s v="L"/>
    <s v="Cx."/>
    <x v="0"/>
    <s v="F"/>
    <m/>
    <n v="16"/>
    <n v="16"/>
    <n v="0"/>
    <s v="Negative"/>
  </r>
  <r>
    <n v="2019"/>
    <s v="CSU-13217"/>
    <n v="22823"/>
    <x v="0"/>
    <x v="3"/>
    <s v="LC"/>
    <s v="FC"/>
    <s v="FC-029"/>
    <x v="3"/>
    <s v="L"/>
    <s v="Cx."/>
    <x v="1"/>
    <s v="F"/>
    <m/>
    <n v="5"/>
    <n v="5"/>
    <n v="0"/>
    <s v="Negative"/>
  </r>
  <r>
    <n v="2019"/>
    <s v="CSU-13218"/>
    <n v="22824"/>
    <x v="0"/>
    <x v="3"/>
    <s v="LC"/>
    <s v="FC"/>
    <s v="FC-029gr"/>
    <x v="3"/>
    <s v="G"/>
    <s v="Cx."/>
    <x v="1"/>
    <s v="F"/>
    <n v="50"/>
    <m/>
    <n v="50"/>
    <n v="0"/>
    <s v="Negative"/>
  </r>
  <r>
    <n v="2019"/>
    <s v="CSU-13219"/>
    <n v="22825"/>
    <x v="0"/>
    <x v="3"/>
    <s v="LC"/>
    <s v="FC"/>
    <s v="FC-029gr"/>
    <x v="3"/>
    <s v="G"/>
    <s v="Cx."/>
    <x v="1"/>
    <s v="F"/>
    <n v="7"/>
    <m/>
    <n v="7"/>
    <n v="0"/>
    <s v="Negative"/>
  </r>
  <r>
    <n v="2019"/>
    <s v="CSU-13220"/>
    <n v="22826"/>
    <x v="0"/>
    <x v="3"/>
    <s v="LC"/>
    <s v="FC"/>
    <s v="FC-068"/>
    <x v="4"/>
    <s v="L"/>
    <s v="Cx."/>
    <x v="0"/>
    <s v="F"/>
    <m/>
    <n v="6"/>
    <n v="6"/>
    <n v="0"/>
    <s v="Negative"/>
  </r>
  <r>
    <n v="2019"/>
    <s v="CSU-13221"/>
    <n v="22827"/>
    <x v="0"/>
    <x v="3"/>
    <s v="LC"/>
    <s v="FC"/>
    <s v="FC-062"/>
    <x v="4"/>
    <s v="L"/>
    <s v="Cx."/>
    <x v="0"/>
    <s v="F"/>
    <m/>
    <n v="6"/>
    <n v="6"/>
    <n v="0"/>
    <s v="Negative"/>
  </r>
  <r>
    <n v="2019"/>
    <s v="CSU-13222"/>
    <n v="22828"/>
    <x v="0"/>
    <x v="3"/>
    <s v="LC"/>
    <s v="FC"/>
    <s v="FC-089gr"/>
    <x v="4"/>
    <s v="G"/>
    <s v="Cx."/>
    <x v="1"/>
    <s v="F"/>
    <n v="6"/>
    <m/>
    <n v="6"/>
    <n v="0"/>
    <s v="Negative"/>
  </r>
  <r>
    <n v="2019"/>
    <s v="CSU-13223"/>
    <n v="22829"/>
    <x v="0"/>
    <x v="3"/>
    <s v="LC"/>
    <s v="FC"/>
    <s v="FC-071"/>
    <x v="4"/>
    <s v="L"/>
    <s v="Cx."/>
    <x v="0"/>
    <s v="F"/>
    <m/>
    <n v="9"/>
    <n v="9"/>
    <n v="0"/>
    <s v="Negative"/>
  </r>
  <r>
    <n v="2019"/>
    <s v="CSU-13224"/>
    <n v="22830"/>
    <x v="0"/>
    <x v="3"/>
    <s v="LC"/>
    <s v="FC"/>
    <s v="FC-093"/>
    <x v="4"/>
    <s v="L"/>
    <s v="Cx."/>
    <x v="0"/>
    <s v="F"/>
    <m/>
    <n v="30"/>
    <n v="3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1"/>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1"/>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0"/>
        <item x="3"/>
        <item x="4"/>
        <item x="1"/>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6" sqref="C6"/>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87" t="s">
        <v>53</v>
      </c>
      <c r="H1" s="87"/>
    </row>
    <row r="2" spans="1:10" x14ac:dyDescent="0.25">
      <c r="A2" s="3" t="s">
        <v>8</v>
      </c>
      <c r="B2" t="s">
        <v>1</v>
      </c>
    </row>
    <row r="4" spans="1:10" x14ac:dyDescent="0.25">
      <c r="A4" s="3" t="s">
        <v>85</v>
      </c>
      <c r="B4" s="3" t="s">
        <v>3</v>
      </c>
      <c r="G4" s="24" t="s">
        <v>85</v>
      </c>
      <c r="H4" s="24" t="s">
        <v>3</v>
      </c>
      <c r="I4" s="24"/>
      <c r="J4" s="24"/>
    </row>
    <row r="5" spans="1:10" x14ac:dyDescent="0.25">
      <c r="A5" s="3" t="s">
        <v>4</v>
      </c>
      <c r="B5" t="s">
        <v>133</v>
      </c>
      <c r="C5" t="s">
        <v>132</v>
      </c>
      <c r="D5" t="s">
        <v>7</v>
      </c>
      <c r="G5" s="25" t="s">
        <v>4</v>
      </c>
      <c r="H5" s="25" t="s">
        <v>5</v>
      </c>
      <c r="I5" s="25" t="s">
        <v>6</v>
      </c>
      <c r="J5" s="25" t="s">
        <v>7</v>
      </c>
    </row>
    <row r="6" spans="1:10" x14ac:dyDescent="0.25">
      <c r="A6" s="1" t="s">
        <v>59</v>
      </c>
      <c r="B6" s="2">
        <v>7</v>
      </c>
      <c r="C6" s="2">
        <v>17</v>
      </c>
      <c r="D6" s="2">
        <v>24</v>
      </c>
      <c r="G6" s="1" t="s">
        <v>9</v>
      </c>
      <c r="H6" s="2">
        <f>GETPIVOTDATA("CSU Pool Number     (CMC enters)",$A$4,"Zone","LV","Spp","pipiens")</f>
        <v>1</v>
      </c>
      <c r="I6" s="2">
        <f>GETPIVOTDATA("CSU Pool Number     (CMC enters)",$A$4,"Zone","LV","Spp","tarsalis")</f>
        <v>9</v>
      </c>
      <c r="J6" s="2">
        <f>GETPIVOTDATA("CSU Pool Number     (CMC enters)",$A$4,"Zone","LV")</f>
        <v>10</v>
      </c>
    </row>
    <row r="7" spans="1:10" x14ac:dyDescent="0.25">
      <c r="A7" s="1" t="s">
        <v>58</v>
      </c>
      <c r="B7" s="2">
        <v>4</v>
      </c>
      <c r="C7" s="2">
        <v>7</v>
      </c>
      <c r="D7" s="2">
        <v>11</v>
      </c>
      <c r="G7" s="1" t="s">
        <v>59</v>
      </c>
      <c r="H7" s="2">
        <f>GETPIVOTDATA("CSU Pool Number     (CMC enters)",$A$4,"Zone","NE","Spp","pipiens")</f>
        <v>7</v>
      </c>
      <c r="I7" s="2">
        <f>GETPIVOTDATA("CSU Pool Number     (CMC enters)",$A$4,"Zone","NE","Spp","tarsalis")</f>
        <v>17</v>
      </c>
      <c r="J7" s="2">
        <f>GETPIVOTDATA("CSU Pool Number     (CMC enters)",$A$4,"Zone","NE")</f>
        <v>24</v>
      </c>
    </row>
    <row r="8" spans="1:10" x14ac:dyDescent="0.25">
      <c r="A8" s="1" t="s">
        <v>60</v>
      </c>
      <c r="B8" s="2">
        <v>9</v>
      </c>
      <c r="C8" s="2">
        <v>25</v>
      </c>
      <c r="D8" s="2">
        <v>34</v>
      </c>
      <c r="G8" s="1" t="s">
        <v>58</v>
      </c>
      <c r="H8" s="2">
        <f>GETPIVOTDATA("CSU Pool Number     (CMC enters)",$A$4,"Zone","NW","Spp","pipiens")</f>
        <v>4</v>
      </c>
      <c r="I8" s="2">
        <f>GETPIVOTDATA("CSU Pool Number     (CMC enters)",$A$4,"Zone","NW","Spp","tarsalis")</f>
        <v>7</v>
      </c>
      <c r="J8" s="2">
        <f>GETPIVOTDATA("CSU Pool Number     (CMC enters)",$A$4,"Zone","NW")</f>
        <v>11</v>
      </c>
    </row>
    <row r="9" spans="1:10" x14ac:dyDescent="0.25">
      <c r="A9" s="1" t="s">
        <v>61</v>
      </c>
      <c r="B9" s="2">
        <v>2</v>
      </c>
      <c r="C9" s="2">
        <v>7</v>
      </c>
      <c r="D9" s="2">
        <v>9</v>
      </c>
      <c r="G9" s="1" t="s">
        <v>60</v>
      </c>
      <c r="H9" s="2">
        <f>GETPIVOTDATA("CSU Pool Number     (CMC enters)",$A$4,"Zone","SE","Spp","pipiens")</f>
        <v>9</v>
      </c>
      <c r="I9" s="2">
        <f>GETPIVOTDATA("CSU Pool Number     (CMC enters)",$A$4,"Zone","SE","Spp","tarsalis")</f>
        <v>25</v>
      </c>
      <c r="J9" s="2">
        <f>GETPIVOTDATA("CSU Pool Number     (CMC enters)",$A$4,"Zone","SE")</f>
        <v>34</v>
      </c>
    </row>
    <row r="10" spans="1:10" x14ac:dyDescent="0.25">
      <c r="A10" s="1" t="s">
        <v>9</v>
      </c>
      <c r="B10" s="2">
        <v>1</v>
      </c>
      <c r="C10" s="2">
        <v>9</v>
      </c>
      <c r="D10" s="2">
        <v>10</v>
      </c>
      <c r="G10" s="1" t="s">
        <v>61</v>
      </c>
      <c r="H10" s="2">
        <f>GETPIVOTDATA("CSU Pool Number     (CMC enters)",$A$4,"Zone","SW","Spp","pipiens")</f>
        <v>2</v>
      </c>
      <c r="I10" s="2">
        <f>GETPIVOTDATA("CSU Pool Number     (CMC enters)",$A$4,"Zone","SW","Spp","tarsalis")</f>
        <v>7</v>
      </c>
      <c r="J10" s="2">
        <f>GETPIVOTDATA("CSU Pool Number     (CMC enters)",$A$4,"Zone","SW")</f>
        <v>9</v>
      </c>
    </row>
    <row r="11" spans="1:10" x14ac:dyDescent="0.25">
      <c r="A11" s="1" t="s">
        <v>112</v>
      </c>
      <c r="B11" s="2">
        <v>1</v>
      </c>
      <c r="C11" s="2">
        <v>9</v>
      </c>
      <c r="D11" s="2">
        <v>10</v>
      </c>
      <c r="G11" s="1" t="s">
        <v>112</v>
      </c>
      <c r="H11">
        <f>GETPIVOTDATA("CSU Pool Number     (CMC enters)",$A$4,"Zone","BE","Spp","pipiens")</f>
        <v>1</v>
      </c>
      <c r="I11">
        <f>GETPIVOTDATA("CSU Pool Number     (CMC enters)",$A$4,"Zone","BE","Spp","tarsalis")</f>
        <v>9</v>
      </c>
      <c r="J11">
        <f>GETPIVOTDATA("CSU Pool Number     (CMC enters)",$A$4,"Zone","BE")</f>
        <v>10</v>
      </c>
    </row>
    <row r="12" spans="1:10" x14ac:dyDescent="0.25">
      <c r="A12" s="1" t="s">
        <v>7</v>
      </c>
      <c r="B12" s="2">
        <v>24</v>
      </c>
      <c r="C12" s="2">
        <v>74</v>
      </c>
      <c r="D12" s="2">
        <v>98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E18" sqref="E18"/>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87" t="s">
        <v>73</v>
      </c>
      <c r="B1" s="87"/>
      <c r="C1" s="87"/>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133</v>
      </c>
      <c r="C6" t="s">
        <v>132</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112</v>
      </c>
      <c r="B12" s="2">
        <v>0</v>
      </c>
      <c r="C12" s="2">
        <v>0</v>
      </c>
      <c r="D12" s="2">
        <v>0</v>
      </c>
      <c r="F12" s="1" t="s">
        <v>112</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80">
        <v>0</v>
      </c>
      <c r="I4" s="31"/>
    </row>
    <row r="5" spans="1:11" x14ac:dyDescent="0.25">
      <c r="A5" t="s">
        <v>9</v>
      </c>
      <c r="B5" t="s">
        <v>16</v>
      </c>
      <c r="C5" s="80">
        <v>0</v>
      </c>
      <c r="H5" s="31"/>
    </row>
    <row r="6" spans="1:11" x14ac:dyDescent="0.25">
      <c r="A6" t="s">
        <v>112</v>
      </c>
      <c r="B6" t="s">
        <v>15</v>
      </c>
      <c r="C6" s="80">
        <v>0</v>
      </c>
      <c r="H6" s="31"/>
    </row>
    <row r="7" spans="1:11" x14ac:dyDescent="0.25">
      <c r="A7" t="s">
        <v>112</v>
      </c>
      <c r="B7" t="s">
        <v>16</v>
      </c>
      <c r="C7" s="80">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67" zoomScale="80" zoomScaleNormal="80" workbookViewId="0">
      <selection activeCell="R90" sqref="R9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92" t="s">
        <v>11</v>
      </c>
      <c r="D1" s="93"/>
      <c r="E1" s="92" t="s">
        <v>12</v>
      </c>
      <c r="F1" s="93"/>
      <c r="G1" s="100"/>
      <c r="H1" s="101"/>
      <c r="I1" s="102"/>
    </row>
    <row r="2" spans="1:14" ht="27" customHeight="1" x14ac:dyDescent="0.25">
      <c r="B2" s="5"/>
      <c r="C2" s="94"/>
      <c r="D2" s="95"/>
      <c r="E2" s="94" t="s">
        <v>13</v>
      </c>
      <c r="F2" s="95"/>
      <c r="G2" s="103" t="s">
        <v>14</v>
      </c>
      <c r="H2" s="104"/>
      <c r="I2" s="105"/>
    </row>
    <row r="3" spans="1:14" ht="15.75" thickBot="1" x14ac:dyDescent="0.3">
      <c r="B3" s="5"/>
      <c r="C3" s="96"/>
      <c r="D3" s="97"/>
      <c r="E3" s="98"/>
      <c r="F3" s="99"/>
      <c r="G3" s="98"/>
      <c r="H3" s="106"/>
      <c r="I3" s="99"/>
    </row>
    <row r="4" spans="1:14" ht="15.75" customHeight="1" x14ac:dyDescent="0.25">
      <c r="B4" s="5" t="s">
        <v>10</v>
      </c>
      <c r="C4" s="88" t="s">
        <v>15</v>
      </c>
      <c r="D4" s="88" t="s">
        <v>16</v>
      </c>
      <c r="E4" s="7" t="s">
        <v>17</v>
      </c>
      <c r="F4" s="7" t="s">
        <v>17</v>
      </c>
      <c r="G4" s="90" t="s">
        <v>18</v>
      </c>
      <c r="H4" s="90" t="s">
        <v>19</v>
      </c>
      <c r="I4" s="9" t="s">
        <v>20</v>
      </c>
    </row>
    <row r="5" spans="1:14" ht="15.75" thickBot="1" x14ac:dyDescent="0.3">
      <c r="B5" s="6"/>
      <c r="C5" s="89"/>
      <c r="D5" s="89"/>
      <c r="E5" s="8" t="s">
        <v>5</v>
      </c>
      <c r="F5" s="8" t="s">
        <v>6</v>
      </c>
      <c r="G5" s="91"/>
      <c r="H5" s="91"/>
      <c r="I5" s="10" t="s">
        <v>21</v>
      </c>
    </row>
    <row r="6" spans="1:14" ht="26.25" thickBot="1" x14ac:dyDescent="0.3">
      <c r="B6" s="11" t="s">
        <v>54</v>
      </c>
      <c r="C6" s="26">
        <f t="shared" ref="C6:D10" si="0">G38</f>
        <v>2.6666666666666665</v>
      </c>
      <c r="D6" s="26">
        <f t="shared" si="0"/>
        <v>17.333333333333332</v>
      </c>
      <c r="E6" s="41">
        <f t="shared" ref="E6:F10" si="1">L69/1000</f>
        <v>0</v>
      </c>
      <c r="F6" s="41">
        <f t="shared" si="1"/>
        <v>0</v>
      </c>
      <c r="G6" s="32">
        <f t="shared" ref="G6:H10" si="2">C6*E6</f>
        <v>0</v>
      </c>
      <c r="H6" s="32">
        <f t="shared" si="2"/>
        <v>0</v>
      </c>
      <c r="I6" s="32">
        <f>G6+H6</f>
        <v>0</v>
      </c>
    </row>
    <row r="7" spans="1:14" ht="26.25" thickBot="1" x14ac:dyDescent="0.3">
      <c r="B7" s="11" t="s">
        <v>55</v>
      </c>
      <c r="C7" s="26">
        <f t="shared" si="0"/>
        <v>4.4000000000000004</v>
      </c>
      <c r="D7" s="26">
        <f t="shared" si="0"/>
        <v>66.5</v>
      </c>
      <c r="E7" s="41">
        <f t="shared" si="1"/>
        <v>0</v>
      </c>
      <c r="F7" s="41">
        <f t="shared" si="1"/>
        <v>0</v>
      </c>
      <c r="G7" s="32">
        <f t="shared" si="2"/>
        <v>0</v>
      </c>
      <c r="H7" s="32">
        <f t="shared" si="2"/>
        <v>0</v>
      </c>
      <c r="I7" s="32">
        <f>G7+H7</f>
        <v>0</v>
      </c>
    </row>
    <row r="8" spans="1:14" ht="26.25" thickBot="1" x14ac:dyDescent="0.3">
      <c r="B8" s="11" t="s">
        <v>57</v>
      </c>
      <c r="C8" s="26">
        <f t="shared" si="0"/>
        <v>1.9333333333333333</v>
      </c>
      <c r="D8" s="26">
        <f t="shared" si="0"/>
        <v>60.133333333333333</v>
      </c>
      <c r="E8" s="41">
        <f t="shared" si="1"/>
        <v>0</v>
      </c>
      <c r="F8" s="41">
        <f t="shared" si="1"/>
        <v>0</v>
      </c>
      <c r="G8" s="32">
        <f t="shared" si="2"/>
        <v>0</v>
      </c>
      <c r="H8" s="32">
        <f t="shared" si="2"/>
        <v>0</v>
      </c>
      <c r="I8" s="32">
        <f>G8+H8</f>
        <v>0</v>
      </c>
    </row>
    <row r="9" spans="1:14" ht="26.25" thickBot="1" x14ac:dyDescent="0.3">
      <c r="B9" s="11" t="s">
        <v>56</v>
      </c>
      <c r="C9" s="26">
        <f t="shared" si="0"/>
        <v>0.25</v>
      </c>
      <c r="D9" s="26">
        <f t="shared" si="0"/>
        <v>13.75</v>
      </c>
      <c r="E9" s="41">
        <f t="shared" si="1"/>
        <v>0</v>
      </c>
      <c r="F9" s="41">
        <f t="shared" si="1"/>
        <v>0</v>
      </c>
      <c r="G9" s="32">
        <f t="shared" si="2"/>
        <v>0</v>
      </c>
      <c r="H9" s="32">
        <f t="shared" si="2"/>
        <v>0</v>
      </c>
      <c r="I9" s="32">
        <f>G9+H9</f>
        <v>0</v>
      </c>
    </row>
    <row r="10" spans="1:14" ht="26.25" thickBot="1" x14ac:dyDescent="0.3">
      <c r="B10" s="11" t="s">
        <v>22</v>
      </c>
      <c r="C10" s="26">
        <f t="shared" si="0"/>
        <v>2.3333333333333335</v>
      </c>
      <c r="D10" s="26">
        <f t="shared" si="0"/>
        <v>45.666666666666664</v>
      </c>
      <c r="E10" s="41">
        <f t="shared" si="1"/>
        <v>0</v>
      </c>
      <c r="F10" s="41">
        <f t="shared" si="1"/>
        <v>0</v>
      </c>
      <c r="G10" s="32">
        <f t="shared" si="2"/>
        <v>0</v>
      </c>
      <c r="H10" s="32">
        <f t="shared" si="2"/>
        <v>0</v>
      </c>
      <c r="I10" s="32">
        <f>G10+H10</f>
        <v>0</v>
      </c>
      <c r="N10" s="31"/>
    </row>
    <row r="11" spans="1:14" ht="15.75" thickBot="1" x14ac:dyDescent="0.3">
      <c r="B11" s="11"/>
      <c r="C11" s="12"/>
      <c r="D11" s="12"/>
      <c r="E11" s="41"/>
      <c r="F11" s="41"/>
      <c r="G11" s="32"/>
      <c r="H11" s="32"/>
      <c r="I11" s="32"/>
    </row>
    <row r="12" spans="1:14" ht="15.75" thickBot="1" x14ac:dyDescent="0.3">
      <c r="B12" s="11" t="s">
        <v>9</v>
      </c>
      <c r="C12" s="29">
        <f>G44</f>
        <v>4.7142857142857144</v>
      </c>
      <c r="D12" s="29">
        <f>H44</f>
        <v>32.392857142857146</v>
      </c>
      <c r="E12" s="41">
        <f>L75/1000</f>
        <v>0</v>
      </c>
      <c r="F12" s="41">
        <f>M75/1000</f>
        <v>0</v>
      </c>
      <c r="G12" s="32">
        <f>C12*E12</f>
        <v>0</v>
      </c>
      <c r="H12" s="32">
        <f>D12*F12</f>
        <v>0</v>
      </c>
      <c r="I12" s="32">
        <f>G12+H12</f>
        <v>0</v>
      </c>
    </row>
    <row r="13" spans="1:14" ht="15.75" thickBot="1" x14ac:dyDescent="0.3">
      <c r="B13" s="11" t="s">
        <v>112</v>
      </c>
      <c r="C13" s="29">
        <f>G45</f>
        <v>1.4</v>
      </c>
      <c r="D13" s="29">
        <f>H45</f>
        <v>60.4</v>
      </c>
      <c r="E13" s="41">
        <f>L76/1000</f>
        <v>0</v>
      </c>
      <c r="F13" s="41">
        <f>M76/1000</f>
        <v>0</v>
      </c>
      <c r="G13" s="32">
        <f>C13*E13</f>
        <v>0</v>
      </c>
      <c r="H13" s="32">
        <f>D13*F13</f>
        <v>0</v>
      </c>
      <c r="I13" s="32">
        <f>G13+H13</f>
        <v>0</v>
      </c>
    </row>
    <row r="14" spans="1:14" ht="15.75" thickBot="1" x14ac:dyDescent="0.3"/>
    <row r="15" spans="1:14" ht="15" customHeight="1" x14ac:dyDescent="0.25">
      <c r="A15" t="s">
        <v>111</v>
      </c>
      <c r="B15" s="16"/>
      <c r="C15" s="107" t="s">
        <v>54</v>
      </c>
      <c r="D15" s="108"/>
      <c r="E15" s="107" t="s">
        <v>55</v>
      </c>
      <c r="F15" s="108"/>
      <c r="G15" s="107" t="s">
        <v>57</v>
      </c>
      <c r="H15" s="108"/>
      <c r="I15" s="107" t="s">
        <v>56</v>
      </c>
      <c r="J15" s="108"/>
      <c r="K15" s="107" t="s">
        <v>22</v>
      </c>
      <c r="L15" s="108"/>
      <c r="M15" s="19"/>
      <c r="N15" s="56"/>
    </row>
    <row r="16" spans="1:14" ht="15.75" thickBot="1" x14ac:dyDescent="0.3">
      <c r="B16" s="17"/>
      <c r="C16" s="109"/>
      <c r="D16" s="110"/>
      <c r="E16" s="109"/>
      <c r="F16" s="110"/>
      <c r="G16" s="109"/>
      <c r="H16" s="110"/>
      <c r="I16" s="109"/>
      <c r="J16" s="110"/>
      <c r="K16" s="109"/>
      <c r="L16" s="110"/>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47">
        <v>0</v>
      </c>
      <c r="L22" s="44">
        <v>4.6556968064292416E-2</v>
      </c>
      <c r="M22" s="47">
        <v>0</v>
      </c>
      <c r="N22" s="47">
        <v>0</v>
      </c>
    </row>
    <row r="23" spans="2:14" ht="15.75" thickBot="1" x14ac:dyDescent="0.3">
      <c r="B23" s="43">
        <v>29</v>
      </c>
      <c r="C23" s="47">
        <v>0</v>
      </c>
      <c r="D23" s="44">
        <v>0.11395730739110398</v>
      </c>
      <c r="E23" s="47">
        <v>0</v>
      </c>
      <c r="F23" s="44">
        <v>0.1452889565187768</v>
      </c>
      <c r="G23" s="47">
        <v>0</v>
      </c>
      <c r="H23" s="44">
        <v>0.32459368575312425</v>
      </c>
      <c r="I23" s="47">
        <v>0</v>
      </c>
      <c r="J23" s="44">
        <v>3.3497909090909092E-2</v>
      </c>
      <c r="K23" s="47">
        <v>0</v>
      </c>
      <c r="L23" s="44">
        <v>0.17058423674891257</v>
      </c>
      <c r="M23" s="47">
        <v>0</v>
      </c>
      <c r="N23" s="47">
        <v>0</v>
      </c>
    </row>
    <row r="24" spans="2:14" ht="15.75" thickBot="1" x14ac:dyDescent="0.3">
      <c r="B24" s="43">
        <v>30</v>
      </c>
      <c r="C24" s="47"/>
      <c r="D24" s="44">
        <v>0.11669779378976623</v>
      </c>
      <c r="E24" s="47"/>
      <c r="F24" s="44">
        <v>0.16916957982490655</v>
      </c>
      <c r="G24" s="47"/>
      <c r="H24" s="44">
        <v>0.32570781928008102</v>
      </c>
      <c r="I24" s="47"/>
      <c r="J24" s="44">
        <v>8.471118181818181E-2</v>
      </c>
      <c r="K24" s="47"/>
      <c r="L24" s="44">
        <v>0.19003109896348488</v>
      </c>
      <c r="M24" s="47"/>
      <c r="N24" s="47"/>
    </row>
    <row r="25" spans="2:14" ht="15.75" thickBot="1" x14ac:dyDescent="0.3">
      <c r="B25" s="43">
        <v>31</v>
      </c>
      <c r="C25" s="47"/>
      <c r="D25" s="44">
        <v>0.20111726592579454</v>
      </c>
      <c r="E25" s="47"/>
      <c r="F25" s="44">
        <v>0.20687539723018417</v>
      </c>
      <c r="G25" s="47"/>
      <c r="H25" s="44">
        <v>0.22361204650177652</v>
      </c>
      <c r="I25" s="47"/>
      <c r="J25" s="44">
        <v>8.7961372960925197E-2</v>
      </c>
      <c r="K25" s="47"/>
      <c r="L25" s="44">
        <v>0.20540601099307301</v>
      </c>
      <c r="M25" s="47"/>
      <c r="N25" s="47"/>
    </row>
    <row r="26" spans="2:14" ht="15.75" thickBot="1" x14ac:dyDescent="0.3">
      <c r="B26" s="43">
        <v>32</v>
      </c>
      <c r="C26" s="47"/>
      <c r="D26" s="44">
        <v>0.16419582370107011</v>
      </c>
      <c r="E26" s="47"/>
      <c r="F26" s="44">
        <v>0.3392002907861878</v>
      </c>
      <c r="G26" s="47"/>
      <c r="H26" s="44">
        <v>0.38501867996340516</v>
      </c>
      <c r="I26" s="47"/>
      <c r="J26" s="44">
        <v>0.10833288252121927</v>
      </c>
      <c r="K26" s="47"/>
      <c r="L26" s="44">
        <v>0.27324610630010632</v>
      </c>
      <c r="M26" s="47"/>
      <c r="N26" s="47"/>
    </row>
    <row r="27" spans="2:14" ht="15.75" thickBot="1" x14ac:dyDescent="0.3">
      <c r="B27" s="43">
        <v>33</v>
      </c>
      <c r="C27" s="47"/>
      <c r="D27" s="44">
        <v>0.18870169887062208</v>
      </c>
      <c r="E27" s="47"/>
      <c r="F27" s="44">
        <v>0.41065233450506566</v>
      </c>
      <c r="G27" s="47"/>
      <c r="H27" s="44">
        <v>0.27401277989355188</v>
      </c>
      <c r="I27" s="47"/>
      <c r="J27" s="44">
        <v>7.3000955770680748E-2</v>
      </c>
      <c r="K27" s="47"/>
      <c r="L27" s="44">
        <v>0.24745312771149272</v>
      </c>
      <c r="M27" s="47"/>
      <c r="N27" s="47"/>
    </row>
    <row r="28" spans="2:14" ht="15.75" thickBot="1" x14ac:dyDescent="0.3">
      <c r="B28" s="43">
        <v>34</v>
      </c>
      <c r="C28" s="47"/>
      <c r="D28" s="44">
        <v>0.13692864276036304</v>
      </c>
      <c r="E28" s="47"/>
      <c r="F28" s="44">
        <v>0.15169533961757323</v>
      </c>
      <c r="G28" s="47"/>
      <c r="H28" s="44">
        <v>0.31404464669536269</v>
      </c>
      <c r="I28" s="47"/>
      <c r="J28" s="44">
        <v>4.6096243556262927E-2</v>
      </c>
      <c r="K28" s="47"/>
      <c r="L28" s="44">
        <v>0.17986247001610783</v>
      </c>
      <c r="M28" s="47"/>
      <c r="N28" s="47"/>
    </row>
    <row r="29" spans="2:14" ht="15.75" thickBot="1" x14ac:dyDescent="0.3">
      <c r="B29" s="43">
        <v>35</v>
      </c>
      <c r="C29" s="47"/>
      <c r="D29" s="44">
        <v>4.7080788104326782E-2</v>
      </c>
      <c r="E29" s="47"/>
      <c r="F29" s="44">
        <v>0.14215558173023635</v>
      </c>
      <c r="G29" s="47"/>
      <c r="H29" s="44">
        <v>0.20826161691130313</v>
      </c>
      <c r="I29" s="47"/>
      <c r="J29" s="44">
        <v>0.13320948692011367</v>
      </c>
      <c r="K29" s="47"/>
      <c r="L29" s="44">
        <v>0.1445229721667462</v>
      </c>
      <c r="M29" s="47"/>
      <c r="N29" s="47"/>
    </row>
    <row r="30" spans="2:14" ht="15.75" thickBot="1" x14ac:dyDescent="0.3">
      <c r="B30" s="43">
        <v>36</v>
      </c>
      <c r="C30" s="47"/>
      <c r="D30" s="46">
        <v>2.5861518752717968E-2</v>
      </c>
      <c r="E30" s="47"/>
      <c r="F30" s="46">
        <v>4.1776588079272772E-2</v>
      </c>
      <c r="G30" s="47"/>
      <c r="H30" s="46">
        <v>0</v>
      </c>
      <c r="I30" s="47"/>
      <c r="J30" s="46">
        <v>0</v>
      </c>
      <c r="K30" s="47"/>
      <c r="L30" s="46">
        <v>1.7958192604180613E-2</v>
      </c>
      <c r="M30" s="47"/>
      <c r="N30" s="45"/>
    </row>
    <row r="31" spans="2:14" ht="15.75" thickBot="1" x14ac:dyDescent="0.3">
      <c r="B31" s="43">
        <v>37</v>
      </c>
      <c r="C31" s="45"/>
      <c r="D31" s="47">
        <v>4.6546275256811681E-2</v>
      </c>
      <c r="E31" s="45"/>
      <c r="F31" s="47">
        <v>2.5208000000000001E-2</v>
      </c>
      <c r="G31" s="45"/>
      <c r="H31" s="47">
        <v>1.35E-2</v>
      </c>
      <c r="I31" s="45"/>
      <c r="J31" s="47">
        <v>0</v>
      </c>
      <c r="K31" s="45"/>
      <c r="L31" s="47">
        <v>2.0049168233544599E-2</v>
      </c>
      <c r="M31" s="45"/>
      <c r="N31" s="45"/>
    </row>
    <row r="32" spans="2:14" ht="15.75" thickBot="1" x14ac:dyDescent="0.3"/>
    <row r="33" spans="1:14" x14ac:dyDescent="0.25">
      <c r="A33" t="s">
        <v>49</v>
      </c>
      <c r="B33" s="4"/>
      <c r="C33" s="92" t="s">
        <v>25</v>
      </c>
      <c r="D33" s="111"/>
      <c r="E33" s="93"/>
      <c r="F33" s="15"/>
      <c r="G33" s="92" t="s">
        <v>28</v>
      </c>
      <c r="H33" s="111"/>
      <c r="I33" s="93"/>
    </row>
    <row r="34" spans="1:14" ht="38.25" x14ac:dyDescent="0.25">
      <c r="B34" s="5"/>
      <c r="C34" s="94" t="s">
        <v>26</v>
      </c>
      <c r="D34" s="112"/>
      <c r="E34" s="95"/>
      <c r="F34" s="14" t="s">
        <v>27</v>
      </c>
      <c r="G34" s="94"/>
      <c r="H34" s="113"/>
      <c r="I34" s="95"/>
    </row>
    <row r="35" spans="1:14" ht="15.75" thickBot="1" x14ac:dyDescent="0.3">
      <c r="B35" s="5"/>
      <c r="C35" s="98"/>
      <c r="D35" s="106"/>
      <c r="E35" s="99"/>
      <c r="F35" s="22"/>
      <c r="G35" s="96"/>
      <c r="H35" s="114"/>
      <c r="I35" s="97"/>
    </row>
    <row r="36" spans="1:14" x14ac:dyDescent="0.25">
      <c r="B36" s="5" t="s">
        <v>10</v>
      </c>
      <c r="C36" s="88" t="s">
        <v>15</v>
      </c>
      <c r="D36" s="88" t="s">
        <v>16</v>
      </c>
      <c r="E36" s="115" t="s">
        <v>29</v>
      </c>
      <c r="F36" s="22"/>
      <c r="G36" s="117" t="s">
        <v>30</v>
      </c>
      <c r="H36" s="117" t="s">
        <v>31</v>
      </c>
      <c r="I36" s="27" t="s">
        <v>20</v>
      </c>
    </row>
    <row r="37" spans="1:14" ht="15.75" thickBot="1" x14ac:dyDescent="0.3">
      <c r="B37" s="6"/>
      <c r="C37" s="89"/>
      <c r="D37" s="89"/>
      <c r="E37" s="116"/>
      <c r="F37" s="13"/>
      <c r="G37" s="118"/>
      <c r="H37" s="118"/>
      <c r="I37" s="28" t="s">
        <v>32</v>
      </c>
    </row>
    <row r="38" spans="1:14" ht="26.25" thickBot="1" x14ac:dyDescent="0.3">
      <c r="B38" s="11" t="s">
        <v>54</v>
      </c>
      <c r="C38" s="52">
        <f>'Total Number Of Ind'!H7</f>
        <v>16</v>
      </c>
      <c r="D38" s="52">
        <f>'Total Number Of Ind'!I7</f>
        <v>104</v>
      </c>
      <c r="E38" s="52">
        <f>C38+D38</f>
        <v>120</v>
      </c>
      <c r="F38" s="52">
        <v>6</v>
      </c>
      <c r="G38" s="26">
        <f>C38/F38</f>
        <v>2.6666666666666665</v>
      </c>
      <c r="H38" s="26">
        <f>D38/F38</f>
        <v>17.333333333333332</v>
      </c>
      <c r="I38" s="26">
        <f>E38/F38</f>
        <v>20</v>
      </c>
    </row>
    <row r="39" spans="1:14" ht="26.25" thickBot="1" x14ac:dyDescent="0.3">
      <c r="B39" s="11" t="s">
        <v>55</v>
      </c>
      <c r="C39" s="52">
        <f>'Total Number Of Ind'!H6</f>
        <v>44</v>
      </c>
      <c r="D39" s="52">
        <f>'Total Number Of Ind'!I6</f>
        <v>665</v>
      </c>
      <c r="E39" s="52">
        <f>C39+D39</f>
        <v>709</v>
      </c>
      <c r="F39" s="52">
        <v>10</v>
      </c>
      <c r="G39" s="26">
        <f t="shared" ref="G39:G44" si="3">C39/F39</f>
        <v>4.4000000000000004</v>
      </c>
      <c r="H39" s="26">
        <f>D39/F39</f>
        <v>66.5</v>
      </c>
      <c r="I39" s="26">
        <f>E39/F39</f>
        <v>70.900000000000006</v>
      </c>
    </row>
    <row r="40" spans="1:14" ht="26.25" thickBot="1" x14ac:dyDescent="0.3">
      <c r="B40" s="11" t="s">
        <v>57</v>
      </c>
      <c r="C40" s="52">
        <f>'Total Number Of Ind'!H8</f>
        <v>29</v>
      </c>
      <c r="D40" s="52">
        <f>'Total Number Of Ind'!I8</f>
        <v>902</v>
      </c>
      <c r="E40" s="52">
        <f>C40+D40</f>
        <v>931</v>
      </c>
      <c r="F40" s="52">
        <v>15</v>
      </c>
      <c r="G40" s="26">
        <f t="shared" si="3"/>
        <v>1.9333333333333333</v>
      </c>
      <c r="H40" s="26">
        <f>D40/F40</f>
        <v>60.133333333333333</v>
      </c>
      <c r="I40" s="26">
        <f>E40/F40</f>
        <v>62.06666666666667</v>
      </c>
    </row>
    <row r="41" spans="1:14" ht="26.25" thickBot="1" x14ac:dyDescent="0.3">
      <c r="B41" s="11" t="s">
        <v>56</v>
      </c>
      <c r="C41" s="52">
        <f>'Total Number Of Ind'!H9</f>
        <v>2</v>
      </c>
      <c r="D41" s="52">
        <f>'Total Number Of Ind'!I9</f>
        <v>110</v>
      </c>
      <c r="E41" s="52">
        <f>C41+D41</f>
        <v>112</v>
      </c>
      <c r="F41" s="52">
        <v>8</v>
      </c>
      <c r="G41" s="26">
        <f t="shared" si="3"/>
        <v>0.25</v>
      </c>
      <c r="H41" s="26">
        <f>D41/F41</f>
        <v>13.75</v>
      </c>
      <c r="I41" s="26">
        <f>E41/F41</f>
        <v>14</v>
      </c>
    </row>
    <row r="42" spans="1:14" ht="26.25" thickBot="1" x14ac:dyDescent="0.3">
      <c r="B42" s="11" t="s">
        <v>22</v>
      </c>
      <c r="C42" s="52">
        <f>SUM(C38:C41)</f>
        <v>91</v>
      </c>
      <c r="D42" s="52">
        <f>SUM(D38:D41)</f>
        <v>1781</v>
      </c>
      <c r="E42" s="52">
        <f>SUM(E38:E41)</f>
        <v>1872</v>
      </c>
      <c r="F42" s="52">
        <f>SUM(F38:F41)</f>
        <v>39</v>
      </c>
      <c r="G42" s="26">
        <f t="shared" si="3"/>
        <v>2.3333333333333335</v>
      </c>
      <c r="H42" s="26">
        <f>D42/F42</f>
        <v>45.666666666666664</v>
      </c>
      <c r="I42" s="26">
        <f>E42/F42</f>
        <v>48</v>
      </c>
    </row>
    <row r="43" spans="1:14" ht="15.75" thickBot="1" x14ac:dyDescent="0.3">
      <c r="B43" s="11"/>
      <c r="C43" s="52"/>
      <c r="D43" s="52"/>
      <c r="E43" s="52"/>
      <c r="F43" s="52"/>
      <c r="G43" s="26"/>
      <c r="H43" s="26"/>
      <c r="I43" s="26"/>
    </row>
    <row r="44" spans="1:14" ht="15.75" thickBot="1" x14ac:dyDescent="0.3">
      <c r="B44" s="11" t="s">
        <v>9</v>
      </c>
      <c r="C44" s="52">
        <f>'Total Number Of Ind'!H5</f>
        <v>132</v>
      </c>
      <c r="D44" s="52">
        <f>'Total Number Of Ind'!I5</f>
        <v>907</v>
      </c>
      <c r="E44" s="52">
        <f>C44+D44</f>
        <v>1039</v>
      </c>
      <c r="F44" s="52">
        <v>28</v>
      </c>
      <c r="G44" s="26">
        <f t="shared" si="3"/>
        <v>4.7142857142857144</v>
      </c>
      <c r="H44" s="26">
        <f>D44/F44</f>
        <v>32.392857142857146</v>
      </c>
      <c r="I44" s="26">
        <f>E44/F44</f>
        <v>37.107142857142854</v>
      </c>
    </row>
    <row r="45" spans="1:14" ht="15.75" thickBot="1" x14ac:dyDescent="0.3">
      <c r="B45" s="11" t="s">
        <v>112</v>
      </c>
      <c r="C45" s="52">
        <f>'Total Number Of Ind'!H10</f>
        <v>7</v>
      </c>
      <c r="D45" s="52">
        <f>'Total Number Of Ind'!I10</f>
        <v>302</v>
      </c>
      <c r="E45" s="52">
        <f>C45+D45</f>
        <v>309</v>
      </c>
      <c r="F45" s="52">
        <v>5</v>
      </c>
      <c r="G45" s="26">
        <f>C45/F45</f>
        <v>1.4</v>
      </c>
      <c r="H45" s="26">
        <f>D45/F45</f>
        <v>60.4</v>
      </c>
      <c r="I45" s="26">
        <f>E45/F45</f>
        <v>61.8</v>
      </c>
    </row>
    <row r="46" spans="1:14" ht="15.75" thickBot="1" x14ac:dyDescent="0.3"/>
    <row r="47" spans="1:14" x14ac:dyDescent="0.25">
      <c r="A47" t="s">
        <v>50</v>
      </c>
      <c r="B47" s="16"/>
      <c r="C47" s="107" t="s">
        <v>54</v>
      </c>
      <c r="D47" s="108"/>
      <c r="E47" s="107" t="s">
        <v>55</v>
      </c>
      <c r="F47" s="108"/>
      <c r="G47" s="107" t="s">
        <v>57</v>
      </c>
      <c r="H47" s="108"/>
      <c r="I47" s="107" t="s">
        <v>56</v>
      </c>
      <c r="J47" s="108"/>
      <c r="K47" s="107" t="s">
        <v>22</v>
      </c>
      <c r="L47" s="108"/>
      <c r="M47" s="19"/>
      <c r="N47" s="56"/>
    </row>
    <row r="48" spans="1:14" ht="15.75" thickBot="1" x14ac:dyDescent="0.3">
      <c r="B48" s="17"/>
      <c r="C48" s="109"/>
      <c r="D48" s="110"/>
      <c r="E48" s="109"/>
      <c r="F48" s="110"/>
      <c r="G48" s="109"/>
      <c r="H48" s="110"/>
      <c r="I48" s="109"/>
      <c r="J48" s="110"/>
      <c r="K48" s="109"/>
      <c r="L48" s="110"/>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v>20</v>
      </c>
      <c r="D55" s="48">
        <v>54.639747474747473</v>
      </c>
      <c r="E55" s="30">
        <v>70.900000000000006</v>
      </c>
      <c r="F55" s="48">
        <v>84.6141414141414</v>
      </c>
      <c r="G55" s="30">
        <v>62.06666666666667</v>
      </c>
      <c r="H55" s="48">
        <v>69.598831168831168</v>
      </c>
      <c r="I55" s="30">
        <v>14</v>
      </c>
      <c r="J55" s="48">
        <v>21.603434343434344</v>
      </c>
      <c r="K55" s="30">
        <v>48</v>
      </c>
      <c r="L55" s="48">
        <v>60.597046963833684</v>
      </c>
      <c r="M55" s="30">
        <v>37.107142857142854</v>
      </c>
      <c r="N55" s="30">
        <v>61.8</v>
      </c>
    </row>
    <row r="56" spans="1:14" ht="15.75" thickBot="1" x14ac:dyDescent="0.3">
      <c r="B56" s="18">
        <v>30</v>
      </c>
      <c r="C56" s="30"/>
      <c r="D56" s="48">
        <v>51.957474747474748</v>
      </c>
      <c r="E56" s="30"/>
      <c r="F56" s="48">
        <v>122.24141414141414</v>
      </c>
      <c r="G56" s="30"/>
      <c r="H56" s="48">
        <v>82.01917748917748</v>
      </c>
      <c r="I56" s="30"/>
      <c r="J56" s="48">
        <v>18.65383838383838</v>
      </c>
      <c r="K56" s="30"/>
      <c r="L56" s="48">
        <v>72.325490284908881</v>
      </c>
      <c r="M56" s="30"/>
      <c r="N56" s="30"/>
    </row>
    <row r="57" spans="1:14" ht="15.75" thickBot="1" x14ac:dyDescent="0.3">
      <c r="B57" s="18">
        <v>31</v>
      </c>
      <c r="C57" s="30"/>
      <c r="D57" s="48">
        <v>66.090606060606078</v>
      </c>
      <c r="E57" s="30"/>
      <c r="F57" s="48">
        <v>98.826446280991732</v>
      </c>
      <c r="G57" s="30"/>
      <c r="H57" s="48">
        <v>59.888295038295034</v>
      </c>
      <c r="I57" s="30"/>
      <c r="J57" s="48">
        <v>17.796079365079368</v>
      </c>
      <c r="K57" s="30"/>
      <c r="L57" s="48">
        <v>65.300227970723697</v>
      </c>
      <c r="M57" s="30"/>
      <c r="N57" s="30"/>
    </row>
    <row r="58" spans="1:14" ht="15.75" thickBot="1" x14ac:dyDescent="0.3">
      <c r="B58" s="18">
        <v>32</v>
      </c>
      <c r="C58" s="30"/>
      <c r="D58" s="48">
        <v>43.194444444444436</v>
      </c>
      <c r="E58" s="30"/>
      <c r="F58" s="48">
        <v>70.397979797979801</v>
      </c>
      <c r="G58" s="30"/>
      <c r="H58" s="48">
        <v>52.874688644688646</v>
      </c>
      <c r="I58" s="30"/>
      <c r="J58" s="48">
        <v>15.110151515151516</v>
      </c>
      <c r="K58" s="30"/>
      <c r="L58" s="48">
        <v>47.38993817669293</v>
      </c>
      <c r="M58" s="30"/>
      <c r="N58" s="30"/>
    </row>
    <row r="59" spans="1:14" ht="15.75" thickBot="1" x14ac:dyDescent="0.3">
      <c r="A59" s="31"/>
      <c r="B59" s="18">
        <v>33</v>
      </c>
      <c r="C59" s="30"/>
      <c r="D59" s="48">
        <v>29.544</v>
      </c>
      <c r="E59" s="30"/>
      <c r="F59" s="48">
        <v>58.413131313131316</v>
      </c>
      <c r="G59" s="30"/>
      <c r="H59" s="48">
        <v>36.888614718614718</v>
      </c>
      <c r="I59" s="30"/>
      <c r="J59" s="48">
        <v>9.2335555555555562</v>
      </c>
      <c r="K59" s="30"/>
      <c r="L59" s="48">
        <v>36.261287111451601</v>
      </c>
      <c r="M59" s="30"/>
      <c r="N59" s="30"/>
    </row>
    <row r="60" spans="1:14" ht="15.75" thickBot="1" x14ac:dyDescent="0.3">
      <c r="B60" s="18">
        <v>34</v>
      </c>
      <c r="C60" s="30"/>
      <c r="D60" s="48">
        <v>19.157031746031741</v>
      </c>
      <c r="E60" s="30"/>
      <c r="F60" s="48">
        <v>41.746212121212125</v>
      </c>
      <c r="G60" s="30"/>
      <c r="H60" s="48">
        <v>24.611904761904761</v>
      </c>
      <c r="I60" s="30"/>
      <c r="J60" s="48">
        <v>6.8003333333333327</v>
      </c>
      <c r="K60" s="30"/>
      <c r="L60" s="48">
        <v>25.011849640077763</v>
      </c>
      <c r="M60" s="30"/>
      <c r="N60" s="30"/>
    </row>
    <row r="61" spans="1:14" ht="15.75" thickBot="1" x14ac:dyDescent="0.3">
      <c r="B61" s="18">
        <v>35</v>
      </c>
      <c r="C61" s="30"/>
      <c r="D61" s="48">
        <v>8.7274444444444441</v>
      </c>
      <c r="E61" s="30"/>
      <c r="F61" s="48">
        <v>18.967388167388165</v>
      </c>
      <c r="G61" s="30"/>
      <c r="H61" s="48">
        <v>12.713290043290044</v>
      </c>
      <c r="I61" s="30"/>
      <c r="J61" s="48">
        <v>3.7185396825396828</v>
      </c>
      <c r="K61" s="30"/>
      <c r="L61" s="48">
        <v>11.601285362462235</v>
      </c>
      <c r="M61" s="30"/>
      <c r="N61" s="30"/>
    </row>
    <row r="62" spans="1:14" ht="15.75" thickBot="1" x14ac:dyDescent="0.3">
      <c r="B62" s="18">
        <v>36</v>
      </c>
      <c r="C62" s="30"/>
      <c r="D62" s="49">
        <v>11.002222222222221</v>
      </c>
      <c r="E62" s="30"/>
      <c r="F62" s="49">
        <v>22.15</v>
      </c>
      <c r="G62" s="30"/>
      <c r="H62" s="49">
        <v>6.7316666666666665</v>
      </c>
      <c r="I62" s="30"/>
      <c r="J62" s="49">
        <v>3.1111111111111112</v>
      </c>
      <c r="K62" s="30"/>
      <c r="L62" s="49">
        <v>10.453837209302325</v>
      </c>
      <c r="M62" s="30"/>
      <c r="N62" s="58"/>
    </row>
    <row r="63" spans="1:14" ht="15.75" thickBot="1" x14ac:dyDescent="0.3">
      <c r="B63" s="18">
        <v>37</v>
      </c>
      <c r="C63" s="21"/>
      <c r="D63" s="49">
        <v>12.057777777777778</v>
      </c>
      <c r="E63" s="21"/>
      <c r="F63" s="49">
        <v>10.600000000000001</v>
      </c>
      <c r="G63" s="21"/>
      <c r="H63" s="49">
        <v>4.8016666666666667</v>
      </c>
      <c r="I63" s="21"/>
      <c r="J63" s="49">
        <v>1.5572222222222223</v>
      </c>
      <c r="K63" s="21"/>
      <c r="L63" s="49">
        <v>6.9883720930232558</v>
      </c>
      <c r="M63" s="21"/>
      <c r="N63" s="58"/>
    </row>
    <row r="64" spans="1:14" ht="15.75" thickBot="1" x14ac:dyDescent="0.3"/>
    <row r="65" spans="1:20" x14ac:dyDescent="0.25">
      <c r="A65" t="s">
        <v>51</v>
      </c>
      <c r="B65" s="16"/>
      <c r="C65" s="107" t="s">
        <v>34</v>
      </c>
      <c r="D65" s="119"/>
      <c r="E65" s="108"/>
      <c r="F65" s="107" t="s">
        <v>35</v>
      </c>
      <c r="G65" s="119"/>
      <c r="H65" s="108"/>
      <c r="I65" s="107" t="s">
        <v>33</v>
      </c>
      <c r="J65" s="119"/>
      <c r="K65" s="108"/>
      <c r="L65" s="107" t="s">
        <v>37</v>
      </c>
      <c r="M65" s="119"/>
      <c r="N65" s="108"/>
      <c r="Q65" s="54"/>
      <c r="R65" s="63"/>
    </row>
    <row r="66" spans="1:20" x14ac:dyDescent="0.25">
      <c r="B66" s="17"/>
      <c r="C66" s="120"/>
      <c r="D66" s="121"/>
      <c r="E66" s="122"/>
      <c r="F66" s="120"/>
      <c r="G66" s="121"/>
      <c r="H66" s="122"/>
      <c r="I66" s="120" t="s">
        <v>36</v>
      </c>
      <c r="J66" s="124"/>
      <c r="K66" s="122"/>
      <c r="L66" s="120"/>
      <c r="M66" s="121"/>
      <c r="N66" s="122"/>
      <c r="Q66" s="54"/>
      <c r="R66" s="63"/>
    </row>
    <row r="67" spans="1:20" ht="15.75" thickBot="1" x14ac:dyDescent="0.3">
      <c r="B67" s="17"/>
      <c r="C67" s="109"/>
      <c r="D67" s="123"/>
      <c r="E67" s="110"/>
      <c r="F67" s="109"/>
      <c r="G67" s="123"/>
      <c r="H67" s="110"/>
      <c r="I67" s="98"/>
      <c r="J67" s="106"/>
      <c r="K67" s="99"/>
      <c r="L67" s="109"/>
      <c r="M67" s="123"/>
      <c r="N67" s="110"/>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27</v>
      </c>
      <c r="D69" s="52">
        <f>'Total Number Ind Examined '!J8</f>
        <v>104</v>
      </c>
      <c r="E69" s="52">
        <f>C69+D69</f>
        <v>131</v>
      </c>
      <c r="F69" s="53">
        <f>'Total Number of Pools Examined'!H8</f>
        <v>4</v>
      </c>
      <c r="G69" s="53">
        <f>'Total Number of Pools Examined'!I8</f>
        <v>7</v>
      </c>
      <c r="H69" s="53">
        <f>F69+G69</f>
        <v>11</v>
      </c>
      <c r="I69" s="53">
        <f>'Total Number of WNV + Pools'!G7</f>
        <v>0</v>
      </c>
      <c r="J69" s="53">
        <f>'Total Number of WNV + Pools'!H7</f>
        <v>0</v>
      </c>
      <c r="K69" s="53">
        <f>'Total Number of WNV + Pools'!I7</f>
        <v>0</v>
      </c>
      <c r="L69" s="30">
        <f>ZONEINFRATE!C2</f>
        <v>0</v>
      </c>
      <c r="M69" s="30">
        <f>ZONEINFRATE!C3</f>
        <v>0</v>
      </c>
      <c r="N69" s="30">
        <v>0</v>
      </c>
      <c r="P69" t="s">
        <v>109</v>
      </c>
      <c r="R69" s="31"/>
      <c r="S69" s="31"/>
      <c r="T69" s="31"/>
    </row>
    <row r="70" spans="1:20" ht="24.75" thickBot="1" x14ac:dyDescent="0.3">
      <c r="B70" s="18" t="s">
        <v>55</v>
      </c>
      <c r="C70" s="52">
        <f>'Total Number Ind Examined '!I7</f>
        <v>50</v>
      </c>
      <c r="D70" s="52">
        <f>'Total Number Ind Examined '!J7</f>
        <v>665</v>
      </c>
      <c r="E70" s="52">
        <f>C70+D70</f>
        <v>715</v>
      </c>
      <c r="F70" s="53">
        <f>'Total Number of Pools Examined'!H7</f>
        <v>7</v>
      </c>
      <c r="G70" s="53">
        <f>'Total Number of Pools Examined'!I7</f>
        <v>17</v>
      </c>
      <c r="H70" s="53">
        <f>F70+G70</f>
        <v>24</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132</v>
      </c>
      <c r="D71" s="52">
        <f>'Total Number Ind Examined '!J9</f>
        <v>906</v>
      </c>
      <c r="E71" s="52">
        <f>C71+D71</f>
        <v>1038</v>
      </c>
      <c r="F71" s="53">
        <f>'Total Number of Pools Examined'!H9</f>
        <v>9</v>
      </c>
      <c r="G71" s="53">
        <f>'Total Number of Pools Examined'!I9</f>
        <v>25</v>
      </c>
      <c r="H71" s="53">
        <f>F71+G71</f>
        <v>34</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8</v>
      </c>
      <c r="D72" s="52">
        <f>'Total Number Ind Examined '!J10</f>
        <v>110</v>
      </c>
      <c r="E72" s="52">
        <f>C72+D72</f>
        <v>118</v>
      </c>
      <c r="F72" s="53">
        <f>'Total Number of Pools Examined'!H10</f>
        <v>2</v>
      </c>
      <c r="G72" s="53">
        <f>'Total Number of Pools Examined'!I10</f>
        <v>7</v>
      </c>
      <c r="H72" s="53">
        <f>F72+G72</f>
        <v>9</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217</v>
      </c>
      <c r="D73" s="52">
        <f>SUM(D69:D72)</f>
        <v>1785</v>
      </c>
      <c r="E73" s="52">
        <f>C73+D73</f>
        <v>2002</v>
      </c>
      <c r="F73" s="53">
        <f t="shared" ref="F73:K73" si="4">SUM(F69:F72)</f>
        <v>22</v>
      </c>
      <c r="G73" s="53">
        <f t="shared" si="4"/>
        <v>56</v>
      </c>
      <c r="H73" s="53">
        <f>F73+G73</f>
        <v>78</v>
      </c>
      <c r="I73" s="53">
        <f t="shared" si="4"/>
        <v>0</v>
      </c>
      <c r="J73" s="53">
        <f t="shared" si="4"/>
        <v>0</v>
      </c>
      <c r="K73" s="53">
        <f t="shared" si="4"/>
        <v>0</v>
      </c>
      <c r="L73" s="30">
        <f>CITYINFRATE!C2</f>
        <v>0</v>
      </c>
      <c r="M73" s="30">
        <f>CITYINFRATE!C3</f>
        <v>0</v>
      </c>
      <c r="N73" s="30">
        <v>0</v>
      </c>
      <c r="P73" s="31" t="s">
        <v>108</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3</v>
      </c>
      <c r="D75" s="53">
        <f>'Total Number Ind Examined '!J6</f>
        <v>316</v>
      </c>
      <c r="E75" s="53">
        <f>C75+D75</f>
        <v>319</v>
      </c>
      <c r="F75" s="53">
        <f>'Total Number of Pools Examined'!H6</f>
        <v>1</v>
      </c>
      <c r="G75" s="53">
        <f>'Total Number of Pools Examined'!I6</f>
        <v>9</v>
      </c>
      <c r="H75" s="53">
        <f>F75+G75</f>
        <v>10</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112</v>
      </c>
      <c r="C76" s="53">
        <f>'Total Number Ind Examined '!I11</f>
        <v>7</v>
      </c>
      <c r="D76" s="53">
        <f>'Total Number Ind Examined '!J11</f>
        <v>302</v>
      </c>
      <c r="E76" s="53">
        <f>C76+D76</f>
        <v>309</v>
      </c>
      <c r="F76" s="53">
        <f>'Total Number of Pools Examined'!H11</f>
        <v>1</v>
      </c>
      <c r="G76" s="53">
        <f>'Total Number of Pools Examined'!I11</f>
        <v>9</v>
      </c>
      <c r="H76" s="53">
        <f>F76+G76</f>
        <v>10</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107" t="s">
        <v>54</v>
      </c>
      <c r="D78" s="108"/>
      <c r="E78" s="107" t="s">
        <v>55</v>
      </c>
      <c r="F78" s="108"/>
      <c r="G78" s="107" t="s">
        <v>57</v>
      </c>
      <c r="H78" s="108"/>
      <c r="I78" s="107" t="s">
        <v>56</v>
      </c>
      <c r="J78" s="108"/>
      <c r="K78" s="107" t="s">
        <v>22</v>
      </c>
      <c r="L78" s="108"/>
      <c r="M78" s="19"/>
      <c r="N78" s="56"/>
      <c r="S78" s="31"/>
    </row>
    <row r="79" spans="1:20" ht="15.75" thickBot="1" x14ac:dyDescent="0.3">
      <c r="B79" s="17"/>
      <c r="C79" s="109"/>
      <c r="D79" s="110"/>
      <c r="E79" s="109"/>
      <c r="F79" s="110"/>
      <c r="G79" s="109"/>
      <c r="H79" s="110"/>
      <c r="I79" s="109"/>
      <c r="J79" s="110"/>
      <c r="K79" s="109"/>
      <c r="L79" s="110"/>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v>0</v>
      </c>
      <c r="D86" s="50">
        <v>1.6687095307346815</v>
      </c>
      <c r="E86" s="30">
        <v>0</v>
      </c>
      <c r="F86" s="50">
        <v>1.2507548575258618</v>
      </c>
      <c r="G86" s="30">
        <v>0</v>
      </c>
      <c r="H86" s="50">
        <v>2.8111980103345364</v>
      </c>
      <c r="I86" s="30">
        <v>0</v>
      </c>
      <c r="J86" s="50">
        <v>0.95553120782386325</v>
      </c>
      <c r="K86" s="30">
        <v>0</v>
      </c>
      <c r="L86" s="50">
        <v>1.8253162555598748</v>
      </c>
      <c r="M86" s="30">
        <v>0</v>
      </c>
      <c r="N86" s="30">
        <v>0</v>
      </c>
    </row>
    <row r="87" spans="2:16" ht="15.75" thickBot="1" x14ac:dyDescent="0.3">
      <c r="B87" s="18">
        <v>30</v>
      </c>
      <c r="C87" s="30"/>
      <c r="D87" s="50">
        <v>2.5322173403673207</v>
      </c>
      <c r="E87" s="30"/>
      <c r="F87" s="50">
        <v>1.8860481685571775</v>
      </c>
      <c r="G87" s="30"/>
      <c r="H87" s="50">
        <v>4.4741714440776486</v>
      </c>
      <c r="I87" s="30"/>
      <c r="J87" s="50">
        <v>2.9442672357644679</v>
      </c>
      <c r="K87" s="30"/>
      <c r="L87" s="50">
        <v>2.9927162013616315</v>
      </c>
      <c r="M87" s="30"/>
      <c r="N87" s="30"/>
    </row>
    <row r="88" spans="2:16" ht="15.75" thickBot="1" x14ac:dyDescent="0.3">
      <c r="B88" s="18">
        <v>31</v>
      </c>
      <c r="C88" s="30"/>
      <c r="D88" s="50">
        <v>4.0287896661990432</v>
      </c>
      <c r="E88" s="30"/>
      <c r="F88" s="50">
        <v>2.1836936507916049</v>
      </c>
      <c r="G88" s="30"/>
      <c r="H88" s="50">
        <v>4.6416948205161583</v>
      </c>
      <c r="I88" s="30"/>
      <c r="J88" s="50">
        <v>3.3338616711096623</v>
      </c>
      <c r="K88" s="30"/>
      <c r="L88" s="50">
        <v>3.4216226302893888</v>
      </c>
      <c r="M88" s="30"/>
      <c r="N88" s="30"/>
    </row>
    <row r="89" spans="2:16" ht="15.75" thickBot="1" x14ac:dyDescent="0.3">
      <c r="B89" s="18">
        <v>32</v>
      </c>
      <c r="C89" s="30"/>
      <c r="D89" s="50">
        <v>4.2052013030789741</v>
      </c>
      <c r="E89" s="30"/>
      <c r="F89" s="50">
        <v>6.0876753776149366</v>
      </c>
      <c r="G89" s="30"/>
      <c r="H89" s="50">
        <v>8.1450216800139241</v>
      </c>
      <c r="I89" s="30"/>
      <c r="J89" s="50">
        <v>10.168546857553956</v>
      </c>
      <c r="K89" s="30"/>
      <c r="L89" s="50">
        <v>6.2576537019252463</v>
      </c>
      <c r="M89" s="30"/>
      <c r="N89" s="30"/>
    </row>
    <row r="90" spans="2:16" ht="15.75" thickBot="1" x14ac:dyDescent="0.3">
      <c r="B90" s="18">
        <v>33</v>
      </c>
      <c r="C90" s="30"/>
      <c r="D90" s="50">
        <v>7.5557559654764654</v>
      </c>
      <c r="E90" s="30"/>
      <c r="F90" s="50">
        <v>7.1160569117854493</v>
      </c>
      <c r="G90" s="30"/>
      <c r="H90" s="50">
        <v>10.125551421735697</v>
      </c>
      <c r="I90" s="30"/>
      <c r="J90" s="50">
        <v>5.5014284829638518</v>
      </c>
      <c r="K90" s="30"/>
      <c r="L90" s="50">
        <v>8.2891179480654991</v>
      </c>
      <c r="M90" s="30"/>
      <c r="N90" s="30"/>
    </row>
    <row r="91" spans="2:16" ht="15.75" thickBot="1" x14ac:dyDescent="0.3">
      <c r="B91" s="18">
        <v>34</v>
      </c>
      <c r="C91" s="30"/>
      <c r="D91" s="50">
        <v>7.5146654315554207</v>
      </c>
      <c r="E91" s="30"/>
      <c r="F91" s="50">
        <v>4.2534614243031124</v>
      </c>
      <c r="G91" s="30"/>
      <c r="H91" s="50">
        <v>11.553235928058379</v>
      </c>
      <c r="I91" s="30"/>
      <c r="J91" s="50">
        <v>10.434117019439311</v>
      </c>
      <c r="K91" s="30"/>
      <c r="L91" s="50">
        <v>7.9367037472016841</v>
      </c>
      <c r="M91" s="30"/>
      <c r="N91" s="30"/>
      <c r="P91" s="31"/>
    </row>
    <row r="92" spans="2:16" ht="15.75" thickBot="1" x14ac:dyDescent="0.3">
      <c r="B92" s="18">
        <v>35</v>
      </c>
      <c r="C92" s="30"/>
      <c r="D92" s="50">
        <v>9.6979924998127061</v>
      </c>
      <c r="E92" s="30"/>
      <c r="F92" s="50">
        <v>5.9920261646490811</v>
      </c>
      <c r="G92" s="30"/>
      <c r="H92" s="50">
        <v>15.630470474373897</v>
      </c>
      <c r="I92" s="30"/>
      <c r="J92" s="50">
        <v>45.885908436928389</v>
      </c>
      <c r="K92" s="30"/>
      <c r="L92" s="50">
        <v>11.121404412424742</v>
      </c>
      <c r="M92" s="30"/>
      <c r="N92" s="30"/>
    </row>
    <row r="93" spans="2:16" ht="15.75" thickBot="1" x14ac:dyDescent="0.3">
      <c r="B93" s="18">
        <v>36</v>
      </c>
      <c r="C93" s="30"/>
      <c r="D93" s="51">
        <v>10.96</v>
      </c>
      <c r="E93" s="30"/>
      <c r="F93" s="51">
        <v>2.4300000000000002</v>
      </c>
      <c r="G93" s="30"/>
      <c r="H93" s="51">
        <v>0</v>
      </c>
      <c r="I93" s="30"/>
      <c r="J93" s="51">
        <v>0</v>
      </c>
      <c r="K93" s="30"/>
      <c r="L93" s="51">
        <v>1.68</v>
      </c>
      <c r="M93" s="30"/>
      <c r="N93" s="83"/>
    </row>
    <row r="94" spans="2:16" ht="15.75" thickBot="1" x14ac:dyDescent="0.3">
      <c r="B94" s="18">
        <v>37</v>
      </c>
      <c r="C94" s="83"/>
      <c r="D94" s="49">
        <v>2.2112860453990315</v>
      </c>
      <c r="E94" s="83"/>
      <c r="F94" s="49">
        <v>2.52</v>
      </c>
      <c r="G94" s="83"/>
      <c r="H94" s="49">
        <v>1.85</v>
      </c>
      <c r="I94" s="83"/>
      <c r="J94" s="49">
        <v>0</v>
      </c>
      <c r="K94" s="83"/>
      <c r="L94" s="49">
        <v>3.0122452035621778</v>
      </c>
      <c r="M94" s="83"/>
      <c r="N94" s="83"/>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zoomScaleNormal="100" workbookViewId="0"/>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2019</v>
      </c>
      <c r="B2" s="59" t="s">
        <v>306</v>
      </c>
      <c r="C2" s="59">
        <v>22733</v>
      </c>
      <c r="D2" s="60">
        <v>29</v>
      </c>
      <c r="E2" s="77">
        <v>43660</v>
      </c>
      <c r="F2" s="59" t="s">
        <v>99</v>
      </c>
      <c r="G2" s="59" t="s">
        <v>47</v>
      </c>
      <c r="H2" s="59" t="s">
        <v>173</v>
      </c>
      <c r="I2" s="55" t="s">
        <v>59</v>
      </c>
      <c r="J2" s="59" t="s">
        <v>100</v>
      </c>
      <c r="K2" s="59" t="s">
        <v>101</v>
      </c>
      <c r="L2" s="59" t="s">
        <v>132</v>
      </c>
      <c r="M2" s="59" t="s">
        <v>102</v>
      </c>
      <c r="N2" s="70"/>
      <c r="O2" s="70">
        <v>50</v>
      </c>
      <c r="P2" s="70">
        <v>50</v>
      </c>
      <c r="Q2" s="61">
        <v>0</v>
      </c>
      <c r="R2" s="55" t="s">
        <v>113</v>
      </c>
      <c r="T2" s="55" t="s">
        <v>161</v>
      </c>
      <c r="U2" s="55" t="s">
        <v>164</v>
      </c>
    </row>
    <row r="3" spans="1:28" s="55" customFormat="1" x14ac:dyDescent="0.2">
      <c r="A3" s="70">
        <v>2019</v>
      </c>
      <c r="B3" s="59" t="s">
        <v>307</v>
      </c>
      <c r="C3" s="59">
        <v>22734</v>
      </c>
      <c r="D3" s="60">
        <v>29</v>
      </c>
      <c r="E3" s="77">
        <v>43660</v>
      </c>
      <c r="F3" s="59" t="s">
        <v>99</v>
      </c>
      <c r="G3" s="59" t="s">
        <v>47</v>
      </c>
      <c r="H3" s="59" t="s">
        <v>173</v>
      </c>
      <c r="I3" s="55" t="s">
        <v>59</v>
      </c>
      <c r="J3" s="59" t="s">
        <v>100</v>
      </c>
      <c r="K3" s="59" t="s">
        <v>101</v>
      </c>
      <c r="L3" s="59" t="s">
        <v>132</v>
      </c>
      <c r="M3" s="59" t="s">
        <v>102</v>
      </c>
      <c r="N3" s="70"/>
      <c r="O3" s="70">
        <v>50</v>
      </c>
      <c r="P3" s="70">
        <v>50</v>
      </c>
      <c r="Q3" s="61">
        <v>0</v>
      </c>
      <c r="R3" s="55" t="s">
        <v>113</v>
      </c>
      <c r="T3" s="55" t="s">
        <v>161</v>
      </c>
      <c r="U3" s="55" t="s">
        <v>164</v>
      </c>
    </row>
    <row r="4" spans="1:28" s="55" customFormat="1" x14ac:dyDescent="0.2">
      <c r="A4" s="70">
        <v>2019</v>
      </c>
      <c r="B4" s="59" t="s">
        <v>308</v>
      </c>
      <c r="C4" s="59">
        <v>22735</v>
      </c>
      <c r="D4" s="60">
        <v>29</v>
      </c>
      <c r="E4" s="77">
        <v>43660</v>
      </c>
      <c r="F4" s="59" t="s">
        <v>99</v>
      </c>
      <c r="G4" s="59" t="s">
        <v>47</v>
      </c>
      <c r="H4" s="59" t="s">
        <v>173</v>
      </c>
      <c r="I4" s="55" t="s">
        <v>59</v>
      </c>
      <c r="J4" s="59" t="s">
        <v>100</v>
      </c>
      <c r="K4" s="59" t="s">
        <v>101</v>
      </c>
      <c r="L4" s="59" t="s">
        <v>132</v>
      </c>
      <c r="M4" s="59" t="s">
        <v>102</v>
      </c>
      <c r="N4" s="70"/>
      <c r="O4" s="70">
        <v>50</v>
      </c>
      <c r="P4" s="70">
        <v>50</v>
      </c>
      <c r="Q4" s="61">
        <v>0</v>
      </c>
      <c r="R4" s="55" t="s">
        <v>113</v>
      </c>
      <c r="T4" s="55" t="s">
        <v>161</v>
      </c>
      <c r="U4" s="55" t="s">
        <v>164</v>
      </c>
    </row>
    <row r="5" spans="1:28" s="55" customFormat="1" x14ac:dyDescent="0.2">
      <c r="A5" s="70">
        <v>2019</v>
      </c>
      <c r="B5" s="59" t="s">
        <v>309</v>
      </c>
      <c r="C5" s="59">
        <v>22736</v>
      </c>
      <c r="D5" s="60">
        <v>29</v>
      </c>
      <c r="E5" s="77">
        <v>43660</v>
      </c>
      <c r="F5" s="59" t="s">
        <v>99</v>
      </c>
      <c r="G5" s="59" t="s">
        <v>47</v>
      </c>
      <c r="H5" s="59" t="s">
        <v>173</v>
      </c>
      <c r="I5" s="55" t="s">
        <v>59</v>
      </c>
      <c r="J5" s="59" t="s">
        <v>100</v>
      </c>
      <c r="K5" s="59" t="s">
        <v>101</v>
      </c>
      <c r="L5" s="59" t="s">
        <v>132</v>
      </c>
      <c r="M5" s="59" t="s">
        <v>102</v>
      </c>
      <c r="N5" s="70"/>
      <c r="O5" s="70">
        <v>45</v>
      </c>
      <c r="P5" s="70">
        <v>45</v>
      </c>
      <c r="Q5" s="61">
        <v>0</v>
      </c>
      <c r="R5" s="55" t="s">
        <v>113</v>
      </c>
      <c r="T5" s="55" t="s">
        <v>161</v>
      </c>
      <c r="U5" s="55" t="s">
        <v>164</v>
      </c>
    </row>
    <row r="6" spans="1:28" s="55" customFormat="1" x14ac:dyDescent="0.2">
      <c r="A6" s="70">
        <v>2019</v>
      </c>
      <c r="B6" s="59" t="s">
        <v>310</v>
      </c>
      <c r="C6" s="59">
        <v>22737</v>
      </c>
      <c r="D6" s="60">
        <v>29</v>
      </c>
      <c r="E6" s="77">
        <v>43660</v>
      </c>
      <c r="F6" s="59" t="s">
        <v>99</v>
      </c>
      <c r="G6" s="59" t="s">
        <v>9</v>
      </c>
      <c r="H6" s="59" t="s">
        <v>232</v>
      </c>
      <c r="I6" s="55" t="s">
        <v>9</v>
      </c>
      <c r="J6" s="59" t="s">
        <v>100</v>
      </c>
      <c r="K6" s="59" t="s">
        <v>101</v>
      </c>
      <c r="L6" s="59" t="s">
        <v>132</v>
      </c>
      <c r="M6" s="59" t="s">
        <v>102</v>
      </c>
      <c r="N6" s="70"/>
      <c r="O6" s="70">
        <v>50</v>
      </c>
      <c r="P6" s="70">
        <v>50</v>
      </c>
      <c r="Q6" s="61">
        <v>0</v>
      </c>
      <c r="R6" s="55" t="s">
        <v>113</v>
      </c>
      <c r="T6" s="55" t="s">
        <v>160</v>
      </c>
      <c r="U6" s="55" t="s">
        <v>160</v>
      </c>
    </row>
    <row r="7" spans="1:28" s="55" customFormat="1" x14ac:dyDescent="0.2">
      <c r="A7" s="70">
        <v>2019</v>
      </c>
      <c r="B7" s="59" t="s">
        <v>311</v>
      </c>
      <c r="C7" s="59">
        <v>22738</v>
      </c>
      <c r="D7" s="60">
        <v>29</v>
      </c>
      <c r="E7" s="77">
        <v>43660</v>
      </c>
      <c r="F7" s="59" t="s">
        <v>99</v>
      </c>
      <c r="G7" s="59" t="s">
        <v>9</v>
      </c>
      <c r="H7" s="59" t="s">
        <v>232</v>
      </c>
      <c r="I7" s="55" t="s">
        <v>9</v>
      </c>
      <c r="J7" s="59" t="s">
        <v>100</v>
      </c>
      <c r="K7" s="59" t="s">
        <v>101</v>
      </c>
      <c r="L7" s="59" t="s">
        <v>132</v>
      </c>
      <c r="M7" s="59" t="s">
        <v>102</v>
      </c>
      <c r="N7" s="70"/>
      <c r="O7" s="70">
        <v>9</v>
      </c>
      <c r="P7" s="70">
        <v>9</v>
      </c>
      <c r="Q7" s="61">
        <v>0</v>
      </c>
      <c r="R7" s="55" t="s">
        <v>113</v>
      </c>
      <c r="T7" s="55" t="s">
        <v>160</v>
      </c>
      <c r="U7" s="55" t="s">
        <v>160</v>
      </c>
    </row>
    <row r="8" spans="1:28" s="55" customFormat="1" x14ac:dyDescent="0.2">
      <c r="A8" s="70">
        <v>2019</v>
      </c>
      <c r="B8" s="59" t="s">
        <v>312</v>
      </c>
      <c r="C8" s="59">
        <v>22739</v>
      </c>
      <c r="D8" s="60">
        <v>29</v>
      </c>
      <c r="E8" s="77">
        <v>43660</v>
      </c>
      <c r="F8" s="59" t="s">
        <v>99</v>
      </c>
      <c r="G8" s="59" t="s">
        <v>9</v>
      </c>
      <c r="H8" s="59" t="s">
        <v>232</v>
      </c>
      <c r="I8" s="55" t="s">
        <v>9</v>
      </c>
      <c r="J8" s="59" t="s">
        <v>100</v>
      </c>
      <c r="K8" s="59" t="s">
        <v>101</v>
      </c>
      <c r="L8" s="59" t="s">
        <v>133</v>
      </c>
      <c r="M8" s="59" t="s">
        <v>102</v>
      </c>
      <c r="N8" s="70"/>
      <c r="O8" s="70">
        <v>3</v>
      </c>
      <c r="P8" s="70">
        <v>3</v>
      </c>
      <c r="Q8" s="61">
        <v>0</v>
      </c>
      <c r="R8" s="55" t="s">
        <v>113</v>
      </c>
      <c r="T8" s="55" t="s">
        <v>305</v>
      </c>
      <c r="U8" s="55" t="s">
        <v>305</v>
      </c>
    </row>
    <row r="9" spans="1:28" s="55" customFormat="1" x14ac:dyDescent="0.2">
      <c r="A9" s="70">
        <v>2019</v>
      </c>
      <c r="B9" s="59" t="s">
        <v>313</v>
      </c>
      <c r="C9" s="59">
        <v>22740</v>
      </c>
      <c r="D9" s="60">
        <v>29</v>
      </c>
      <c r="E9" s="77">
        <v>43660</v>
      </c>
      <c r="F9" s="59" t="s">
        <v>99</v>
      </c>
      <c r="G9" s="59" t="s">
        <v>9</v>
      </c>
      <c r="H9" s="59" t="s">
        <v>171</v>
      </c>
      <c r="I9" s="55" t="s">
        <v>9</v>
      </c>
      <c r="J9" s="59" t="s">
        <v>100</v>
      </c>
      <c r="K9" s="59" t="s">
        <v>101</v>
      </c>
      <c r="L9" s="59" t="s">
        <v>132</v>
      </c>
      <c r="M9" s="59" t="s">
        <v>102</v>
      </c>
      <c r="N9" s="70"/>
      <c r="O9" s="70">
        <v>50</v>
      </c>
      <c r="P9" s="70">
        <v>50</v>
      </c>
      <c r="Q9" s="61">
        <v>0</v>
      </c>
      <c r="R9" s="55" t="s">
        <v>113</v>
      </c>
      <c r="T9" s="55" t="s">
        <v>160</v>
      </c>
      <c r="U9" s="55" t="s">
        <v>160</v>
      </c>
    </row>
    <row r="10" spans="1:28" s="55" customFormat="1" x14ac:dyDescent="0.2">
      <c r="A10" s="70">
        <v>2019</v>
      </c>
      <c r="B10" s="59" t="s">
        <v>314</v>
      </c>
      <c r="C10" s="59">
        <v>22741</v>
      </c>
      <c r="D10" s="60">
        <v>29</v>
      </c>
      <c r="E10" s="77">
        <v>43660</v>
      </c>
      <c r="F10" s="59" t="s">
        <v>99</v>
      </c>
      <c r="G10" s="59" t="s">
        <v>9</v>
      </c>
      <c r="H10" s="59" t="s">
        <v>171</v>
      </c>
      <c r="I10" s="55" t="s">
        <v>9</v>
      </c>
      <c r="J10" s="59" t="s">
        <v>100</v>
      </c>
      <c r="K10" s="59" t="s">
        <v>101</v>
      </c>
      <c r="L10" s="59" t="s">
        <v>132</v>
      </c>
      <c r="M10" s="59" t="s">
        <v>102</v>
      </c>
      <c r="N10" s="70"/>
      <c r="O10" s="70">
        <v>35</v>
      </c>
      <c r="P10" s="70">
        <v>35</v>
      </c>
      <c r="Q10" s="61">
        <v>0</v>
      </c>
      <c r="R10" s="55" t="s">
        <v>113</v>
      </c>
      <c r="T10" s="55" t="s">
        <v>160</v>
      </c>
      <c r="U10" s="55" t="s">
        <v>160</v>
      </c>
    </row>
    <row r="11" spans="1:28" s="55" customFormat="1" x14ac:dyDescent="0.2">
      <c r="A11" s="70">
        <v>2019</v>
      </c>
      <c r="B11" s="59" t="s">
        <v>315</v>
      </c>
      <c r="C11" s="59">
        <v>22742</v>
      </c>
      <c r="D11" s="60">
        <v>29</v>
      </c>
      <c r="E11" s="77">
        <v>43660</v>
      </c>
      <c r="F11" s="59" t="s">
        <v>99</v>
      </c>
      <c r="G11" s="59" t="s">
        <v>47</v>
      </c>
      <c r="H11" s="59" t="s">
        <v>227</v>
      </c>
      <c r="I11" s="55" t="s">
        <v>59</v>
      </c>
      <c r="J11" s="59" t="s">
        <v>100</v>
      </c>
      <c r="K11" s="59" t="s">
        <v>101</v>
      </c>
      <c r="L11" s="59" t="s">
        <v>132</v>
      </c>
      <c r="M11" s="59" t="s">
        <v>102</v>
      </c>
      <c r="N11" s="70"/>
      <c r="O11" s="70">
        <v>42</v>
      </c>
      <c r="P11" s="70">
        <v>42</v>
      </c>
      <c r="Q11" s="61">
        <v>0</v>
      </c>
      <c r="R11" s="55" t="s">
        <v>113</v>
      </c>
      <c r="T11" s="55" t="s">
        <v>161</v>
      </c>
      <c r="U11" s="55" t="s">
        <v>164</v>
      </c>
    </row>
    <row r="12" spans="1:28" s="55" customFormat="1" x14ac:dyDescent="0.2">
      <c r="A12" s="70">
        <v>2019</v>
      </c>
      <c r="B12" s="59" t="s">
        <v>316</v>
      </c>
      <c r="C12" s="59">
        <v>22743</v>
      </c>
      <c r="D12" s="60">
        <v>29</v>
      </c>
      <c r="E12" s="77">
        <v>43660</v>
      </c>
      <c r="F12" s="59" t="s">
        <v>99</v>
      </c>
      <c r="G12" s="59" t="s">
        <v>47</v>
      </c>
      <c r="H12" s="59" t="s">
        <v>227</v>
      </c>
      <c r="I12" s="55" t="s">
        <v>59</v>
      </c>
      <c r="J12" s="59" t="s">
        <v>100</v>
      </c>
      <c r="K12" s="59" t="s">
        <v>101</v>
      </c>
      <c r="L12" s="59" t="s">
        <v>133</v>
      </c>
      <c r="M12" s="59" t="s">
        <v>102</v>
      </c>
      <c r="N12" s="70"/>
      <c r="O12" s="70">
        <v>6</v>
      </c>
      <c r="P12" s="70">
        <v>6</v>
      </c>
      <c r="Q12" s="61">
        <v>0</v>
      </c>
      <c r="R12" s="55" t="s">
        <v>113</v>
      </c>
      <c r="T12" s="55" t="s">
        <v>162</v>
      </c>
      <c r="U12" s="55" t="s">
        <v>165</v>
      </c>
    </row>
    <row r="13" spans="1:28" s="55" customFormat="1" x14ac:dyDescent="0.2">
      <c r="A13" s="70">
        <v>2019</v>
      </c>
      <c r="B13" s="59" t="s">
        <v>317</v>
      </c>
      <c r="C13" s="59">
        <v>22744</v>
      </c>
      <c r="D13" s="60">
        <v>29</v>
      </c>
      <c r="E13" s="77">
        <v>43660</v>
      </c>
      <c r="F13" s="59" t="s">
        <v>99</v>
      </c>
      <c r="G13" s="59" t="s">
        <v>47</v>
      </c>
      <c r="H13" s="59" t="s">
        <v>276</v>
      </c>
      <c r="I13" s="55" t="s">
        <v>59</v>
      </c>
      <c r="J13" s="59" t="s">
        <v>100</v>
      </c>
      <c r="K13" s="59" t="s">
        <v>101</v>
      </c>
      <c r="L13" s="59" t="s">
        <v>132</v>
      </c>
      <c r="M13" s="59" t="s">
        <v>102</v>
      </c>
      <c r="N13" s="70"/>
      <c r="O13" s="70">
        <v>50</v>
      </c>
      <c r="P13" s="70">
        <v>50</v>
      </c>
      <c r="Q13" s="61">
        <v>0</v>
      </c>
      <c r="R13" s="55" t="s">
        <v>113</v>
      </c>
      <c r="T13" s="55" t="s">
        <v>161</v>
      </c>
      <c r="U13" s="55" t="s">
        <v>164</v>
      </c>
    </row>
    <row r="14" spans="1:28" s="55" customFormat="1" x14ac:dyDescent="0.2">
      <c r="A14" s="70">
        <v>2019</v>
      </c>
      <c r="B14" s="59" t="s">
        <v>318</v>
      </c>
      <c r="C14" s="59">
        <v>22745</v>
      </c>
      <c r="D14" s="60">
        <v>29</v>
      </c>
      <c r="E14" s="77">
        <v>43660</v>
      </c>
      <c r="F14" s="59" t="s">
        <v>99</v>
      </c>
      <c r="G14" s="59" t="s">
        <v>47</v>
      </c>
      <c r="H14" s="59" t="s">
        <v>319</v>
      </c>
      <c r="I14" s="55" t="s">
        <v>59</v>
      </c>
      <c r="J14" s="59" t="s">
        <v>103</v>
      </c>
      <c r="K14" s="59" t="s">
        <v>101</v>
      </c>
      <c r="L14" s="59" t="s">
        <v>133</v>
      </c>
      <c r="M14" s="59" t="s">
        <v>102</v>
      </c>
      <c r="N14" s="70">
        <v>4</v>
      </c>
      <c r="O14" s="70"/>
      <c r="P14" s="70">
        <v>4</v>
      </c>
      <c r="Q14" s="61">
        <v>0</v>
      </c>
      <c r="R14" s="55" t="s">
        <v>113</v>
      </c>
      <c r="T14" s="55" t="s">
        <v>162</v>
      </c>
      <c r="U14" s="55" t="s">
        <v>165</v>
      </c>
    </row>
    <row r="15" spans="1:28" s="55" customFormat="1" x14ac:dyDescent="0.2">
      <c r="A15" s="70">
        <v>2019</v>
      </c>
      <c r="B15" s="59" t="s">
        <v>320</v>
      </c>
      <c r="C15" s="59">
        <v>22746</v>
      </c>
      <c r="D15" s="60">
        <v>29</v>
      </c>
      <c r="E15" s="77">
        <v>43660</v>
      </c>
      <c r="F15" s="59" t="s">
        <v>99</v>
      </c>
      <c r="G15" s="59" t="s">
        <v>47</v>
      </c>
      <c r="H15" s="59" t="s">
        <v>233</v>
      </c>
      <c r="I15" s="55" t="s">
        <v>59</v>
      </c>
      <c r="J15" s="59" t="s">
        <v>100</v>
      </c>
      <c r="K15" s="59" t="s">
        <v>101</v>
      </c>
      <c r="L15" s="59" t="s">
        <v>132</v>
      </c>
      <c r="M15" s="59" t="s">
        <v>102</v>
      </c>
      <c r="N15" s="70"/>
      <c r="O15" s="70">
        <v>22</v>
      </c>
      <c r="P15" s="70">
        <v>22</v>
      </c>
      <c r="Q15" s="61">
        <v>0</v>
      </c>
      <c r="R15" s="55" t="s">
        <v>113</v>
      </c>
      <c r="T15" s="55" t="s">
        <v>161</v>
      </c>
      <c r="U15" s="55" t="s">
        <v>164</v>
      </c>
    </row>
    <row r="16" spans="1:28" s="55" customFormat="1" x14ac:dyDescent="0.2">
      <c r="A16" s="70">
        <v>2019</v>
      </c>
      <c r="B16" s="59" t="s">
        <v>321</v>
      </c>
      <c r="C16" s="59">
        <v>22747</v>
      </c>
      <c r="D16" s="60">
        <v>29</v>
      </c>
      <c r="E16" s="77">
        <v>43660</v>
      </c>
      <c r="F16" s="59" t="s">
        <v>99</v>
      </c>
      <c r="G16" s="59" t="s">
        <v>47</v>
      </c>
      <c r="H16" s="59" t="s">
        <v>231</v>
      </c>
      <c r="I16" s="55" t="s">
        <v>59</v>
      </c>
      <c r="J16" s="59" t="s">
        <v>100</v>
      </c>
      <c r="K16" s="59" t="s">
        <v>101</v>
      </c>
      <c r="L16" s="59" t="s">
        <v>132</v>
      </c>
      <c r="M16" s="59" t="s">
        <v>102</v>
      </c>
      <c r="N16" s="70"/>
      <c r="O16" s="70">
        <v>31</v>
      </c>
      <c r="P16" s="70">
        <v>31</v>
      </c>
      <c r="Q16" s="61">
        <v>0</v>
      </c>
      <c r="R16" s="55" t="s">
        <v>113</v>
      </c>
      <c r="T16" s="55" t="s">
        <v>161</v>
      </c>
      <c r="U16" s="55" t="s">
        <v>164</v>
      </c>
    </row>
    <row r="17" spans="1:21" s="55" customFormat="1" x14ac:dyDescent="0.2">
      <c r="A17" s="70">
        <v>2019</v>
      </c>
      <c r="B17" s="59" t="s">
        <v>322</v>
      </c>
      <c r="C17" s="59">
        <v>22748</v>
      </c>
      <c r="D17" s="60">
        <v>29</v>
      </c>
      <c r="E17" s="77">
        <v>43660</v>
      </c>
      <c r="F17" s="59" t="s">
        <v>99</v>
      </c>
      <c r="G17" s="59" t="s">
        <v>47</v>
      </c>
      <c r="H17" s="59" t="s">
        <v>231</v>
      </c>
      <c r="I17" s="55" t="s">
        <v>59</v>
      </c>
      <c r="J17" s="59" t="s">
        <v>100</v>
      </c>
      <c r="K17" s="59" t="s">
        <v>101</v>
      </c>
      <c r="L17" s="59" t="s">
        <v>133</v>
      </c>
      <c r="M17" s="59" t="s">
        <v>102</v>
      </c>
      <c r="N17" s="70"/>
      <c r="O17" s="70">
        <v>21</v>
      </c>
      <c r="P17" s="70">
        <v>21</v>
      </c>
      <c r="Q17" s="61">
        <v>0</v>
      </c>
      <c r="R17" s="55" t="s">
        <v>113</v>
      </c>
      <c r="T17" s="55" t="s">
        <v>162</v>
      </c>
      <c r="U17" s="55" t="s">
        <v>165</v>
      </c>
    </row>
    <row r="18" spans="1:21" s="55" customFormat="1" x14ac:dyDescent="0.2">
      <c r="A18" s="70">
        <v>2019</v>
      </c>
      <c r="B18" s="59" t="s">
        <v>323</v>
      </c>
      <c r="C18" s="59">
        <v>22749</v>
      </c>
      <c r="D18" s="60">
        <v>29</v>
      </c>
      <c r="E18" s="77">
        <v>43660</v>
      </c>
      <c r="F18" s="59" t="s">
        <v>99</v>
      </c>
      <c r="G18" s="59" t="s">
        <v>47</v>
      </c>
      <c r="H18" s="59" t="s">
        <v>324</v>
      </c>
      <c r="I18" s="55" t="s">
        <v>59</v>
      </c>
      <c r="J18" s="59" t="s">
        <v>103</v>
      </c>
      <c r="K18" s="59" t="s">
        <v>101</v>
      </c>
      <c r="L18" s="59" t="s">
        <v>133</v>
      </c>
      <c r="M18" s="59" t="s">
        <v>102</v>
      </c>
      <c r="N18" s="70">
        <v>2</v>
      </c>
      <c r="O18" s="70"/>
      <c r="P18" s="70">
        <v>2</v>
      </c>
      <c r="Q18" s="61">
        <v>0</v>
      </c>
      <c r="R18" s="55" t="s">
        <v>113</v>
      </c>
      <c r="T18" s="55" t="s">
        <v>162</v>
      </c>
      <c r="U18" s="55" t="s">
        <v>165</v>
      </c>
    </row>
    <row r="19" spans="1:21" s="55" customFormat="1" x14ac:dyDescent="0.2">
      <c r="A19" s="70">
        <v>2019</v>
      </c>
      <c r="B19" s="59" t="s">
        <v>325</v>
      </c>
      <c r="C19" s="59">
        <v>22750</v>
      </c>
      <c r="D19" s="60">
        <v>29</v>
      </c>
      <c r="E19" s="77">
        <v>43660</v>
      </c>
      <c r="F19" s="59" t="s">
        <v>99</v>
      </c>
      <c r="G19" s="59" t="s">
        <v>47</v>
      </c>
      <c r="H19" s="59" t="s">
        <v>107</v>
      </c>
      <c r="I19" s="55" t="s">
        <v>58</v>
      </c>
      <c r="J19" s="59" t="s">
        <v>100</v>
      </c>
      <c r="K19" s="59" t="s">
        <v>101</v>
      </c>
      <c r="L19" s="59" t="s">
        <v>132</v>
      </c>
      <c r="M19" s="59" t="s">
        <v>102</v>
      </c>
      <c r="N19" s="70"/>
      <c r="O19" s="70">
        <v>50</v>
      </c>
      <c r="P19" s="70">
        <v>50</v>
      </c>
      <c r="Q19" s="61">
        <v>0</v>
      </c>
      <c r="R19" s="55" t="s">
        <v>113</v>
      </c>
      <c r="T19" s="55" t="s">
        <v>161</v>
      </c>
      <c r="U19" s="55" t="s">
        <v>166</v>
      </c>
    </row>
    <row r="20" spans="1:21" s="55" customFormat="1" x14ac:dyDescent="0.2">
      <c r="A20" s="70">
        <v>2019</v>
      </c>
      <c r="B20" s="59" t="s">
        <v>326</v>
      </c>
      <c r="C20" s="59">
        <v>22751</v>
      </c>
      <c r="D20" s="60">
        <v>29</v>
      </c>
      <c r="E20" s="77">
        <v>43660</v>
      </c>
      <c r="F20" s="59" t="s">
        <v>99</v>
      </c>
      <c r="G20" s="59" t="s">
        <v>47</v>
      </c>
      <c r="H20" s="59" t="s">
        <v>107</v>
      </c>
      <c r="I20" s="55" t="s">
        <v>58</v>
      </c>
      <c r="J20" s="59" t="s">
        <v>100</v>
      </c>
      <c r="K20" s="59" t="s">
        <v>101</v>
      </c>
      <c r="L20" s="59" t="s">
        <v>132</v>
      </c>
      <c r="M20" s="59" t="s">
        <v>102</v>
      </c>
      <c r="N20" s="70"/>
      <c r="O20" s="70">
        <v>17</v>
      </c>
      <c r="P20" s="70">
        <v>17</v>
      </c>
      <c r="Q20" s="61">
        <v>0</v>
      </c>
      <c r="R20" s="55" t="s">
        <v>113</v>
      </c>
      <c r="T20" s="55" t="s">
        <v>161</v>
      </c>
      <c r="U20" s="55" t="s">
        <v>166</v>
      </c>
    </row>
    <row r="21" spans="1:21" s="55" customFormat="1" x14ac:dyDescent="0.2">
      <c r="A21" s="70">
        <v>2019</v>
      </c>
      <c r="B21" s="59" t="s">
        <v>327</v>
      </c>
      <c r="C21" s="59">
        <v>22752</v>
      </c>
      <c r="D21" s="60">
        <v>29</v>
      </c>
      <c r="E21" s="77">
        <v>43660</v>
      </c>
      <c r="F21" s="59" t="s">
        <v>99</v>
      </c>
      <c r="G21" s="59" t="s">
        <v>47</v>
      </c>
      <c r="H21" s="59" t="s">
        <v>107</v>
      </c>
      <c r="I21" s="55" t="s">
        <v>58</v>
      </c>
      <c r="J21" s="59" t="s">
        <v>100</v>
      </c>
      <c r="K21" s="59" t="s">
        <v>101</v>
      </c>
      <c r="L21" s="59" t="s">
        <v>133</v>
      </c>
      <c r="M21" s="59" t="s">
        <v>102</v>
      </c>
      <c r="N21" s="70"/>
      <c r="O21" s="70">
        <v>13</v>
      </c>
      <c r="P21" s="70">
        <v>13</v>
      </c>
      <c r="Q21" s="61">
        <v>0</v>
      </c>
      <c r="R21" s="55" t="s">
        <v>113</v>
      </c>
      <c r="T21" s="55" t="s">
        <v>162</v>
      </c>
      <c r="U21" s="55" t="s">
        <v>167</v>
      </c>
    </row>
    <row r="22" spans="1:21" s="55" customFormat="1" x14ac:dyDescent="0.2">
      <c r="A22" s="70">
        <v>2019</v>
      </c>
      <c r="B22" s="59" t="s">
        <v>328</v>
      </c>
      <c r="C22" s="59">
        <v>22753</v>
      </c>
      <c r="D22" s="60">
        <v>29</v>
      </c>
      <c r="E22" s="77">
        <v>43660</v>
      </c>
      <c r="F22" s="59" t="s">
        <v>99</v>
      </c>
      <c r="G22" s="59" t="s">
        <v>47</v>
      </c>
      <c r="H22" s="59" t="s">
        <v>228</v>
      </c>
      <c r="I22" s="55" t="s">
        <v>59</v>
      </c>
      <c r="J22" s="59" t="s">
        <v>100</v>
      </c>
      <c r="K22" s="59" t="s">
        <v>101</v>
      </c>
      <c r="L22" s="59" t="s">
        <v>132</v>
      </c>
      <c r="M22" s="59" t="s">
        <v>102</v>
      </c>
      <c r="N22" s="70"/>
      <c r="O22" s="70">
        <v>29</v>
      </c>
      <c r="P22" s="70">
        <v>29</v>
      </c>
      <c r="Q22" s="61">
        <v>0</v>
      </c>
      <c r="R22" s="55" t="s">
        <v>113</v>
      </c>
      <c r="T22" s="55" t="s">
        <v>161</v>
      </c>
      <c r="U22" s="55" t="s">
        <v>164</v>
      </c>
    </row>
    <row r="23" spans="1:21" s="55" customFormat="1" x14ac:dyDescent="0.2">
      <c r="A23" s="70">
        <v>2019</v>
      </c>
      <c r="B23" s="59" t="s">
        <v>329</v>
      </c>
      <c r="C23" s="59">
        <v>22754</v>
      </c>
      <c r="D23" s="60">
        <v>29</v>
      </c>
      <c r="E23" s="77">
        <v>43660</v>
      </c>
      <c r="F23" s="59" t="s">
        <v>99</v>
      </c>
      <c r="G23" s="59" t="s">
        <v>47</v>
      </c>
      <c r="H23" s="59" t="s">
        <v>228</v>
      </c>
      <c r="I23" s="55" t="s">
        <v>59</v>
      </c>
      <c r="J23" s="59" t="s">
        <v>100</v>
      </c>
      <c r="K23" s="59" t="s">
        <v>101</v>
      </c>
      <c r="L23" s="59" t="s">
        <v>133</v>
      </c>
      <c r="M23" s="59" t="s">
        <v>102</v>
      </c>
      <c r="N23" s="70"/>
      <c r="O23" s="70">
        <v>8</v>
      </c>
      <c r="P23" s="70">
        <v>8</v>
      </c>
      <c r="Q23" s="61">
        <v>0</v>
      </c>
      <c r="R23" s="55" t="s">
        <v>113</v>
      </c>
      <c r="T23" s="55" t="s">
        <v>162</v>
      </c>
      <c r="U23" s="55" t="s">
        <v>165</v>
      </c>
    </row>
    <row r="24" spans="1:21" s="55" customFormat="1" x14ac:dyDescent="0.2">
      <c r="A24" s="70">
        <v>2019</v>
      </c>
      <c r="B24" s="59" t="s">
        <v>330</v>
      </c>
      <c r="C24" s="59">
        <v>22755</v>
      </c>
      <c r="D24" s="60">
        <v>29</v>
      </c>
      <c r="E24" s="77">
        <v>43660</v>
      </c>
      <c r="F24" s="59" t="s">
        <v>99</v>
      </c>
      <c r="G24" s="59" t="s">
        <v>47</v>
      </c>
      <c r="H24" s="59" t="s">
        <v>229</v>
      </c>
      <c r="I24" s="55" t="s">
        <v>59</v>
      </c>
      <c r="J24" s="59" t="s">
        <v>100</v>
      </c>
      <c r="K24" s="59" t="s">
        <v>101</v>
      </c>
      <c r="L24" s="59" t="s">
        <v>132</v>
      </c>
      <c r="M24" s="59" t="s">
        <v>102</v>
      </c>
      <c r="N24" s="70"/>
      <c r="O24" s="70">
        <v>44</v>
      </c>
      <c r="P24" s="70">
        <v>44</v>
      </c>
      <c r="Q24" s="61">
        <v>0</v>
      </c>
      <c r="R24" s="55" t="s">
        <v>113</v>
      </c>
      <c r="T24" s="55" t="s">
        <v>161</v>
      </c>
      <c r="U24" s="55" t="s">
        <v>164</v>
      </c>
    </row>
    <row r="25" spans="1:21" s="55" customFormat="1" x14ac:dyDescent="0.2">
      <c r="A25" s="70">
        <v>2019</v>
      </c>
      <c r="B25" s="59" t="s">
        <v>331</v>
      </c>
      <c r="C25" s="59">
        <v>22756</v>
      </c>
      <c r="D25" s="60">
        <v>29</v>
      </c>
      <c r="E25" s="77">
        <v>43660</v>
      </c>
      <c r="F25" s="59" t="s">
        <v>99</v>
      </c>
      <c r="G25" s="59" t="s">
        <v>47</v>
      </c>
      <c r="H25" s="59" t="s">
        <v>229</v>
      </c>
      <c r="I25" s="55" t="s">
        <v>59</v>
      </c>
      <c r="J25" s="59" t="s">
        <v>100</v>
      </c>
      <c r="K25" s="59" t="s">
        <v>101</v>
      </c>
      <c r="L25" s="59" t="s">
        <v>133</v>
      </c>
      <c r="M25" s="59" t="s">
        <v>102</v>
      </c>
      <c r="N25" s="70"/>
      <c r="O25" s="70">
        <v>4</v>
      </c>
      <c r="P25" s="70">
        <v>4</v>
      </c>
      <c r="Q25" s="61">
        <v>0</v>
      </c>
      <c r="R25" s="55" t="s">
        <v>113</v>
      </c>
      <c r="T25" s="55" t="s">
        <v>162</v>
      </c>
      <c r="U25" s="55" t="s">
        <v>165</v>
      </c>
    </row>
    <row r="26" spans="1:21" s="55" customFormat="1" x14ac:dyDescent="0.2">
      <c r="A26" s="70">
        <v>2019</v>
      </c>
      <c r="B26" s="59" t="s">
        <v>332</v>
      </c>
      <c r="C26" s="59">
        <v>22757</v>
      </c>
      <c r="D26" s="60">
        <v>29</v>
      </c>
      <c r="E26" s="77">
        <v>43660</v>
      </c>
      <c r="F26" s="59" t="s">
        <v>99</v>
      </c>
      <c r="G26" s="59" t="s">
        <v>47</v>
      </c>
      <c r="H26" s="59" t="s">
        <v>230</v>
      </c>
      <c r="I26" s="55" t="s">
        <v>59</v>
      </c>
      <c r="J26" s="59" t="s">
        <v>100</v>
      </c>
      <c r="K26" s="59" t="s">
        <v>101</v>
      </c>
      <c r="L26" s="59" t="s">
        <v>132</v>
      </c>
      <c r="M26" s="59" t="s">
        <v>102</v>
      </c>
      <c r="N26" s="70"/>
      <c r="O26" s="70">
        <v>17</v>
      </c>
      <c r="P26" s="70">
        <v>17</v>
      </c>
      <c r="Q26" s="61">
        <v>0</v>
      </c>
      <c r="R26" s="55" t="s">
        <v>113</v>
      </c>
      <c r="T26" s="55" t="s">
        <v>161</v>
      </c>
      <c r="U26" s="55" t="s">
        <v>164</v>
      </c>
    </row>
    <row r="27" spans="1:21" s="55" customFormat="1" x14ac:dyDescent="0.2">
      <c r="A27" s="70">
        <v>2019</v>
      </c>
      <c r="B27" s="59" t="s">
        <v>333</v>
      </c>
      <c r="C27" s="59">
        <v>22758</v>
      </c>
      <c r="D27" s="60">
        <v>29</v>
      </c>
      <c r="E27" s="77">
        <v>43660</v>
      </c>
      <c r="F27" s="59" t="s">
        <v>99</v>
      </c>
      <c r="G27" s="59" t="s">
        <v>47</v>
      </c>
      <c r="H27" s="59" t="s">
        <v>172</v>
      </c>
      <c r="I27" s="55" t="s">
        <v>59</v>
      </c>
      <c r="J27" s="59" t="s">
        <v>100</v>
      </c>
      <c r="K27" s="59" t="s">
        <v>101</v>
      </c>
      <c r="L27" s="59" t="s">
        <v>132</v>
      </c>
      <c r="M27" s="59" t="s">
        <v>102</v>
      </c>
      <c r="N27" s="70"/>
      <c r="O27" s="70">
        <v>50</v>
      </c>
      <c r="P27" s="70">
        <v>50</v>
      </c>
      <c r="Q27" s="61">
        <v>0</v>
      </c>
      <c r="R27" s="55" t="s">
        <v>113</v>
      </c>
      <c r="T27" s="55" t="s">
        <v>161</v>
      </c>
      <c r="U27" s="55" t="s">
        <v>164</v>
      </c>
    </row>
    <row r="28" spans="1:21" s="55" customFormat="1" x14ac:dyDescent="0.2">
      <c r="A28" s="70">
        <v>2019</v>
      </c>
      <c r="B28" s="59" t="s">
        <v>334</v>
      </c>
      <c r="C28" s="59">
        <v>22759</v>
      </c>
      <c r="D28" s="60">
        <v>29</v>
      </c>
      <c r="E28" s="77">
        <v>43660</v>
      </c>
      <c r="F28" s="59" t="s">
        <v>99</v>
      </c>
      <c r="G28" s="59" t="s">
        <v>47</v>
      </c>
      <c r="H28" s="59" t="s">
        <v>172</v>
      </c>
      <c r="I28" s="55" t="s">
        <v>59</v>
      </c>
      <c r="J28" s="59" t="s">
        <v>100</v>
      </c>
      <c r="K28" s="59" t="s">
        <v>101</v>
      </c>
      <c r="L28" s="59" t="s">
        <v>132</v>
      </c>
      <c r="M28" s="59" t="s">
        <v>102</v>
      </c>
      <c r="N28" s="70"/>
      <c r="O28" s="70">
        <v>50</v>
      </c>
      <c r="P28" s="70">
        <v>50</v>
      </c>
      <c r="Q28" s="61">
        <v>0</v>
      </c>
      <c r="R28" s="55" t="s">
        <v>113</v>
      </c>
      <c r="T28" s="55" t="s">
        <v>161</v>
      </c>
      <c r="U28" s="55" t="s">
        <v>164</v>
      </c>
    </row>
    <row r="29" spans="1:21" s="55" customFormat="1" x14ac:dyDescent="0.2">
      <c r="A29" s="70">
        <v>2019</v>
      </c>
      <c r="B29" s="59" t="s">
        <v>335</v>
      </c>
      <c r="C29" s="59">
        <v>22760</v>
      </c>
      <c r="D29" s="60">
        <v>29</v>
      </c>
      <c r="E29" s="77">
        <v>43660</v>
      </c>
      <c r="F29" s="59" t="s">
        <v>99</v>
      </c>
      <c r="G29" s="59" t="s">
        <v>47</v>
      </c>
      <c r="H29" s="59" t="s">
        <v>172</v>
      </c>
      <c r="I29" s="55" t="s">
        <v>59</v>
      </c>
      <c r="J29" s="59" t="s">
        <v>100</v>
      </c>
      <c r="K29" s="59" t="s">
        <v>101</v>
      </c>
      <c r="L29" s="59" t="s">
        <v>132</v>
      </c>
      <c r="M29" s="59" t="s">
        <v>102</v>
      </c>
      <c r="N29" s="70"/>
      <c r="O29" s="70">
        <v>14</v>
      </c>
      <c r="P29" s="70">
        <v>14</v>
      </c>
      <c r="Q29" s="61">
        <v>0</v>
      </c>
      <c r="R29" s="55" t="s">
        <v>113</v>
      </c>
      <c r="T29" s="55" t="s">
        <v>161</v>
      </c>
      <c r="U29" s="55" t="s">
        <v>164</v>
      </c>
    </row>
    <row r="30" spans="1:21" s="55" customFormat="1" x14ac:dyDescent="0.2">
      <c r="A30" s="70">
        <v>2019</v>
      </c>
      <c r="B30" s="59" t="s">
        <v>336</v>
      </c>
      <c r="C30" s="59">
        <v>22761</v>
      </c>
      <c r="D30" s="60">
        <v>29</v>
      </c>
      <c r="E30" s="77">
        <v>43660</v>
      </c>
      <c r="F30" s="59" t="s">
        <v>99</v>
      </c>
      <c r="G30" s="59" t="s">
        <v>47</v>
      </c>
      <c r="H30" s="59" t="s">
        <v>234</v>
      </c>
      <c r="I30" s="55" t="s">
        <v>59</v>
      </c>
      <c r="J30" s="59" t="s">
        <v>100</v>
      </c>
      <c r="K30" s="59" t="s">
        <v>101</v>
      </c>
      <c r="L30" s="59" t="s">
        <v>132</v>
      </c>
      <c r="M30" s="59" t="s">
        <v>102</v>
      </c>
      <c r="N30" s="70"/>
      <c r="O30" s="70">
        <v>50</v>
      </c>
      <c r="P30" s="70">
        <v>50</v>
      </c>
      <c r="Q30" s="61">
        <v>0</v>
      </c>
      <c r="R30" s="55" t="s">
        <v>113</v>
      </c>
      <c r="T30" s="55" t="s">
        <v>161</v>
      </c>
      <c r="U30" s="55" t="s">
        <v>164</v>
      </c>
    </row>
    <row r="31" spans="1:21" s="55" customFormat="1" x14ac:dyDescent="0.2">
      <c r="A31" s="70">
        <v>2019</v>
      </c>
      <c r="B31" s="59" t="s">
        <v>337</v>
      </c>
      <c r="C31" s="59">
        <v>22762</v>
      </c>
      <c r="D31" s="60">
        <v>29</v>
      </c>
      <c r="E31" s="77">
        <v>43660</v>
      </c>
      <c r="F31" s="59" t="s">
        <v>99</v>
      </c>
      <c r="G31" s="59" t="s">
        <v>47</v>
      </c>
      <c r="H31" s="59" t="s">
        <v>234</v>
      </c>
      <c r="I31" s="55" t="s">
        <v>59</v>
      </c>
      <c r="J31" s="59" t="s">
        <v>100</v>
      </c>
      <c r="K31" s="59" t="s">
        <v>101</v>
      </c>
      <c r="L31" s="59" t="s">
        <v>132</v>
      </c>
      <c r="M31" s="59" t="s">
        <v>102</v>
      </c>
      <c r="N31" s="70"/>
      <c r="O31" s="70">
        <v>50</v>
      </c>
      <c r="P31" s="70">
        <v>50</v>
      </c>
      <c r="Q31" s="61">
        <v>0</v>
      </c>
      <c r="R31" s="55" t="s">
        <v>113</v>
      </c>
      <c r="T31" s="55" t="s">
        <v>161</v>
      </c>
      <c r="U31" s="55" t="s">
        <v>164</v>
      </c>
    </row>
    <row r="32" spans="1:21" s="55" customFormat="1" x14ac:dyDescent="0.2">
      <c r="A32" s="70">
        <v>2019</v>
      </c>
      <c r="B32" s="59" t="s">
        <v>338</v>
      </c>
      <c r="C32" s="59">
        <v>22763</v>
      </c>
      <c r="D32" s="60">
        <v>29</v>
      </c>
      <c r="E32" s="77">
        <v>43660</v>
      </c>
      <c r="F32" s="59" t="s">
        <v>99</v>
      </c>
      <c r="G32" s="59" t="s">
        <v>47</v>
      </c>
      <c r="H32" s="59" t="s">
        <v>234</v>
      </c>
      <c r="I32" s="55" t="s">
        <v>59</v>
      </c>
      <c r="J32" s="59" t="s">
        <v>100</v>
      </c>
      <c r="K32" s="59" t="s">
        <v>101</v>
      </c>
      <c r="L32" s="59" t="s">
        <v>132</v>
      </c>
      <c r="M32" s="59" t="s">
        <v>102</v>
      </c>
      <c r="N32" s="70"/>
      <c r="O32" s="70">
        <v>21</v>
      </c>
      <c r="P32" s="70">
        <v>21</v>
      </c>
      <c r="Q32" s="61">
        <v>0</v>
      </c>
      <c r="R32" s="55" t="s">
        <v>113</v>
      </c>
      <c r="T32" s="55" t="s">
        <v>161</v>
      </c>
      <c r="U32" s="55" t="s">
        <v>164</v>
      </c>
    </row>
    <row r="33" spans="1:21" s="55" customFormat="1" x14ac:dyDescent="0.2">
      <c r="A33" s="70">
        <v>2019</v>
      </c>
      <c r="B33" s="59" t="s">
        <v>339</v>
      </c>
      <c r="C33" s="59">
        <v>22764</v>
      </c>
      <c r="D33" s="60">
        <v>29</v>
      </c>
      <c r="E33" s="77">
        <v>43660</v>
      </c>
      <c r="F33" s="59" t="s">
        <v>99</v>
      </c>
      <c r="G33" s="59" t="s">
        <v>47</v>
      </c>
      <c r="H33" s="59" t="s">
        <v>234</v>
      </c>
      <c r="I33" s="55" t="s">
        <v>59</v>
      </c>
      <c r="J33" s="59" t="s">
        <v>100</v>
      </c>
      <c r="K33" s="59" t="s">
        <v>101</v>
      </c>
      <c r="L33" s="59" t="s">
        <v>133</v>
      </c>
      <c r="M33" s="59" t="s">
        <v>102</v>
      </c>
      <c r="N33" s="70"/>
      <c r="O33" s="70">
        <v>5</v>
      </c>
      <c r="P33" s="70">
        <v>5</v>
      </c>
      <c r="Q33" s="61">
        <v>0</v>
      </c>
      <c r="R33" s="55" t="s">
        <v>113</v>
      </c>
      <c r="T33" s="55" t="s">
        <v>162</v>
      </c>
      <c r="U33" s="55" t="s">
        <v>165</v>
      </c>
    </row>
    <row r="34" spans="1:21" s="55" customFormat="1" x14ac:dyDescent="0.2">
      <c r="A34" s="70">
        <v>2019</v>
      </c>
      <c r="B34" s="59" t="s">
        <v>340</v>
      </c>
      <c r="C34" s="59">
        <v>22765</v>
      </c>
      <c r="D34" s="60">
        <v>29</v>
      </c>
      <c r="E34" s="77">
        <v>43661</v>
      </c>
      <c r="F34" s="59" t="s">
        <v>99</v>
      </c>
      <c r="G34" s="59" t="s">
        <v>9</v>
      </c>
      <c r="H34" s="59" t="s">
        <v>134</v>
      </c>
      <c r="I34" s="55" t="s">
        <v>9</v>
      </c>
      <c r="J34" s="59" t="s">
        <v>100</v>
      </c>
      <c r="K34" s="59" t="s">
        <v>101</v>
      </c>
      <c r="L34" s="59" t="s">
        <v>132</v>
      </c>
      <c r="M34" s="59" t="s">
        <v>102</v>
      </c>
      <c r="N34" s="70"/>
      <c r="O34" s="70">
        <v>43</v>
      </c>
      <c r="P34" s="70">
        <v>43</v>
      </c>
      <c r="Q34" s="61">
        <v>0</v>
      </c>
      <c r="R34" s="55" t="s">
        <v>113</v>
      </c>
      <c r="T34" s="55" t="s">
        <v>160</v>
      </c>
      <c r="U34" s="55" t="s">
        <v>160</v>
      </c>
    </row>
    <row r="35" spans="1:21" s="55" customFormat="1" x14ac:dyDescent="0.2">
      <c r="A35" s="70">
        <v>2019</v>
      </c>
      <c r="B35" s="59" t="s">
        <v>341</v>
      </c>
      <c r="C35" s="59">
        <v>22766</v>
      </c>
      <c r="D35" s="60">
        <v>29</v>
      </c>
      <c r="E35" s="77">
        <v>43661</v>
      </c>
      <c r="F35" s="59" t="s">
        <v>99</v>
      </c>
      <c r="G35" s="59" t="s">
        <v>47</v>
      </c>
      <c r="H35" s="59" t="s">
        <v>179</v>
      </c>
      <c r="I35" s="59" t="s">
        <v>60</v>
      </c>
      <c r="J35" s="59" t="s">
        <v>100</v>
      </c>
      <c r="K35" s="59" t="s">
        <v>101</v>
      </c>
      <c r="L35" s="59" t="s">
        <v>132</v>
      </c>
      <c r="M35" s="59" t="s">
        <v>102</v>
      </c>
      <c r="N35" s="70"/>
      <c r="O35" s="70">
        <v>50</v>
      </c>
      <c r="P35" s="70">
        <v>50</v>
      </c>
      <c r="Q35" s="61">
        <v>0</v>
      </c>
      <c r="R35" s="55" t="s">
        <v>113</v>
      </c>
      <c r="T35" s="55" t="s">
        <v>161</v>
      </c>
      <c r="U35" s="55" t="s">
        <v>168</v>
      </c>
    </row>
    <row r="36" spans="1:21" s="55" customFormat="1" x14ac:dyDescent="0.2">
      <c r="A36" s="70">
        <v>2019</v>
      </c>
      <c r="B36" s="59" t="s">
        <v>342</v>
      </c>
      <c r="C36" s="59">
        <v>22767</v>
      </c>
      <c r="D36" s="60">
        <v>29</v>
      </c>
      <c r="E36" s="77">
        <v>43661</v>
      </c>
      <c r="F36" s="59" t="s">
        <v>99</v>
      </c>
      <c r="G36" s="59" t="s">
        <v>47</v>
      </c>
      <c r="H36" s="59" t="s">
        <v>179</v>
      </c>
      <c r="I36" s="59" t="s">
        <v>60</v>
      </c>
      <c r="J36" s="59" t="s">
        <v>100</v>
      </c>
      <c r="K36" s="59" t="s">
        <v>101</v>
      </c>
      <c r="L36" s="59" t="s">
        <v>132</v>
      </c>
      <c r="M36" s="59" t="s">
        <v>102</v>
      </c>
      <c r="N36" s="70"/>
      <c r="O36" s="70">
        <v>50</v>
      </c>
      <c r="P36" s="70">
        <v>50</v>
      </c>
      <c r="Q36" s="61">
        <v>0</v>
      </c>
      <c r="R36" s="55" t="s">
        <v>113</v>
      </c>
      <c r="T36" s="55" t="s">
        <v>161</v>
      </c>
      <c r="U36" s="55" t="s">
        <v>168</v>
      </c>
    </row>
    <row r="37" spans="1:21" s="55" customFormat="1" x14ac:dyDescent="0.2">
      <c r="A37" s="70">
        <v>2019</v>
      </c>
      <c r="B37" s="59" t="s">
        <v>343</v>
      </c>
      <c r="C37" s="59">
        <v>22768</v>
      </c>
      <c r="D37" s="60">
        <v>29</v>
      </c>
      <c r="E37" s="77">
        <v>43661</v>
      </c>
      <c r="F37" s="59" t="s">
        <v>99</v>
      </c>
      <c r="G37" s="59" t="s">
        <v>47</v>
      </c>
      <c r="H37" s="59" t="s">
        <v>179</v>
      </c>
      <c r="I37" s="59" t="s">
        <v>60</v>
      </c>
      <c r="J37" s="59" t="s">
        <v>100</v>
      </c>
      <c r="K37" s="59" t="s">
        <v>101</v>
      </c>
      <c r="L37" s="59" t="s">
        <v>132</v>
      </c>
      <c r="M37" s="59" t="s">
        <v>102</v>
      </c>
      <c r="N37" s="70"/>
      <c r="O37" s="70">
        <v>12</v>
      </c>
      <c r="P37" s="70">
        <v>12</v>
      </c>
      <c r="Q37" s="61">
        <v>0</v>
      </c>
      <c r="R37" s="55" t="s">
        <v>113</v>
      </c>
      <c r="T37" s="55" t="s">
        <v>161</v>
      </c>
      <c r="U37" s="55" t="s">
        <v>168</v>
      </c>
    </row>
    <row r="38" spans="1:21" s="55" customFormat="1" x14ac:dyDescent="0.2">
      <c r="A38" s="70">
        <v>2019</v>
      </c>
      <c r="B38" s="59" t="s">
        <v>344</v>
      </c>
      <c r="C38" s="59">
        <v>22769</v>
      </c>
      <c r="D38" s="60">
        <v>29</v>
      </c>
      <c r="E38" s="77">
        <v>43661</v>
      </c>
      <c r="F38" s="59" t="s">
        <v>99</v>
      </c>
      <c r="G38" s="59" t="s">
        <v>47</v>
      </c>
      <c r="H38" s="59" t="s">
        <v>179</v>
      </c>
      <c r="I38" s="59" t="s">
        <v>60</v>
      </c>
      <c r="J38" s="59" t="s">
        <v>100</v>
      </c>
      <c r="K38" s="59" t="s">
        <v>101</v>
      </c>
      <c r="L38" s="59" t="s">
        <v>133</v>
      </c>
      <c r="M38" s="59" t="s">
        <v>102</v>
      </c>
      <c r="N38" s="70"/>
      <c r="O38" s="70">
        <v>3</v>
      </c>
      <c r="P38" s="70">
        <v>3</v>
      </c>
      <c r="Q38" s="61">
        <v>0</v>
      </c>
      <c r="R38" s="55" t="s">
        <v>113</v>
      </c>
      <c r="T38" s="55" t="s">
        <v>162</v>
      </c>
      <c r="U38" s="55" t="s">
        <v>169</v>
      </c>
    </row>
    <row r="39" spans="1:21" s="55" customFormat="1" x14ac:dyDescent="0.2">
      <c r="A39" s="70">
        <v>2019</v>
      </c>
      <c r="B39" s="59" t="s">
        <v>345</v>
      </c>
      <c r="C39" s="59">
        <v>22770</v>
      </c>
      <c r="D39" s="60">
        <v>29</v>
      </c>
      <c r="E39" s="77">
        <v>43661</v>
      </c>
      <c r="F39" s="59" t="s">
        <v>99</v>
      </c>
      <c r="G39" s="59" t="s">
        <v>9</v>
      </c>
      <c r="H39" s="59" t="s">
        <v>174</v>
      </c>
      <c r="I39" s="59" t="s">
        <v>9</v>
      </c>
      <c r="J39" s="59" t="s">
        <v>100</v>
      </c>
      <c r="K39" s="59" t="s">
        <v>101</v>
      </c>
      <c r="L39" s="59" t="s">
        <v>132</v>
      </c>
      <c r="M39" s="59" t="s">
        <v>102</v>
      </c>
      <c r="N39" s="70"/>
      <c r="O39" s="70">
        <v>8</v>
      </c>
      <c r="P39" s="70">
        <v>8</v>
      </c>
      <c r="Q39" s="61">
        <v>0</v>
      </c>
      <c r="R39" s="55" t="s">
        <v>113</v>
      </c>
      <c r="T39" s="55" t="s">
        <v>160</v>
      </c>
      <c r="U39" s="55" t="s">
        <v>160</v>
      </c>
    </row>
    <row r="40" spans="1:21" s="55" customFormat="1" x14ac:dyDescent="0.2">
      <c r="A40" s="70">
        <v>2019</v>
      </c>
      <c r="B40" s="59" t="s">
        <v>346</v>
      </c>
      <c r="C40" s="59">
        <v>22771</v>
      </c>
      <c r="D40" s="60">
        <v>29</v>
      </c>
      <c r="E40" s="77">
        <v>43661</v>
      </c>
      <c r="F40" s="59" t="s">
        <v>99</v>
      </c>
      <c r="G40" s="59" t="s">
        <v>47</v>
      </c>
      <c r="H40" s="59" t="s">
        <v>178</v>
      </c>
      <c r="I40" s="55" t="s">
        <v>60</v>
      </c>
      <c r="J40" s="59" t="s">
        <v>100</v>
      </c>
      <c r="K40" s="59" t="s">
        <v>101</v>
      </c>
      <c r="L40" s="59" t="s">
        <v>132</v>
      </c>
      <c r="M40" s="59" t="s">
        <v>102</v>
      </c>
      <c r="N40" s="70"/>
      <c r="O40" s="70">
        <v>50</v>
      </c>
      <c r="P40" s="70">
        <v>50</v>
      </c>
      <c r="Q40" s="61">
        <v>0</v>
      </c>
      <c r="R40" s="55" t="s">
        <v>113</v>
      </c>
      <c r="T40" s="55" t="s">
        <v>161</v>
      </c>
      <c r="U40" s="55" t="s">
        <v>168</v>
      </c>
    </row>
    <row r="41" spans="1:21" s="55" customFormat="1" x14ac:dyDescent="0.2">
      <c r="A41" s="70">
        <v>2019</v>
      </c>
      <c r="B41" s="59" t="s">
        <v>347</v>
      </c>
      <c r="C41" s="59">
        <v>22772</v>
      </c>
      <c r="D41" s="60">
        <v>29</v>
      </c>
      <c r="E41" s="77">
        <v>43661</v>
      </c>
      <c r="F41" s="59" t="s">
        <v>99</v>
      </c>
      <c r="G41" s="59" t="s">
        <v>47</v>
      </c>
      <c r="H41" s="59" t="s">
        <v>178</v>
      </c>
      <c r="I41" s="55" t="s">
        <v>60</v>
      </c>
      <c r="J41" s="59" t="s">
        <v>100</v>
      </c>
      <c r="K41" s="59" t="s">
        <v>101</v>
      </c>
      <c r="L41" s="59" t="s">
        <v>132</v>
      </c>
      <c r="M41" s="59" t="s">
        <v>102</v>
      </c>
      <c r="N41" s="70"/>
      <c r="O41" s="70">
        <v>40</v>
      </c>
      <c r="P41" s="70">
        <v>40</v>
      </c>
      <c r="Q41" s="61">
        <v>0</v>
      </c>
      <c r="R41" s="55" t="s">
        <v>113</v>
      </c>
      <c r="T41" s="55" t="s">
        <v>161</v>
      </c>
      <c r="U41" s="55" t="s">
        <v>168</v>
      </c>
    </row>
    <row r="42" spans="1:21" s="55" customFormat="1" x14ac:dyDescent="0.2">
      <c r="A42" s="70">
        <v>2019</v>
      </c>
      <c r="B42" s="59" t="s">
        <v>348</v>
      </c>
      <c r="C42" s="59">
        <v>22773</v>
      </c>
      <c r="D42" s="60">
        <v>29</v>
      </c>
      <c r="E42" s="77">
        <v>43661</v>
      </c>
      <c r="F42" s="59" t="s">
        <v>99</v>
      </c>
      <c r="G42" s="59" t="s">
        <v>47</v>
      </c>
      <c r="H42" s="59" t="s">
        <v>106</v>
      </c>
      <c r="I42" s="55" t="s">
        <v>60</v>
      </c>
      <c r="J42" s="59" t="s">
        <v>100</v>
      </c>
      <c r="K42" s="59" t="s">
        <v>101</v>
      </c>
      <c r="L42" s="59" t="s">
        <v>132</v>
      </c>
      <c r="M42" s="59" t="s">
        <v>102</v>
      </c>
      <c r="N42" s="70"/>
      <c r="O42" s="70">
        <v>50</v>
      </c>
      <c r="P42" s="70">
        <v>50</v>
      </c>
      <c r="Q42" s="61">
        <v>0</v>
      </c>
      <c r="R42" s="55" t="s">
        <v>113</v>
      </c>
      <c r="T42" s="55" t="s">
        <v>161</v>
      </c>
      <c r="U42" s="55" t="s">
        <v>168</v>
      </c>
    </row>
    <row r="43" spans="1:21" s="55" customFormat="1" x14ac:dyDescent="0.2">
      <c r="A43" s="70">
        <v>2019</v>
      </c>
      <c r="B43" s="59" t="s">
        <v>349</v>
      </c>
      <c r="C43" s="59">
        <v>22774</v>
      </c>
      <c r="D43" s="60">
        <v>29</v>
      </c>
      <c r="E43" s="77">
        <v>43661</v>
      </c>
      <c r="F43" s="59" t="s">
        <v>99</v>
      </c>
      <c r="G43" s="59" t="s">
        <v>47</v>
      </c>
      <c r="H43" s="59" t="s">
        <v>106</v>
      </c>
      <c r="I43" s="55" t="s">
        <v>60</v>
      </c>
      <c r="J43" s="59" t="s">
        <v>100</v>
      </c>
      <c r="K43" s="59" t="s">
        <v>101</v>
      </c>
      <c r="L43" s="59" t="s">
        <v>132</v>
      </c>
      <c r="M43" s="59" t="s">
        <v>102</v>
      </c>
      <c r="N43" s="70"/>
      <c r="O43" s="70">
        <v>50</v>
      </c>
      <c r="P43" s="70">
        <v>50</v>
      </c>
      <c r="Q43" s="61">
        <v>0</v>
      </c>
      <c r="R43" s="55" t="s">
        <v>113</v>
      </c>
      <c r="T43" s="55" t="s">
        <v>161</v>
      </c>
      <c r="U43" s="55" t="s">
        <v>168</v>
      </c>
    </row>
    <row r="44" spans="1:21" s="55" customFormat="1" x14ac:dyDescent="0.2">
      <c r="A44" s="70">
        <v>2019</v>
      </c>
      <c r="B44" s="59" t="s">
        <v>350</v>
      </c>
      <c r="C44" s="59">
        <v>22775</v>
      </c>
      <c r="D44" s="60">
        <v>29</v>
      </c>
      <c r="E44" s="77">
        <v>43661</v>
      </c>
      <c r="F44" s="59" t="s">
        <v>99</v>
      </c>
      <c r="G44" s="59" t="s">
        <v>47</v>
      </c>
      <c r="H44" s="59" t="s">
        <v>106</v>
      </c>
      <c r="I44" s="55" t="s">
        <v>60</v>
      </c>
      <c r="J44" s="59" t="s">
        <v>100</v>
      </c>
      <c r="K44" s="59" t="s">
        <v>101</v>
      </c>
      <c r="L44" s="59" t="s">
        <v>132</v>
      </c>
      <c r="M44" s="59" t="s">
        <v>102</v>
      </c>
      <c r="N44" s="70"/>
      <c r="O44" s="70">
        <v>50</v>
      </c>
      <c r="P44" s="70">
        <v>50</v>
      </c>
      <c r="Q44" s="61">
        <v>0</v>
      </c>
      <c r="R44" s="55" t="s">
        <v>113</v>
      </c>
      <c r="T44" s="55" t="s">
        <v>161</v>
      </c>
      <c r="U44" s="55" t="s">
        <v>168</v>
      </c>
    </row>
    <row r="45" spans="1:21" s="55" customFormat="1" x14ac:dyDescent="0.2">
      <c r="A45" s="70">
        <v>2019</v>
      </c>
      <c r="B45" s="59" t="s">
        <v>351</v>
      </c>
      <c r="C45" s="59">
        <v>22776</v>
      </c>
      <c r="D45" s="60">
        <v>29</v>
      </c>
      <c r="E45" s="77">
        <v>43661</v>
      </c>
      <c r="F45" s="59" t="s">
        <v>99</v>
      </c>
      <c r="G45" s="59" t="s">
        <v>47</v>
      </c>
      <c r="H45" s="59" t="s">
        <v>106</v>
      </c>
      <c r="I45" s="59" t="s">
        <v>60</v>
      </c>
      <c r="J45" s="59" t="s">
        <v>100</v>
      </c>
      <c r="K45" s="59" t="s">
        <v>101</v>
      </c>
      <c r="L45" s="59" t="s">
        <v>132</v>
      </c>
      <c r="M45" s="59" t="s">
        <v>102</v>
      </c>
      <c r="N45" s="70"/>
      <c r="O45" s="70">
        <v>50</v>
      </c>
      <c r="P45" s="70">
        <v>50</v>
      </c>
      <c r="Q45" s="61">
        <v>0</v>
      </c>
      <c r="R45" s="55" t="s">
        <v>113</v>
      </c>
      <c r="T45" s="55" t="s">
        <v>161</v>
      </c>
      <c r="U45" s="55" t="s">
        <v>168</v>
      </c>
    </row>
    <row r="46" spans="1:21" s="55" customFormat="1" x14ac:dyDescent="0.2">
      <c r="A46" s="70">
        <v>2019</v>
      </c>
      <c r="B46" s="59" t="s">
        <v>352</v>
      </c>
      <c r="C46" s="59">
        <v>22777</v>
      </c>
      <c r="D46" s="60">
        <v>29</v>
      </c>
      <c r="E46" s="77">
        <v>43661</v>
      </c>
      <c r="F46" s="59" t="s">
        <v>99</v>
      </c>
      <c r="G46" s="59" t="s">
        <v>47</v>
      </c>
      <c r="H46" s="59" t="s">
        <v>106</v>
      </c>
      <c r="I46" s="59" t="s">
        <v>60</v>
      </c>
      <c r="J46" s="59" t="s">
        <v>100</v>
      </c>
      <c r="K46" s="59" t="s">
        <v>101</v>
      </c>
      <c r="L46" s="59" t="s">
        <v>132</v>
      </c>
      <c r="M46" s="59" t="s">
        <v>102</v>
      </c>
      <c r="N46" s="70"/>
      <c r="O46" s="70">
        <v>50</v>
      </c>
      <c r="P46" s="70">
        <v>50</v>
      </c>
      <c r="Q46" s="61">
        <v>0</v>
      </c>
      <c r="R46" s="55" t="s">
        <v>113</v>
      </c>
      <c r="T46" s="55" t="s">
        <v>161</v>
      </c>
      <c r="U46" s="55" t="s">
        <v>168</v>
      </c>
    </row>
    <row r="47" spans="1:21" s="55" customFormat="1" x14ac:dyDescent="0.2">
      <c r="A47" s="70">
        <v>2019</v>
      </c>
      <c r="B47" s="59" t="s">
        <v>353</v>
      </c>
      <c r="C47" s="59">
        <v>22778</v>
      </c>
      <c r="D47" s="60">
        <v>29</v>
      </c>
      <c r="E47" s="77">
        <v>43661</v>
      </c>
      <c r="F47" s="59" t="s">
        <v>99</v>
      </c>
      <c r="G47" s="59" t="s">
        <v>47</v>
      </c>
      <c r="H47" s="59" t="s">
        <v>106</v>
      </c>
      <c r="I47" s="59" t="s">
        <v>60</v>
      </c>
      <c r="J47" s="59" t="s">
        <v>100</v>
      </c>
      <c r="K47" s="59" t="s">
        <v>101</v>
      </c>
      <c r="L47" s="59" t="s">
        <v>132</v>
      </c>
      <c r="M47" s="59" t="s">
        <v>102</v>
      </c>
      <c r="N47" s="70"/>
      <c r="O47" s="70">
        <v>50</v>
      </c>
      <c r="P47" s="70">
        <v>50</v>
      </c>
      <c r="Q47" s="61">
        <v>0</v>
      </c>
      <c r="R47" s="55" t="s">
        <v>113</v>
      </c>
      <c r="T47" s="55" t="s">
        <v>161</v>
      </c>
      <c r="U47" s="55" t="s">
        <v>168</v>
      </c>
    </row>
    <row r="48" spans="1:21" s="55" customFormat="1" x14ac:dyDescent="0.2">
      <c r="A48" s="70">
        <v>2019</v>
      </c>
      <c r="B48" s="59" t="s">
        <v>354</v>
      </c>
      <c r="C48" s="59">
        <v>22779</v>
      </c>
      <c r="D48" s="60">
        <v>29</v>
      </c>
      <c r="E48" s="77">
        <v>43661</v>
      </c>
      <c r="F48" s="59" t="s">
        <v>99</v>
      </c>
      <c r="G48" s="59" t="s">
        <v>47</v>
      </c>
      <c r="H48" s="59" t="s">
        <v>106</v>
      </c>
      <c r="I48" s="55" t="s">
        <v>60</v>
      </c>
      <c r="J48" s="59" t="s">
        <v>100</v>
      </c>
      <c r="K48" s="59" t="s">
        <v>101</v>
      </c>
      <c r="L48" s="59" t="s">
        <v>132</v>
      </c>
      <c r="M48" s="59" t="s">
        <v>102</v>
      </c>
      <c r="N48" s="70"/>
      <c r="O48" s="70">
        <v>14</v>
      </c>
      <c r="P48" s="70">
        <v>14</v>
      </c>
      <c r="Q48" s="61">
        <v>0</v>
      </c>
      <c r="R48" s="55" t="s">
        <v>113</v>
      </c>
      <c r="T48" s="55" t="s">
        <v>161</v>
      </c>
      <c r="U48" s="55" t="s">
        <v>168</v>
      </c>
    </row>
    <row r="49" spans="1:21" s="55" customFormat="1" x14ac:dyDescent="0.2">
      <c r="A49" s="70">
        <v>2019</v>
      </c>
      <c r="B49" s="59" t="s">
        <v>355</v>
      </c>
      <c r="C49" s="59">
        <v>22780</v>
      </c>
      <c r="D49" s="60">
        <v>29</v>
      </c>
      <c r="E49" s="77">
        <v>43661</v>
      </c>
      <c r="F49" s="59" t="s">
        <v>99</v>
      </c>
      <c r="G49" s="59" t="s">
        <v>47</v>
      </c>
      <c r="H49" s="59" t="s">
        <v>106</v>
      </c>
      <c r="I49" s="55" t="s">
        <v>60</v>
      </c>
      <c r="J49" s="59" t="s">
        <v>100</v>
      </c>
      <c r="K49" s="59" t="s">
        <v>101</v>
      </c>
      <c r="L49" s="59" t="s">
        <v>133</v>
      </c>
      <c r="M49" s="59" t="s">
        <v>102</v>
      </c>
      <c r="N49" s="70"/>
      <c r="O49" s="70">
        <v>11</v>
      </c>
      <c r="P49" s="70">
        <v>11</v>
      </c>
      <c r="Q49" s="61">
        <v>0</v>
      </c>
      <c r="R49" s="55" t="s">
        <v>113</v>
      </c>
      <c r="T49" s="55" t="s">
        <v>162</v>
      </c>
      <c r="U49" s="55" t="s">
        <v>169</v>
      </c>
    </row>
    <row r="50" spans="1:21" s="55" customFormat="1" x14ac:dyDescent="0.2">
      <c r="A50" s="70">
        <v>2019</v>
      </c>
      <c r="B50" s="59" t="s">
        <v>356</v>
      </c>
      <c r="C50" s="59">
        <v>22781</v>
      </c>
      <c r="D50" s="60">
        <v>29</v>
      </c>
      <c r="E50" s="77">
        <v>43661</v>
      </c>
      <c r="F50" s="59" t="s">
        <v>99</v>
      </c>
      <c r="G50" s="59" t="s">
        <v>47</v>
      </c>
      <c r="H50" s="59" t="s">
        <v>277</v>
      </c>
      <c r="I50" s="55" t="s">
        <v>60</v>
      </c>
      <c r="J50" s="59" t="s">
        <v>100</v>
      </c>
      <c r="K50" s="59" t="s">
        <v>101</v>
      </c>
      <c r="L50" s="59" t="s">
        <v>132</v>
      </c>
      <c r="M50" s="59" t="s">
        <v>102</v>
      </c>
      <c r="N50" s="70"/>
      <c r="O50" s="70">
        <v>29</v>
      </c>
      <c r="P50" s="70">
        <v>29</v>
      </c>
      <c r="Q50" s="61">
        <v>0</v>
      </c>
      <c r="R50" s="55" t="s">
        <v>113</v>
      </c>
      <c r="T50" s="55" t="s">
        <v>161</v>
      </c>
      <c r="U50" s="55" t="s">
        <v>168</v>
      </c>
    </row>
    <row r="51" spans="1:21" s="55" customFormat="1" x14ac:dyDescent="0.2">
      <c r="A51" s="74">
        <v>2019</v>
      </c>
      <c r="B51" s="55" t="s">
        <v>357</v>
      </c>
      <c r="C51" s="59">
        <v>22782</v>
      </c>
      <c r="D51" s="61">
        <v>29</v>
      </c>
      <c r="E51" s="77">
        <v>43661</v>
      </c>
      <c r="F51" s="55" t="s">
        <v>99</v>
      </c>
      <c r="G51" s="59" t="s">
        <v>47</v>
      </c>
      <c r="H51" s="55" t="s">
        <v>236</v>
      </c>
      <c r="I51" s="55" t="s">
        <v>60</v>
      </c>
      <c r="J51" s="55" t="s">
        <v>100</v>
      </c>
      <c r="K51" s="55" t="s">
        <v>101</v>
      </c>
      <c r="L51" s="55" t="s">
        <v>132</v>
      </c>
      <c r="M51" s="55" t="s">
        <v>102</v>
      </c>
      <c r="N51" s="71"/>
      <c r="O51" s="71">
        <v>14</v>
      </c>
      <c r="P51" s="71">
        <v>14</v>
      </c>
      <c r="Q51" s="61">
        <v>0</v>
      </c>
      <c r="R51" s="55" t="s">
        <v>113</v>
      </c>
      <c r="T51" s="55" t="s">
        <v>161</v>
      </c>
      <c r="U51" s="55" t="s">
        <v>168</v>
      </c>
    </row>
    <row r="52" spans="1:21" s="55" customFormat="1" x14ac:dyDescent="0.2">
      <c r="A52" s="74">
        <v>2019</v>
      </c>
      <c r="B52" s="55" t="s">
        <v>358</v>
      </c>
      <c r="C52" s="59">
        <v>22783</v>
      </c>
      <c r="D52" s="61">
        <v>29</v>
      </c>
      <c r="E52" s="77">
        <v>43661</v>
      </c>
      <c r="F52" s="55" t="s">
        <v>99</v>
      </c>
      <c r="G52" s="59" t="s">
        <v>47</v>
      </c>
      <c r="H52" s="55" t="s">
        <v>359</v>
      </c>
      <c r="I52" s="55" t="s">
        <v>60</v>
      </c>
      <c r="J52" s="55" t="s">
        <v>103</v>
      </c>
      <c r="K52" s="55" t="s">
        <v>101</v>
      </c>
      <c r="L52" s="55" t="s">
        <v>133</v>
      </c>
      <c r="M52" s="55" t="s">
        <v>102</v>
      </c>
      <c r="N52" s="71">
        <v>3</v>
      </c>
      <c r="O52" s="71"/>
      <c r="P52" s="71">
        <v>3</v>
      </c>
      <c r="Q52" s="61">
        <v>0</v>
      </c>
      <c r="R52" s="55" t="s">
        <v>113</v>
      </c>
      <c r="T52" s="55" t="s">
        <v>162</v>
      </c>
      <c r="U52" s="55" t="s">
        <v>169</v>
      </c>
    </row>
    <row r="53" spans="1:21" s="55" customFormat="1" x14ac:dyDescent="0.2">
      <c r="A53" s="74">
        <v>2019</v>
      </c>
      <c r="B53" s="55" t="s">
        <v>360</v>
      </c>
      <c r="C53" s="59">
        <v>22784</v>
      </c>
      <c r="D53" s="61">
        <v>29</v>
      </c>
      <c r="E53" s="77">
        <v>43661</v>
      </c>
      <c r="F53" s="55" t="s">
        <v>99</v>
      </c>
      <c r="G53" s="59" t="s">
        <v>47</v>
      </c>
      <c r="H53" s="55" t="s">
        <v>279</v>
      </c>
      <c r="I53" s="55" t="s">
        <v>60</v>
      </c>
      <c r="J53" s="55" t="s">
        <v>103</v>
      </c>
      <c r="K53" s="55" t="s">
        <v>101</v>
      </c>
      <c r="L53" s="55" t="s">
        <v>132</v>
      </c>
      <c r="M53" s="55" t="s">
        <v>102</v>
      </c>
      <c r="N53" s="71">
        <v>4</v>
      </c>
      <c r="O53" s="71"/>
      <c r="P53" s="71">
        <v>4</v>
      </c>
      <c r="Q53" s="61">
        <v>0</v>
      </c>
      <c r="R53" s="55" t="s">
        <v>113</v>
      </c>
      <c r="T53" s="55" t="s">
        <v>161</v>
      </c>
      <c r="U53" s="55" t="s">
        <v>168</v>
      </c>
    </row>
    <row r="54" spans="1:21" s="55" customFormat="1" x14ac:dyDescent="0.2">
      <c r="A54" s="74">
        <v>2019</v>
      </c>
      <c r="B54" s="55" t="s">
        <v>361</v>
      </c>
      <c r="C54" s="59">
        <v>22785</v>
      </c>
      <c r="D54" s="61">
        <v>29</v>
      </c>
      <c r="E54" s="77">
        <v>43661</v>
      </c>
      <c r="F54" s="55" t="s">
        <v>99</v>
      </c>
      <c r="G54" s="59" t="s">
        <v>47</v>
      </c>
      <c r="H54" s="55" t="s">
        <v>279</v>
      </c>
      <c r="I54" s="59" t="s">
        <v>60</v>
      </c>
      <c r="J54" s="55" t="s">
        <v>103</v>
      </c>
      <c r="K54" s="55" t="s">
        <v>101</v>
      </c>
      <c r="L54" s="55" t="s">
        <v>133</v>
      </c>
      <c r="M54" s="55" t="s">
        <v>102</v>
      </c>
      <c r="N54" s="71">
        <v>43</v>
      </c>
      <c r="O54" s="71"/>
      <c r="P54" s="71">
        <v>43</v>
      </c>
      <c r="Q54" s="61">
        <v>0</v>
      </c>
      <c r="R54" s="55" t="s">
        <v>113</v>
      </c>
      <c r="T54" s="55" t="s">
        <v>162</v>
      </c>
      <c r="U54" s="55" t="s">
        <v>169</v>
      </c>
    </row>
    <row r="55" spans="1:21" s="55" customFormat="1" x14ac:dyDescent="0.2">
      <c r="A55" s="74">
        <v>2019</v>
      </c>
      <c r="B55" s="55" t="s">
        <v>362</v>
      </c>
      <c r="C55" s="59">
        <v>22786</v>
      </c>
      <c r="D55" s="61">
        <v>29</v>
      </c>
      <c r="E55" s="77">
        <v>43661</v>
      </c>
      <c r="F55" s="55" t="s">
        <v>99</v>
      </c>
      <c r="G55" s="59" t="s">
        <v>47</v>
      </c>
      <c r="H55" s="55" t="s">
        <v>180</v>
      </c>
      <c r="I55" s="59" t="s">
        <v>60</v>
      </c>
      <c r="J55" s="55" t="s">
        <v>100</v>
      </c>
      <c r="K55" s="55" t="s">
        <v>101</v>
      </c>
      <c r="L55" s="55" t="s">
        <v>132</v>
      </c>
      <c r="M55" s="55" t="s">
        <v>102</v>
      </c>
      <c r="N55" s="71"/>
      <c r="O55" s="71">
        <v>47</v>
      </c>
      <c r="P55" s="71">
        <v>47</v>
      </c>
      <c r="Q55" s="61">
        <v>0</v>
      </c>
      <c r="R55" s="55" t="s">
        <v>113</v>
      </c>
      <c r="T55" s="55" t="s">
        <v>161</v>
      </c>
      <c r="U55" s="55" t="s">
        <v>168</v>
      </c>
    </row>
    <row r="56" spans="1:21" s="55" customFormat="1" x14ac:dyDescent="0.2">
      <c r="A56" s="74">
        <v>2019</v>
      </c>
      <c r="B56" s="55" t="s">
        <v>363</v>
      </c>
      <c r="C56" s="59">
        <v>22787</v>
      </c>
      <c r="D56" s="61">
        <v>29</v>
      </c>
      <c r="E56" s="77">
        <v>43661</v>
      </c>
      <c r="F56" s="55" t="s">
        <v>99</v>
      </c>
      <c r="G56" s="59" t="s">
        <v>47</v>
      </c>
      <c r="H56" s="55" t="s">
        <v>180</v>
      </c>
      <c r="I56" s="59" t="s">
        <v>60</v>
      </c>
      <c r="J56" s="55" t="s">
        <v>100</v>
      </c>
      <c r="K56" s="55" t="s">
        <v>101</v>
      </c>
      <c r="L56" s="55" t="s">
        <v>133</v>
      </c>
      <c r="M56" s="55" t="s">
        <v>102</v>
      </c>
      <c r="N56" s="71"/>
      <c r="O56" s="71">
        <v>3</v>
      </c>
      <c r="P56" s="71">
        <v>3</v>
      </c>
      <c r="Q56" s="61">
        <v>0</v>
      </c>
      <c r="R56" s="55" t="s">
        <v>113</v>
      </c>
      <c r="T56" s="55" t="s">
        <v>162</v>
      </c>
      <c r="U56" s="55" t="s">
        <v>169</v>
      </c>
    </row>
    <row r="57" spans="1:21" s="55" customFormat="1" x14ac:dyDescent="0.2">
      <c r="A57" s="74">
        <v>2019</v>
      </c>
      <c r="B57" s="55" t="s">
        <v>364</v>
      </c>
      <c r="C57" s="59">
        <v>22788</v>
      </c>
      <c r="D57" s="61">
        <v>29</v>
      </c>
      <c r="E57" s="77">
        <v>43661</v>
      </c>
      <c r="F57" s="55" t="s">
        <v>99</v>
      </c>
      <c r="G57" s="59" t="s">
        <v>47</v>
      </c>
      <c r="H57" s="55" t="s">
        <v>177</v>
      </c>
      <c r="I57" s="59" t="s">
        <v>60</v>
      </c>
      <c r="J57" s="55" t="s">
        <v>100</v>
      </c>
      <c r="K57" s="55" t="s">
        <v>101</v>
      </c>
      <c r="L57" s="55" t="s">
        <v>132</v>
      </c>
      <c r="M57" s="55" t="s">
        <v>102</v>
      </c>
      <c r="N57" s="71"/>
      <c r="O57" s="71">
        <v>46</v>
      </c>
      <c r="P57" s="71">
        <v>46</v>
      </c>
      <c r="Q57" s="61">
        <v>0</v>
      </c>
      <c r="R57" s="55" t="s">
        <v>113</v>
      </c>
      <c r="T57" s="55" t="s">
        <v>161</v>
      </c>
      <c r="U57" s="55" t="s">
        <v>168</v>
      </c>
    </row>
    <row r="58" spans="1:21" s="55" customFormat="1" x14ac:dyDescent="0.2">
      <c r="A58" s="74">
        <v>2019</v>
      </c>
      <c r="B58" s="55" t="s">
        <v>365</v>
      </c>
      <c r="C58" s="59">
        <v>22789</v>
      </c>
      <c r="D58" s="61">
        <v>29</v>
      </c>
      <c r="E58" s="77">
        <v>43661</v>
      </c>
      <c r="F58" s="55" t="s">
        <v>99</v>
      </c>
      <c r="G58" s="59" t="s">
        <v>47</v>
      </c>
      <c r="H58" s="55" t="s">
        <v>105</v>
      </c>
      <c r="I58" s="59" t="s">
        <v>60</v>
      </c>
      <c r="J58" s="55" t="s">
        <v>100</v>
      </c>
      <c r="K58" s="55" t="s">
        <v>101</v>
      </c>
      <c r="L58" s="55" t="s">
        <v>132</v>
      </c>
      <c r="M58" s="55" t="s">
        <v>102</v>
      </c>
      <c r="N58" s="71"/>
      <c r="O58" s="71">
        <v>40</v>
      </c>
      <c r="P58" s="71">
        <v>40</v>
      </c>
      <c r="Q58" s="61">
        <v>0</v>
      </c>
      <c r="R58" s="55" t="s">
        <v>113</v>
      </c>
      <c r="T58" s="55" t="s">
        <v>161</v>
      </c>
      <c r="U58" s="55" t="s">
        <v>168</v>
      </c>
    </row>
    <row r="59" spans="1:21" s="55" customFormat="1" x14ac:dyDescent="0.2">
      <c r="A59" s="74">
        <v>2019</v>
      </c>
      <c r="B59" s="55" t="s">
        <v>366</v>
      </c>
      <c r="C59" s="59">
        <v>22790</v>
      </c>
      <c r="D59" s="61">
        <v>29</v>
      </c>
      <c r="E59" s="77">
        <v>43661</v>
      </c>
      <c r="F59" s="55" t="s">
        <v>99</v>
      </c>
      <c r="G59" s="59" t="s">
        <v>47</v>
      </c>
      <c r="H59" s="55" t="s">
        <v>280</v>
      </c>
      <c r="I59" s="59" t="s">
        <v>60</v>
      </c>
      <c r="J59" s="55" t="s">
        <v>100</v>
      </c>
      <c r="K59" s="55" t="s">
        <v>101</v>
      </c>
      <c r="L59" s="55" t="s">
        <v>132</v>
      </c>
      <c r="M59" s="55" t="s">
        <v>102</v>
      </c>
      <c r="N59" s="71"/>
      <c r="O59" s="71">
        <v>31</v>
      </c>
      <c r="P59" s="71">
        <v>31</v>
      </c>
      <c r="Q59" s="61">
        <v>0</v>
      </c>
      <c r="R59" s="55" t="s">
        <v>113</v>
      </c>
      <c r="T59" s="55" t="s">
        <v>161</v>
      </c>
      <c r="U59" s="55" t="s">
        <v>168</v>
      </c>
    </row>
    <row r="60" spans="1:21" s="55" customFormat="1" x14ac:dyDescent="0.2">
      <c r="A60" s="74">
        <v>2019</v>
      </c>
      <c r="B60" s="55" t="s">
        <v>367</v>
      </c>
      <c r="C60" s="59">
        <v>22791</v>
      </c>
      <c r="D60" s="61">
        <v>29</v>
      </c>
      <c r="E60" s="77">
        <v>43661</v>
      </c>
      <c r="F60" s="55" t="s">
        <v>99</v>
      </c>
      <c r="G60" s="59" t="s">
        <v>47</v>
      </c>
      <c r="H60" s="55" t="s">
        <v>176</v>
      </c>
      <c r="I60" s="59" t="s">
        <v>60</v>
      </c>
      <c r="J60" s="55" t="s">
        <v>100</v>
      </c>
      <c r="K60" s="55" t="s">
        <v>101</v>
      </c>
      <c r="L60" s="55" t="s">
        <v>132</v>
      </c>
      <c r="M60" s="55" t="s">
        <v>102</v>
      </c>
      <c r="N60" s="71"/>
      <c r="O60" s="71">
        <v>46</v>
      </c>
      <c r="P60" s="71">
        <v>46</v>
      </c>
      <c r="Q60" s="61">
        <v>0</v>
      </c>
      <c r="R60" s="55" t="s">
        <v>113</v>
      </c>
      <c r="T60" s="55" t="s">
        <v>161</v>
      </c>
      <c r="U60" s="55" t="s">
        <v>168</v>
      </c>
    </row>
    <row r="61" spans="1:21" s="55" customFormat="1" x14ac:dyDescent="0.2">
      <c r="A61" s="74">
        <v>2019</v>
      </c>
      <c r="B61" s="55" t="s">
        <v>368</v>
      </c>
      <c r="C61" s="59">
        <v>22792</v>
      </c>
      <c r="D61" s="61">
        <v>29</v>
      </c>
      <c r="E61" s="77">
        <v>43661</v>
      </c>
      <c r="F61" s="55" t="s">
        <v>99</v>
      </c>
      <c r="G61" s="59" t="s">
        <v>47</v>
      </c>
      <c r="H61" s="55" t="s">
        <v>175</v>
      </c>
      <c r="I61" s="59" t="s">
        <v>60</v>
      </c>
      <c r="J61" s="55" t="s">
        <v>100</v>
      </c>
      <c r="K61" s="55" t="s">
        <v>101</v>
      </c>
      <c r="L61" s="55" t="s">
        <v>132</v>
      </c>
      <c r="M61" s="55" t="s">
        <v>102</v>
      </c>
      <c r="N61" s="71"/>
      <c r="O61" s="71">
        <v>50</v>
      </c>
      <c r="P61" s="71">
        <v>50</v>
      </c>
      <c r="Q61" s="61">
        <v>0</v>
      </c>
      <c r="R61" s="55" t="s">
        <v>113</v>
      </c>
      <c r="T61" s="55" t="s">
        <v>161</v>
      </c>
      <c r="U61" s="55" t="s">
        <v>168</v>
      </c>
    </row>
    <row r="62" spans="1:21" s="55" customFormat="1" x14ac:dyDescent="0.2">
      <c r="A62" s="74">
        <v>2019</v>
      </c>
      <c r="B62" s="55" t="s">
        <v>369</v>
      </c>
      <c r="C62" s="59">
        <v>22793</v>
      </c>
      <c r="D62" s="61">
        <v>29</v>
      </c>
      <c r="E62" s="77">
        <v>43661</v>
      </c>
      <c r="F62" s="55" t="s">
        <v>99</v>
      </c>
      <c r="G62" s="59" t="s">
        <v>47</v>
      </c>
      <c r="H62" s="55" t="s">
        <v>175</v>
      </c>
      <c r="I62" s="59" t="s">
        <v>60</v>
      </c>
      <c r="J62" s="55" t="s">
        <v>100</v>
      </c>
      <c r="K62" s="55" t="s">
        <v>101</v>
      </c>
      <c r="L62" s="55" t="s">
        <v>133</v>
      </c>
      <c r="M62" s="55" t="s">
        <v>102</v>
      </c>
      <c r="N62" s="71"/>
      <c r="O62" s="71">
        <v>7</v>
      </c>
      <c r="P62" s="71">
        <v>7</v>
      </c>
      <c r="Q62" s="61">
        <v>0</v>
      </c>
      <c r="R62" s="55" t="s">
        <v>113</v>
      </c>
      <c r="T62" s="55" t="s">
        <v>162</v>
      </c>
      <c r="U62" s="55" t="s">
        <v>169</v>
      </c>
    </row>
    <row r="63" spans="1:21" s="55" customFormat="1" x14ac:dyDescent="0.2">
      <c r="A63" s="74">
        <v>2019</v>
      </c>
      <c r="B63" s="55" t="s">
        <v>370</v>
      </c>
      <c r="C63" s="59">
        <v>22794</v>
      </c>
      <c r="D63" s="61">
        <v>29</v>
      </c>
      <c r="E63" s="77">
        <v>43661</v>
      </c>
      <c r="F63" s="55" t="s">
        <v>99</v>
      </c>
      <c r="G63" s="59" t="s">
        <v>47</v>
      </c>
      <c r="H63" s="55" t="s">
        <v>278</v>
      </c>
      <c r="I63" s="59" t="s">
        <v>60</v>
      </c>
      <c r="J63" s="55" t="s">
        <v>100</v>
      </c>
      <c r="K63" s="55" t="s">
        <v>101</v>
      </c>
      <c r="L63" s="55" t="s">
        <v>132</v>
      </c>
      <c r="M63" s="55" t="s">
        <v>102</v>
      </c>
      <c r="N63" s="71"/>
      <c r="O63" s="71">
        <v>28</v>
      </c>
      <c r="P63" s="71">
        <v>28</v>
      </c>
      <c r="Q63" s="61">
        <v>0</v>
      </c>
      <c r="R63" s="55" t="s">
        <v>113</v>
      </c>
      <c r="T63" s="55" t="s">
        <v>161</v>
      </c>
      <c r="U63" s="55" t="s">
        <v>168</v>
      </c>
    </row>
    <row r="64" spans="1:21" s="55" customFormat="1" x14ac:dyDescent="0.2">
      <c r="A64" s="74">
        <v>2019</v>
      </c>
      <c r="B64" s="55" t="s">
        <v>371</v>
      </c>
      <c r="C64" s="59">
        <v>22795</v>
      </c>
      <c r="D64" s="61">
        <v>29</v>
      </c>
      <c r="E64" s="77">
        <v>43661</v>
      </c>
      <c r="F64" s="55" t="s">
        <v>99</v>
      </c>
      <c r="G64" s="59" t="s">
        <v>47</v>
      </c>
      <c r="H64" s="55" t="s">
        <v>235</v>
      </c>
      <c r="I64" s="59" t="s">
        <v>60</v>
      </c>
      <c r="J64" s="55" t="s">
        <v>100</v>
      </c>
      <c r="K64" s="55" t="s">
        <v>101</v>
      </c>
      <c r="L64" s="55" t="s">
        <v>132</v>
      </c>
      <c r="M64" s="55" t="s">
        <v>102</v>
      </c>
      <c r="N64" s="71"/>
      <c r="O64" s="71">
        <v>25</v>
      </c>
      <c r="P64" s="71">
        <v>25</v>
      </c>
      <c r="Q64" s="61">
        <v>0</v>
      </c>
      <c r="R64" s="55" t="s">
        <v>113</v>
      </c>
      <c r="T64" s="55" t="s">
        <v>161</v>
      </c>
      <c r="U64" s="55" t="s">
        <v>168</v>
      </c>
    </row>
    <row r="65" spans="1:21" s="55" customFormat="1" x14ac:dyDescent="0.2">
      <c r="A65" s="74">
        <v>2019</v>
      </c>
      <c r="B65" s="55" t="s">
        <v>372</v>
      </c>
      <c r="C65" s="59">
        <v>22796</v>
      </c>
      <c r="D65" s="61">
        <v>29</v>
      </c>
      <c r="E65" s="77">
        <v>43662</v>
      </c>
      <c r="F65" s="55" t="s">
        <v>99</v>
      </c>
      <c r="G65" s="59" t="s">
        <v>47</v>
      </c>
      <c r="H65" s="55" t="s">
        <v>281</v>
      </c>
      <c r="I65" s="59" t="s">
        <v>58</v>
      </c>
      <c r="J65" s="55" t="s">
        <v>100</v>
      </c>
      <c r="K65" s="55" t="s">
        <v>101</v>
      </c>
      <c r="L65" s="55" t="s">
        <v>132</v>
      </c>
      <c r="M65" s="55" t="s">
        <v>102</v>
      </c>
      <c r="N65" s="71"/>
      <c r="O65" s="71">
        <v>4</v>
      </c>
      <c r="P65" s="71">
        <v>4</v>
      </c>
      <c r="Q65" s="61">
        <v>0</v>
      </c>
      <c r="R65" s="55" t="s">
        <v>113</v>
      </c>
      <c r="T65" s="55" t="s">
        <v>161</v>
      </c>
      <c r="U65" s="55" t="s">
        <v>166</v>
      </c>
    </row>
    <row r="66" spans="1:21" s="55" customFormat="1" x14ac:dyDescent="0.2">
      <c r="A66" s="74">
        <v>2019</v>
      </c>
      <c r="B66" s="55" t="s">
        <v>373</v>
      </c>
      <c r="C66" s="59">
        <v>22797</v>
      </c>
      <c r="D66" s="61">
        <v>29</v>
      </c>
      <c r="E66" s="77">
        <v>43662</v>
      </c>
      <c r="F66" s="55" t="s">
        <v>99</v>
      </c>
      <c r="G66" s="59" t="s">
        <v>47</v>
      </c>
      <c r="H66" s="55" t="s">
        <v>181</v>
      </c>
      <c r="I66" s="59" t="s">
        <v>58</v>
      </c>
      <c r="J66" s="55" t="s">
        <v>100</v>
      </c>
      <c r="K66" s="55" t="s">
        <v>101</v>
      </c>
      <c r="L66" s="55" t="s">
        <v>132</v>
      </c>
      <c r="M66" s="55" t="s">
        <v>102</v>
      </c>
      <c r="N66" s="71"/>
      <c r="O66" s="71">
        <v>13</v>
      </c>
      <c r="P66" s="71">
        <v>13</v>
      </c>
      <c r="Q66" s="61">
        <v>0</v>
      </c>
      <c r="R66" s="55" t="s">
        <v>113</v>
      </c>
      <c r="T66" s="55" t="s">
        <v>161</v>
      </c>
      <c r="U66" s="55" t="s">
        <v>166</v>
      </c>
    </row>
    <row r="67" spans="1:21" s="55" customFormat="1" x14ac:dyDescent="0.2">
      <c r="A67" s="74">
        <v>2019</v>
      </c>
      <c r="B67" s="55" t="s">
        <v>374</v>
      </c>
      <c r="C67" s="59">
        <v>22798</v>
      </c>
      <c r="D67" s="61">
        <v>29</v>
      </c>
      <c r="E67" s="77">
        <v>43662</v>
      </c>
      <c r="F67" s="55" t="s">
        <v>99</v>
      </c>
      <c r="G67" s="59" t="s">
        <v>47</v>
      </c>
      <c r="H67" s="55" t="s">
        <v>237</v>
      </c>
      <c r="I67" s="59" t="s">
        <v>58</v>
      </c>
      <c r="J67" s="55" t="s">
        <v>100</v>
      </c>
      <c r="K67" s="55" t="s">
        <v>101</v>
      </c>
      <c r="L67" s="55" t="s">
        <v>132</v>
      </c>
      <c r="M67" s="55" t="s">
        <v>102</v>
      </c>
      <c r="N67" s="71"/>
      <c r="O67" s="71">
        <v>11</v>
      </c>
      <c r="P67" s="71">
        <v>11</v>
      </c>
      <c r="Q67" s="61">
        <v>0</v>
      </c>
      <c r="R67" s="55" t="s">
        <v>113</v>
      </c>
      <c r="T67" s="55" t="s">
        <v>161</v>
      </c>
      <c r="U67" s="55" t="s">
        <v>166</v>
      </c>
    </row>
    <row r="68" spans="1:21" s="55" customFormat="1" x14ac:dyDescent="0.2">
      <c r="A68" s="74">
        <v>2019</v>
      </c>
      <c r="B68" s="55" t="s">
        <v>375</v>
      </c>
      <c r="C68" s="59">
        <v>22799</v>
      </c>
      <c r="D68" s="61">
        <v>29</v>
      </c>
      <c r="E68" s="77">
        <v>43662</v>
      </c>
      <c r="F68" s="55" t="s">
        <v>99</v>
      </c>
      <c r="G68" s="59" t="s">
        <v>47</v>
      </c>
      <c r="H68" s="55" t="s">
        <v>237</v>
      </c>
      <c r="I68" s="59" t="s">
        <v>58</v>
      </c>
      <c r="J68" s="55" t="s">
        <v>100</v>
      </c>
      <c r="K68" s="55" t="s">
        <v>101</v>
      </c>
      <c r="L68" s="55" t="s">
        <v>133</v>
      </c>
      <c r="M68" s="55" t="s">
        <v>102</v>
      </c>
      <c r="N68" s="71"/>
      <c r="O68" s="71">
        <v>3</v>
      </c>
      <c r="P68" s="71">
        <v>3</v>
      </c>
      <c r="Q68" s="61">
        <v>0</v>
      </c>
      <c r="R68" s="55" t="s">
        <v>113</v>
      </c>
      <c r="T68" s="55" t="s">
        <v>162</v>
      </c>
      <c r="U68" s="55" t="s">
        <v>167</v>
      </c>
    </row>
    <row r="69" spans="1:21" s="55" customFormat="1" x14ac:dyDescent="0.2">
      <c r="A69" s="74">
        <v>2019</v>
      </c>
      <c r="B69" s="55" t="s">
        <v>376</v>
      </c>
      <c r="C69" s="59">
        <v>22800</v>
      </c>
      <c r="D69" s="61">
        <v>29</v>
      </c>
      <c r="E69" s="77">
        <v>43662</v>
      </c>
      <c r="F69" s="55" t="s">
        <v>99</v>
      </c>
      <c r="G69" s="59" t="s">
        <v>47</v>
      </c>
      <c r="H69" s="55" t="s">
        <v>282</v>
      </c>
      <c r="I69" s="59" t="s">
        <v>58</v>
      </c>
      <c r="J69" s="55" t="s">
        <v>100</v>
      </c>
      <c r="K69" s="55" t="s">
        <v>101</v>
      </c>
      <c r="L69" s="59" t="s">
        <v>132</v>
      </c>
      <c r="M69" s="55" t="s">
        <v>102</v>
      </c>
      <c r="N69" s="71"/>
      <c r="O69" s="71">
        <v>3</v>
      </c>
      <c r="P69" s="71">
        <v>3</v>
      </c>
      <c r="Q69" s="61">
        <v>0</v>
      </c>
      <c r="R69" s="55" t="s">
        <v>113</v>
      </c>
      <c r="T69" s="55" t="s">
        <v>161</v>
      </c>
      <c r="U69" s="55" t="s">
        <v>166</v>
      </c>
    </row>
    <row r="70" spans="1:21" s="55" customFormat="1" x14ac:dyDescent="0.2">
      <c r="A70" s="74">
        <v>2019</v>
      </c>
      <c r="B70" s="55" t="s">
        <v>377</v>
      </c>
      <c r="C70" s="59">
        <v>22801</v>
      </c>
      <c r="D70" s="61">
        <v>29</v>
      </c>
      <c r="E70" s="77">
        <v>43662</v>
      </c>
      <c r="F70" s="55" t="s">
        <v>99</v>
      </c>
      <c r="G70" s="59" t="s">
        <v>47</v>
      </c>
      <c r="H70" s="55" t="s">
        <v>183</v>
      </c>
      <c r="I70" s="59" t="s">
        <v>58</v>
      </c>
      <c r="J70" s="55" t="s">
        <v>103</v>
      </c>
      <c r="K70" s="55" t="s">
        <v>101</v>
      </c>
      <c r="L70" s="55" t="s">
        <v>133</v>
      </c>
      <c r="M70" s="55" t="s">
        <v>102</v>
      </c>
      <c r="N70" s="71">
        <v>2</v>
      </c>
      <c r="O70" s="71"/>
      <c r="P70" s="71">
        <v>2</v>
      </c>
      <c r="Q70" s="61">
        <v>0</v>
      </c>
      <c r="R70" s="55" t="s">
        <v>113</v>
      </c>
      <c r="T70" s="55" t="s">
        <v>162</v>
      </c>
      <c r="U70" s="55" t="s">
        <v>167</v>
      </c>
    </row>
    <row r="71" spans="1:21" s="55" customFormat="1" x14ac:dyDescent="0.2">
      <c r="A71" s="71">
        <v>2019</v>
      </c>
      <c r="B71" s="55" t="s">
        <v>378</v>
      </c>
      <c r="C71" s="59">
        <v>22802</v>
      </c>
      <c r="D71" s="61">
        <v>29</v>
      </c>
      <c r="E71" s="77">
        <v>43662</v>
      </c>
      <c r="F71" s="55" t="s">
        <v>99</v>
      </c>
      <c r="G71" s="59" t="s">
        <v>47</v>
      </c>
      <c r="H71" s="55" t="s">
        <v>285</v>
      </c>
      <c r="I71" s="59" t="s">
        <v>61</v>
      </c>
      <c r="J71" s="55" t="s">
        <v>100</v>
      </c>
      <c r="K71" s="55" t="s">
        <v>101</v>
      </c>
      <c r="L71" s="55" t="s">
        <v>133</v>
      </c>
      <c r="M71" s="55" t="s">
        <v>102</v>
      </c>
      <c r="N71" s="71"/>
      <c r="O71" s="71">
        <v>2</v>
      </c>
      <c r="P71" s="71">
        <v>2</v>
      </c>
      <c r="Q71" s="61">
        <v>0</v>
      </c>
      <c r="R71" s="55" t="s">
        <v>113</v>
      </c>
      <c r="T71" s="55" t="s">
        <v>162</v>
      </c>
      <c r="U71" s="55" t="s">
        <v>245</v>
      </c>
    </row>
    <row r="72" spans="1:21" s="55" customFormat="1" x14ac:dyDescent="0.2">
      <c r="A72" s="71">
        <v>2019</v>
      </c>
      <c r="B72" s="55" t="s">
        <v>379</v>
      </c>
      <c r="C72" s="59">
        <v>22803</v>
      </c>
      <c r="D72" s="61">
        <v>29</v>
      </c>
      <c r="E72" s="77">
        <v>43662</v>
      </c>
      <c r="F72" s="55" t="s">
        <v>99</v>
      </c>
      <c r="G72" s="59" t="s">
        <v>47</v>
      </c>
      <c r="H72" s="55" t="s">
        <v>283</v>
      </c>
      <c r="I72" s="59" t="s">
        <v>58</v>
      </c>
      <c r="J72" s="55" t="s">
        <v>100</v>
      </c>
      <c r="K72" s="55" t="s">
        <v>101</v>
      </c>
      <c r="L72" s="55" t="s">
        <v>132</v>
      </c>
      <c r="M72" s="55" t="s">
        <v>102</v>
      </c>
      <c r="N72" s="71"/>
      <c r="O72" s="71">
        <v>6</v>
      </c>
      <c r="P72" s="71">
        <v>6</v>
      </c>
      <c r="Q72" s="61">
        <v>0</v>
      </c>
      <c r="R72" s="55" t="s">
        <v>113</v>
      </c>
      <c r="T72" s="55" t="s">
        <v>161</v>
      </c>
      <c r="U72" s="55" t="s">
        <v>166</v>
      </c>
    </row>
    <row r="73" spans="1:21" s="55" customFormat="1" x14ac:dyDescent="0.2">
      <c r="A73" s="71">
        <v>2019</v>
      </c>
      <c r="B73" s="55" t="s">
        <v>380</v>
      </c>
      <c r="C73" s="59">
        <v>22804</v>
      </c>
      <c r="D73" s="61">
        <v>29</v>
      </c>
      <c r="E73" s="77">
        <v>43662</v>
      </c>
      <c r="F73" s="55" t="s">
        <v>99</v>
      </c>
      <c r="G73" s="59" t="s">
        <v>112</v>
      </c>
      <c r="H73" s="55" t="s">
        <v>286</v>
      </c>
      <c r="I73" s="59" t="s">
        <v>112</v>
      </c>
      <c r="J73" s="55" t="s">
        <v>100</v>
      </c>
      <c r="K73" s="55" t="s">
        <v>101</v>
      </c>
      <c r="L73" s="55" t="s">
        <v>132</v>
      </c>
      <c r="M73" s="55" t="s">
        <v>102</v>
      </c>
      <c r="N73" s="71"/>
      <c r="O73" s="71">
        <v>12</v>
      </c>
      <c r="P73" s="71">
        <v>12</v>
      </c>
      <c r="Q73" s="61">
        <v>0</v>
      </c>
      <c r="R73" s="55" t="s">
        <v>113</v>
      </c>
      <c r="T73" s="55" t="s">
        <v>163</v>
      </c>
      <c r="U73" s="55" t="s">
        <v>163</v>
      </c>
    </row>
    <row r="74" spans="1:21" s="55" customFormat="1" x14ac:dyDescent="0.2">
      <c r="A74" s="71">
        <v>2019</v>
      </c>
      <c r="B74" s="55" t="s">
        <v>381</v>
      </c>
      <c r="C74" s="59">
        <v>22805</v>
      </c>
      <c r="D74" s="61">
        <v>29</v>
      </c>
      <c r="E74" s="77">
        <v>43662</v>
      </c>
      <c r="F74" s="55" t="s">
        <v>99</v>
      </c>
      <c r="G74" s="59" t="s">
        <v>47</v>
      </c>
      <c r="H74" s="55" t="s">
        <v>284</v>
      </c>
      <c r="I74" s="59" t="s">
        <v>58</v>
      </c>
      <c r="J74" s="55" t="s">
        <v>103</v>
      </c>
      <c r="K74" s="55" t="s">
        <v>101</v>
      </c>
      <c r="L74" s="55" t="s">
        <v>133</v>
      </c>
      <c r="M74" s="55" t="s">
        <v>102</v>
      </c>
      <c r="N74" s="71">
        <v>9</v>
      </c>
      <c r="O74" s="71"/>
      <c r="P74" s="71">
        <v>9</v>
      </c>
      <c r="Q74" s="61">
        <v>0</v>
      </c>
      <c r="R74" s="55" t="s">
        <v>113</v>
      </c>
      <c r="T74" s="55" t="s">
        <v>162</v>
      </c>
      <c r="U74" s="55" t="s">
        <v>167</v>
      </c>
    </row>
    <row r="75" spans="1:21" s="55" customFormat="1" x14ac:dyDescent="0.2">
      <c r="A75" s="71">
        <v>2019</v>
      </c>
      <c r="B75" s="55" t="s">
        <v>382</v>
      </c>
      <c r="C75" s="59">
        <v>22806</v>
      </c>
      <c r="D75" s="61">
        <v>29</v>
      </c>
      <c r="E75" s="77">
        <v>43662</v>
      </c>
      <c r="F75" s="55" t="s">
        <v>99</v>
      </c>
      <c r="G75" s="59" t="s">
        <v>112</v>
      </c>
      <c r="H75" s="55" t="s">
        <v>185</v>
      </c>
      <c r="I75" s="59" t="s">
        <v>112</v>
      </c>
      <c r="J75" s="55" t="s">
        <v>100</v>
      </c>
      <c r="K75" s="55" t="s">
        <v>101</v>
      </c>
      <c r="L75" s="55" t="s">
        <v>132</v>
      </c>
      <c r="M75" s="55" t="s">
        <v>102</v>
      </c>
      <c r="N75" s="71"/>
      <c r="O75" s="71">
        <v>50</v>
      </c>
      <c r="P75" s="71">
        <v>50</v>
      </c>
      <c r="Q75" s="61">
        <v>0</v>
      </c>
      <c r="R75" s="55" t="s">
        <v>113</v>
      </c>
      <c r="T75" s="55" t="s">
        <v>163</v>
      </c>
      <c r="U75" s="55" t="s">
        <v>163</v>
      </c>
    </row>
    <row r="76" spans="1:21" s="55" customFormat="1" x14ac:dyDescent="0.2">
      <c r="A76" s="71">
        <v>2019</v>
      </c>
      <c r="B76" s="55" t="s">
        <v>383</v>
      </c>
      <c r="C76" s="59">
        <v>22807</v>
      </c>
      <c r="D76" s="61">
        <v>29</v>
      </c>
      <c r="E76" s="77">
        <v>43662</v>
      </c>
      <c r="F76" s="55" t="s">
        <v>99</v>
      </c>
      <c r="G76" s="59" t="s">
        <v>112</v>
      </c>
      <c r="H76" s="55" t="s">
        <v>185</v>
      </c>
      <c r="I76" s="59" t="s">
        <v>112</v>
      </c>
      <c r="J76" s="55" t="s">
        <v>100</v>
      </c>
      <c r="K76" s="55" t="s">
        <v>101</v>
      </c>
      <c r="L76" s="55" t="s">
        <v>132</v>
      </c>
      <c r="M76" s="55" t="s">
        <v>102</v>
      </c>
      <c r="N76" s="71"/>
      <c r="O76" s="71">
        <v>13</v>
      </c>
      <c r="P76" s="71">
        <v>13</v>
      </c>
      <c r="Q76" s="61">
        <v>0</v>
      </c>
      <c r="R76" s="55" t="s">
        <v>113</v>
      </c>
      <c r="T76" s="55" t="s">
        <v>163</v>
      </c>
      <c r="U76" s="55" t="s">
        <v>163</v>
      </c>
    </row>
    <row r="77" spans="1:21" s="55" customFormat="1" x14ac:dyDescent="0.2">
      <c r="A77" s="71">
        <v>2019</v>
      </c>
      <c r="B77" s="55" t="s">
        <v>384</v>
      </c>
      <c r="C77" s="59">
        <v>22808</v>
      </c>
      <c r="D77" s="61">
        <v>29</v>
      </c>
      <c r="E77" s="77">
        <v>43662</v>
      </c>
      <c r="F77" s="55" t="s">
        <v>99</v>
      </c>
      <c r="G77" s="59" t="s">
        <v>112</v>
      </c>
      <c r="H77" s="55" t="s">
        <v>185</v>
      </c>
      <c r="I77" s="59" t="s">
        <v>112</v>
      </c>
      <c r="J77" s="55" t="s">
        <v>100</v>
      </c>
      <c r="K77" s="55" t="s">
        <v>101</v>
      </c>
      <c r="L77" s="55" t="s">
        <v>133</v>
      </c>
      <c r="M77" s="55" t="s">
        <v>102</v>
      </c>
      <c r="N77" s="71"/>
      <c r="O77" s="71">
        <v>7</v>
      </c>
      <c r="P77" s="71">
        <v>7</v>
      </c>
      <c r="Q77" s="61">
        <v>0</v>
      </c>
      <c r="R77" s="55" t="s">
        <v>113</v>
      </c>
      <c r="T77" s="55" t="s">
        <v>408</v>
      </c>
      <c r="U77" s="55" t="s">
        <v>408</v>
      </c>
    </row>
    <row r="78" spans="1:21" s="55" customFormat="1" x14ac:dyDescent="0.2">
      <c r="A78" s="71">
        <v>2019</v>
      </c>
      <c r="B78" s="55" t="s">
        <v>385</v>
      </c>
      <c r="C78" s="59">
        <v>22809</v>
      </c>
      <c r="D78" s="61">
        <v>29</v>
      </c>
      <c r="E78" s="77">
        <v>43662</v>
      </c>
      <c r="F78" s="55" t="s">
        <v>99</v>
      </c>
      <c r="G78" s="59" t="s">
        <v>112</v>
      </c>
      <c r="H78" s="55" t="s">
        <v>238</v>
      </c>
      <c r="I78" s="59" t="s">
        <v>112</v>
      </c>
      <c r="J78" s="55" t="s">
        <v>100</v>
      </c>
      <c r="K78" s="55" t="s">
        <v>101</v>
      </c>
      <c r="L78" s="55" t="s">
        <v>132</v>
      </c>
      <c r="M78" s="55" t="s">
        <v>102</v>
      </c>
      <c r="N78" s="71"/>
      <c r="O78" s="71">
        <v>24</v>
      </c>
      <c r="P78" s="71">
        <v>24</v>
      </c>
      <c r="Q78" s="61">
        <v>0</v>
      </c>
      <c r="R78" s="55" t="s">
        <v>113</v>
      </c>
      <c r="T78" s="55" t="s">
        <v>163</v>
      </c>
      <c r="U78" s="55" t="s">
        <v>163</v>
      </c>
    </row>
    <row r="79" spans="1:21" s="55" customFormat="1" x14ac:dyDescent="0.2">
      <c r="A79" s="71">
        <v>2019</v>
      </c>
      <c r="B79" s="55" t="s">
        <v>386</v>
      </c>
      <c r="C79" s="59">
        <v>22810</v>
      </c>
      <c r="D79" s="61">
        <v>29</v>
      </c>
      <c r="E79" s="77">
        <v>43662</v>
      </c>
      <c r="F79" s="55" t="s">
        <v>99</v>
      </c>
      <c r="G79" s="59" t="s">
        <v>9</v>
      </c>
      <c r="H79" s="55" t="s">
        <v>239</v>
      </c>
      <c r="I79" s="59" t="s">
        <v>9</v>
      </c>
      <c r="J79" s="55" t="s">
        <v>100</v>
      </c>
      <c r="K79" s="55" t="s">
        <v>101</v>
      </c>
      <c r="L79" s="55" t="s">
        <v>132</v>
      </c>
      <c r="M79" s="55" t="s">
        <v>102</v>
      </c>
      <c r="N79" s="71"/>
      <c r="O79" s="71">
        <v>50</v>
      </c>
      <c r="P79" s="71">
        <v>50</v>
      </c>
      <c r="Q79" s="61">
        <v>0</v>
      </c>
      <c r="R79" s="55" t="s">
        <v>113</v>
      </c>
      <c r="T79" s="55" t="s">
        <v>160</v>
      </c>
      <c r="U79" s="55" t="s">
        <v>160</v>
      </c>
    </row>
    <row r="80" spans="1:21" s="55" customFormat="1" x14ac:dyDescent="0.2">
      <c r="A80" s="71">
        <v>2019</v>
      </c>
      <c r="B80" s="55" t="s">
        <v>387</v>
      </c>
      <c r="C80" s="59">
        <v>22811</v>
      </c>
      <c r="D80" s="61">
        <v>29</v>
      </c>
      <c r="E80" s="77">
        <v>43662</v>
      </c>
      <c r="F80" s="55" t="s">
        <v>99</v>
      </c>
      <c r="G80" s="59" t="s">
        <v>9</v>
      </c>
      <c r="H80" s="55" t="s">
        <v>239</v>
      </c>
      <c r="I80" s="59" t="s">
        <v>9</v>
      </c>
      <c r="J80" s="55" t="s">
        <v>100</v>
      </c>
      <c r="K80" s="55" t="s">
        <v>101</v>
      </c>
      <c r="L80" s="55" t="s">
        <v>132</v>
      </c>
      <c r="M80" s="55" t="s">
        <v>102</v>
      </c>
      <c r="N80" s="71"/>
      <c r="O80" s="71">
        <v>50</v>
      </c>
      <c r="P80" s="71">
        <v>50</v>
      </c>
      <c r="Q80" s="61">
        <v>0</v>
      </c>
      <c r="R80" s="55" t="s">
        <v>113</v>
      </c>
      <c r="T80" s="55" t="s">
        <v>160</v>
      </c>
      <c r="U80" s="55" t="s">
        <v>160</v>
      </c>
    </row>
    <row r="81" spans="1:21" s="55" customFormat="1" x14ac:dyDescent="0.2">
      <c r="A81" s="71">
        <v>2019</v>
      </c>
      <c r="B81" s="55" t="s">
        <v>388</v>
      </c>
      <c r="C81" s="59">
        <v>22812</v>
      </c>
      <c r="D81" s="61">
        <v>29</v>
      </c>
      <c r="E81" s="77">
        <v>43662</v>
      </c>
      <c r="F81" s="55" t="s">
        <v>99</v>
      </c>
      <c r="G81" s="59" t="s">
        <v>9</v>
      </c>
      <c r="H81" s="55" t="s">
        <v>239</v>
      </c>
      <c r="I81" s="59" t="s">
        <v>9</v>
      </c>
      <c r="J81" s="55" t="s">
        <v>100</v>
      </c>
      <c r="K81" s="55" t="s">
        <v>101</v>
      </c>
      <c r="L81" s="55" t="s">
        <v>132</v>
      </c>
      <c r="M81" s="55" t="s">
        <v>102</v>
      </c>
      <c r="N81" s="71"/>
      <c r="O81" s="71">
        <v>21</v>
      </c>
      <c r="P81" s="71">
        <v>21</v>
      </c>
      <c r="Q81" s="61">
        <v>0</v>
      </c>
      <c r="R81" s="55" t="s">
        <v>113</v>
      </c>
      <c r="T81" s="55" t="s">
        <v>160</v>
      </c>
      <c r="U81" s="55" t="s">
        <v>160</v>
      </c>
    </row>
    <row r="82" spans="1:21" s="55" customFormat="1" x14ac:dyDescent="0.2">
      <c r="A82" s="71">
        <v>2019</v>
      </c>
      <c r="B82" s="55" t="s">
        <v>389</v>
      </c>
      <c r="C82" s="59">
        <v>22813</v>
      </c>
      <c r="D82" s="61">
        <v>29</v>
      </c>
      <c r="E82" s="77">
        <v>43662</v>
      </c>
      <c r="F82" s="55" t="s">
        <v>99</v>
      </c>
      <c r="G82" s="59" t="s">
        <v>112</v>
      </c>
      <c r="H82" s="55" t="s">
        <v>184</v>
      </c>
      <c r="I82" s="59" t="s">
        <v>112</v>
      </c>
      <c r="J82" s="55" t="s">
        <v>100</v>
      </c>
      <c r="K82" s="55" t="s">
        <v>101</v>
      </c>
      <c r="L82" s="55" t="s">
        <v>132</v>
      </c>
      <c r="M82" s="55" t="s">
        <v>102</v>
      </c>
      <c r="N82" s="71"/>
      <c r="O82" s="71">
        <v>50</v>
      </c>
      <c r="P82" s="71">
        <v>50</v>
      </c>
      <c r="Q82" s="61">
        <v>0</v>
      </c>
      <c r="R82" s="55" t="s">
        <v>113</v>
      </c>
      <c r="T82" s="55" t="s">
        <v>163</v>
      </c>
      <c r="U82" s="55" t="s">
        <v>163</v>
      </c>
    </row>
    <row r="83" spans="1:21" s="55" customFormat="1" x14ac:dyDescent="0.2">
      <c r="A83" s="71">
        <v>2019</v>
      </c>
      <c r="B83" s="55" t="s">
        <v>390</v>
      </c>
      <c r="C83" s="59">
        <v>22814</v>
      </c>
      <c r="D83" s="61">
        <v>29</v>
      </c>
      <c r="E83" s="77">
        <v>43662</v>
      </c>
      <c r="F83" s="55" t="s">
        <v>99</v>
      </c>
      <c r="G83" s="59" t="s">
        <v>112</v>
      </c>
      <c r="H83" s="55" t="s">
        <v>184</v>
      </c>
      <c r="I83" s="59" t="s">
        <v>112</v>
      </c>
      <c r="J83" s="55" t="s">
        <v>100</v>
      </c>
      <c r="K83" s="55" t="s">
        <v>101</v>
      </c>
      <c r="L83" s="55" t="s">
        <v>132</v>
      </c>
      <c r="M83" s="55" t="s">
        <v>102</v>
      </c>
      <c r="N83" s="71"/>
      <c r="O83" s="71">
        <v>50</v>
      </c>
      <c r="P83" s="71">
        <v>50</v>
      </c>
      <c r="Q83" s="61">
        <v>0</v>
      </c>
      <c r="R83" s="55" t="s">
        <v>113</v>
      </c>
      <c r="T83" s="55" t="s">
        <v>163</v>
      </c>
      <c r="U83" s="55" t="s">
        <v>163</v>
      </c>
    </row>
    <row r="84" spans="1:21" s="55" customFormat="1" x14ac:dyDescent="0.2">
      <c r="A84" s="71">
        <v>2019</v>
      </c>
      <c r="B84" s="55" t="s">
        <v>391</v>
      </c>
      <c r="C84" s="59">
        <v>22815</v>
      </c>
      <c r="D84" s="61">
        <v>29</v>
      </c>
      <c r="E84" s="77">
        <v>43662</v>
      </c>
      <c r="F84" s="55" t="s">
        <v>99</v>
      </c>
      <c r="G84" s="59" t="s">
        <v>112</v>
      </c>
      <c r="H84" s="55" t="s">
        <v>182</v>
      </c>
      <c r="I84" s="59" t="s">
        <v>112</v>
      </c>
      <c r="J84" s="55" t="s">
        <v>100</v>
      </c>
      <c r="K84" s="55" t="s">
        <v>101</v>
      </c>
      <c r="L84" s="55" t="s">
        <v>132</v>
      </c>
      <c r="M84" s="55" t="s">
        <v>102</v>
      </c>
      <c r="N84" s="71"/>
      <c r="O84" s="71">
        <v>50</v>
      </c>
      <c r="P84" s="71">
        <v>50</v>
      </c>
      <c r="Q84" s="61">
        <v>0</v>
      </c>
      <c r="R84" s="55" t="s">
        <v>113</v>
      </c>
      <c r="T84" s="55" t="s">
        <v>163</v>
      </c>
      <c r="U84" s="55" t="s">
        <v>163</v>
      </c>
    </row>
    <row r="85" spans="1:21" s="55" customFormat="1" x14ac:dyDescent="0.2">
      <c r="A85" s="71">
        <v>2019</v>
      </c>
      <c r="B85" s="55" t="s">
        <v>392</v>
      </c>
      <c r="C85" s="59">
        <v>22816</v>
      </c>
      <c r="D85" s="61">
        <v>29</v>
      </c>
      <c r="E85" s="77">
        <v>43662</v>
      </c>
      <c r="F85" s="55" t="s">
        <v>99</v>
      </c>
      <c r="G85" s="59" t="s">
        <v>112</v>
      </c>
      <c r="H85" s="55" t="s">
        <v>182</v>
      </c>
      <c r="I85" s="59" t="s">
        <v>112</v>
      </c>
      <c r="J85" s="55" t="s">
        <v>100</v>
      </c>
      <c r="K85" s="55" t="s">
        <v>101</v>
      </c>
      <c r="L85" s="55" t="s">
        <v>132</v>
      </c>
      <c r="M85" s="55" t="s">
        <v>102</v>
      </c>
      <c r="N85" s="71"/>
      <c r="O85" s="71">
        <v>50</v>
      </c>
      <c r="P85" s="71">
        <v>50</v>
      </c>
      <c r="Q85" s="61">
        <v>0</v>
      </c>
      <c r="R85" s="55" t="s">
        <v>113</v>
      </c>
      <c r="T85" s="55" t="s">
        <v>163</v>
      </c>
      <c r="U85" s="55" t="s">
        <v>163</v>
      </c>
    </row>
    <row r="86" spans="1:21" s="55" customFormat="1" x14ac:dyDescent="0.2">
      <c r="A86" s="71">
        <v>2019</v>
      </c>
      <c r="B86" s="55" t="s">
        <v>393</v>
      </c>
      <c r="C86" s="59">
        <v>22817</v>
      </c>
      <c r="D86" s="61">
        <v>29</v>
      </c>
      <c r="E86" s="77">
        <v>43662</v>
      </c>
      <c r="F86" s="55" t="s">
        <v>99</v>
      </c>
      <c r="G86" s="59" t="s">
        <v>112</v>
      </c>
      <c r="H86" s="55" t="s">
        <v>182</v>
      </c>
      <c r="I86" s="59" t="s">
        <v>112</v>
      </c>
      <c r="J86" s="55" t="s">
        <v>100</v>
      </c>
      <c r="K86" s="55" t="s">
        <v>101</v>
      </c>
      <c r="L86" s="55" t="s">
        <v>132</v>
      </c>
      <c r="M86" s="55" t="s">
        <v>102</v>
      </c>
      <c r="N86" s="71"/>
      <c r="O86" s="71">
        <v>3</v>
      </c>
      <c r="P86" s="71">
        <v>3</v>
      </c>
      <c r="Q86" s="61">
        <v>0</v>
      </c>
      <c r="R86" s="55" t="s">
        <v>113</v>
      </c>
      <c r="T86" s="55" t="s">
        <v>163</v>
      </c>
      <c r="U86" s="55" t="s">
        <v>163</v>
      </c>
    </row>
    <row r="87" spans="1:21" s="55" customFormat="1" x14ac:dyDescent="0.2">
      <c r="A87" s="71">
        <v>2019</v>
      </c>
      <c r="B87" s="55" t="s">
        <v>394</v>
      </c>
      <c r="C87" s="59">
        <v>22818</v>
      </c>
      <c r="D87" s="61">
        <v>29</v>
      </c>
      <c r="E87" s="77">
        <v>43663</v>
      </c>
      <c r="F87" s="55" t="s">
        <v>99</v>
      </c>
      <c r="G87" s="59" t="s">
        <v>47</v>
      </c>
      <c r="H87" s="55" t="s">
        <v>289</v>
      </c>
      <c r="I87" s="59" t="s">
        <v>61</v>
      </c>
      <c r="J87" s="55" t="s">
        <v>100</v>
      </c>
      <c r="K87" s="55" t="s">
        <v>101</v>
      </c>
      <c r="L87" s="55" t="s">
        <v>132</v>
      </c>
      <c r="M87" s="55" t="s">
        <v>102</v>
      </c>
      <c r="N87" s="71"/>
      <c r="O87" s="71">
        <v>5</v>
      </c>
      <c r="P87" s="71">
        <v>5</v>
      </c>
      <c r="Q87" s="61">
        <v>0</v>
      </c>
      <c r="R87" s="55" t="s">
        <v>113</v>
      </c>
      <c r="T87" s="55" t="s">
        <v>161</v>
      </c>
      <c r="U87" s="55" t="s">
        <v>170</v>
      </c>
    </row>
    <row r="88" spans="1:21" s="55" customFormat="1" x14ac:dyDescent="0.2">
      <c r="A88" s="71">
        <v>2019</v>
      </c>
      <c r="B88" s="55" t="s">
        <v>395</v>
      </c>
      <c r="C88" s="59">
        <v>22819</v>
      </c>
      <c r="D88" s="61">
        <v>29</v>
      </c>
      <c r="E88" s="77">
        <v>43663</v>
      </c>
      <c r="F88" s="55" t="s">
        <v>99</v>
      </c>
      <c r="G88" s="59" t="s">
        <v>47</v>
      </c>
      <c r="H88" s="55" t="s">
        <v>241</v>
      </c>
      <c r="I88" s="59" t="s">
        <v>61</v>
      </c>
      <c r="J88" s="55" t="s">
        <v>100</v>
      </c>
      <c r="K88" s="55" t="s">
        <v>101</v>
      </c>
      <c r="L88" s="55" t="s">
        <v>132</v>
      </c>
      <c r="M88" s="55" t="s">
        <v>102</v>
      </c>
      <c r="N88" s="71"/>
      <c r="O88" s="71">
        <v>29</v>
      </c>
      <c r="P88" s="71">
        <v>29</v>
      </c>
      <c r="Q88" s="61">
        <v>0</v>
      </c>
      <c r="R88" s="55" t="s">
        <v>113</v>
      </c>
      <c r="T88" s="55" t="s">
        <v>161</v>
      </c>
      <c r="U88" s="55" t="s">
        <v>170</v>
      </c>
    </row>
    <row r="89" spans="1:21" s="55" customFormat="1" x14ac:dyDescent="0.2">
      <c r="A89" s="71">
        <v>2019</v>
      </c>
      <c r="B89" s="55" t="s">
        <v>396</v>
      </c>
      <c r="C89" s="59">
        <v>22820</v>
      </c>
      <c r="D89" s="61">
        <v>29</v>
      </c>
      <c r="E89" s="77">
        <v>43663</v>
      </c>
      <c r="F89" s="55" t="s">
        <v>99</v>
      </c>
      <c r="G89" s="59" t="s">
        <v>47</v>
      </c>
      <c r="H89" s="55" t="s">
        <v>242</v>
      </c>
      <c r="I89" s="59" t="s">
        <v>60</v>
      </c>
      <c r="J89" s="55" t="s">
        <v>100</v>
      </c>
      <c r="K89" s="55" t="s">
        <v>101</v>
      </c>
      <c r="L89" s="55" t="s">
        <v>132</v>
      </c>
      <c r="M89" s="55" t="s">
        <v>102</v>
      </c>
      <c r="N89" s="71"/>
      <c r="O89" s="71">
        <v>14</v>
      </c>
      <c r="P89" s="71">
        <v>14</v>
      </c>
      <c r="Q89" s="61">
        <v>0</v>
      </c>
      <c r="R89" s="55" t="s">
        <v>113</v>
      </c>
      <c r="T89" s="55" t="s">
        <v>161</v>
      </c>
      <c r="U89" s="55" t="s">
        <v>168</v>
      </c>
    </row>
    <row r="90" spans="1:21" s="55" customFormat="1" x14ac:dyDescent="0.2">
      <c r="A90" s="71">
        <v>2019</v>
      </c>
      <c r="B90" s="55" t="s">
        <v>397</v>
      </c>
      <c r="C90" s="59">
        <v>22821</v>
      </c>
      <c r="D90" s="61">
        <v>29</v>
      </c>
      <c r="E90" s="77">
        <v>43663</v>
      </c>
      <c r="F90" s="55" t="s">
        <v>99</v>
      </c>
      <c r="G90" s="59" t="s">
        <v>47</v>
      </c>
      <c r="H90" s="55" t="s">
        <v>186</v>
      </c>
      <c r="I90" s="59" t="s">
        <v>61</v>
      </c>
      <c r="J90" s="55" t="s">
        <v>100</v>
      </c>
      <c r="K90" s="55" t="s">
        <v>101</v>
      </c>
      <c r="L90" s="55" t="s">
        <v>132</v>
      </c>
      <c r="M90" s="55" t="s">
        <v>102</v>
      </c>
      <c r="N90" s="71"/>
      <c r="O90" s="71">
        <v>25</v>
      </c>
      <c r="P90" s="71">
        <v>25</v>
      </c>
      <c r="Q90" s="61">
        <v>0</v>
      </c>
      <c r="R90" s="55" t="s">
        <v>113</v>
      </c>
      <c r="T90" s="55" t="s">
        <v>161</v>
      </c>
      <c r="U90" s="55" t="s">
        <v>170</v>
      </c>
    </row>
    <row r="91" spans="1:21" s="55" customFormat="1" x14ac:dyDescent="0.2">
      <c r="A91" s="71">
        <v>2019</v>
      </c>
      <c r="B91" s="55" t="s">
        <v>398</v>
      </c>
      <c r="C91" s="59">
        <v>22822</v>
      </c>
      <c r="D91" s="61">
        <v>29</v>
      </c>
      <c r="E91" s="77">
        <v>43663</v>
      </c>
      <c r="F91" s="55" t="s">
        <v>99</v>
      </c>
      <c r="G91" s="59" t="s">
        <v>47</v>
      </c>
      <c r="H91" s="55" t="s">
        <v>104</v>
      </c>
      <c r="I91" s="59" t="s">
        <v>60</v>
      </c>
      <c r="J91" s="55" t="s">
        <v>100</v>
      </c>
      <c r="K91" s="55" t="s">
        <v>101</v>
      </c>
      <c r="L91" s="55" t="s">
        <v>132</v>
      </c>
      <c r="M91" s="55" t="s">
        <v>102</v>
      </c>
      <c r="N91" s="71"/>
      <c r="O91" s="71">
        <v>16</v>
      </c>
      <c r="P91" s="71">
        <v>16</v>
      </c>
      <c r="Q91" s="61">
        <v>0</v>
      </c>
      <c r="R91" s="55" t="s">
        <v>113</v>
      </c>
      <c r="T91" s="55" t="s">
        <v>161</v>
      </c>
      <c r="U91" s="55" t="s">
        <v>168</v>
      </c>
    </row>
    <row r="92" spans="1:21" s="55" customFormat="1" x14ac:dyDescent="0.2">
      <c r="A92" s="71">
        <v>2019</v>
      </c>
      <c r="B92" s="55" t="s">
        <v>399</v>
      </c>
      <c r="C92" s="59">
        <v>22823</v>
      </c>
      <c r="D92" s="61">
        <v>29</v>
      </c>
      <c r="E92" s="77">
        <v>43663</v>
      </c>
      <c r="F92" s="55" t="s">
        <v>99</v>
      </c>
      <c r="G92" s="59" t="s">
        <v>47</v>
      </c>
      <c r="H92" s="55" t="s">
        <v>104</v>
      </c>
      <c r="I92" s="59" t="s">
        <v>60</v>
      </c>
      <c r="J92" s="55" t="s">
        <v>100</v>
      </c>
      <c r="K92" s="55" t="s">
        <v>101</v>
      </c>
      <c r="L92" s="55" t="s">
        <v>133</v>
      </c>
      <c r="M92" s="55" t="s">
        <v>102</v>
      </c>
      <c r="N92" s="71"/>
      <c r="O92" s="71">
        <v>5</v>
      </c>
      <c r="P92" s="71">
        <v>5</v>
      </c>
      <c r="Q92" s="61">
        <v>0</v>
      </c>
      <c r="R92" s="55" t="s">
        <v>113</v>
      </c>
      <c r="T92" s="55" t="s">
        <v>162</v>
      </c>
      <c r="U92" s="55" t="s">
        <v>169</v>
      </c>
    </row>
    <row r="93" spans="1:21" s="55" customFormat="1" x14ac:dyDescent="0.2">
      <c r="A93" s="71">
        <v>2019</v>
      </c>
      <c r="B93" s="55" t="s">
        <v>400</v>
      </c>
      <c r="C93" s="59">
        <v>22824</v>
      </c>
      <c r="D93" s="61">
        <v>29</v>
      </c>
      <c r="E93" s="77">
        <v>43663</v>
      </c>
      <c r="F93" s="55" t="s">
        <v>99</v>
      </c>
      <c r="G93" s="59" t="s">
        <v>47</v>
      </c>
      <c r="H93" s="55" t="s">
        <v>244</v>
      </c>
      <c r="I93" s="59" t="s">
        <v>60</v>
      </c>
      <c r="J93" s="55" t="s">
        <v>103</v>
      </c>
      <c r="K93" s="55" t="s">
        <v>101</v>
      </c>
      <c r="L93" s="55" t="s">
        <v>133</v>
      </c>
      <c r="M93" s="55" t="s">
        <v>102</v>
      </c>
      <c r="N93" s="71">
        <v>50</v>
      </c>
      <c r="O93" s="71"/>
      <c r="P93" s="71">
        <v>50</v>
      </c>
      <c r="Q93" s="61">
        <v>0</v>
      </c>
      <c r="R93" s="55" t="s">
        <v>113</v>
      </c>
      <c r="T93" s="55" t="s">
        <v>162</v>
      </c>
      <c r="U93" s="55" t="s">
        <v>169</v>
      </c>
    </row>
    <row r="94" spans="1:21" s="55" customFormat="1" x14ac:dyDescent="0.2">
      <c r="A94" s="71">
        <v>2019</v>
      </c>
      <c r="B94" s="55" t="s">
        <v>401</v>
      </c>
      <c r="C94" s="59">
        <v>22825</v>
      </c>
      <c r="D94" s="61">
        <v>29</v>
      </c>
      <c r="E94" s="77">
        <v>43663</v>
      </c>
      <c r="F94" s="55" t="s">
        <v>99</v>
      </c>
      <c r="G94" s="59" t="s">
        <v>47</v>
      </c>
      <c r="H94" s="55" t="s">
        <v>244</v>
      </c>
      <c r="I94" s="59" t="s">
        <v>60</v>
      </c>
      <c r="J94" s="55" t="s">
        <v>103</v>
      </c>
      <c r="K94" s="55" t="s">
        <v>101</v>
      </c>
      <c r="L94" s="55" t="s">
        <v>133</v>
      </c>
      <c r="M94" s="55" t="s">
        <v>102</v>
      </c>
      <c r="N94" s="71">
        <v>7</v>
      </c>
      <c r="O94" s="71"/>
      <c r="P94" s="71">
        <v>7</v>
      </c>
      <c r="Q94" s="61">
        <v>0</v>
      </c>
      <c r="R94" s="55" t="s">
        <v>113</v>
      </c>
      <c r="T94" s="55" t="s">
        <v>162</v>
      </c>
      <c r="U94" s="55" t="s">
        <v>169</v>
      </c>
    </row>
    <row r="95" spans="1:21" s="55" customFormat="1" x14ac:dyDescent="0.2">
      <c r="A95" s="71">
        <v>2019</v>
      </c>
      <c r="B95" s="55" t="s">
        <v>402</v>
      </c>
      <c r="C95" s="59">
        <v>22826</v>
      </c>
      <c r="D95" s="61">
        <v>29</v>
      </c>
      <c r="E95" s="77">
        <v>43663</v>
      </c>
      <c r="F95" s="55" t="s">
        <v>99</v>
      </c>
      <c r="G95" s="59" t="s">
        <v>47</v>
      </c>
      <c r="H95" s="55" t="s">
        <v>287</v>
      </c>
      <c r="I95" s="59" t="s">
        <v>61</v>
      </c>
      <c r="J95" s="55" t="s">
        <v>100</v>
      </c>
      <c r="K95" s="55" t="s">
        <v>101</v>
      </c>
      <c r="L95" s="55" t="s">
        <v>132</v>
      </c>
      <c r="M95" s="55" t="s">
        <v>102</v>
      </c>
      <c r="N95" s="71"/>
      <c r="O95" s="71">
        <v>6</v>
      </c>
      <c r="P95" s="71">
        <v>6</v>
      </c>
      <c r="Q95" s="61">
        <v>0</v>
      </c>
      <c r="R95" s="55" t="s">
        <v>113</v>
      </c>
      <c r="T95" s="55" t="s">
        <v>161</v>
      </c>
      <c r="U95" s="55" t="s">
        <v>170</v>
      </c>
    </row>
    <row r="96" spans="1:21" s="55" customFormat="1" x14ac:dyDescent="0.2">
      <c r="A96" s="71">
        <v>2019</v>
      </c>
      <c r="B96" s="55" t="s">
        <v>403</v>
      </c>
      <c r="C96" s="59">
        <v>22827</v>
      </c>
      <c r="D96" s="61">
        <v>29</v>
      </c>
      <c r="E96" s="77">
        <v>43663</v>
      </c>
      <c r="F96" s="55" t="s">
        <v>99</v>
      </c>
      <c r="G96" s="59" t="s">
        <v>47</v>
      </c>
      <c r="H96" s="55" t="s">
        <v>243</v>
      </c>
      <c r="I96" s="59" t="s">
        <v>61</v>
      </c>
      <c r="J96" s="55" t="s">
        <v>100</v>
      </c>
      <c r="K96" s="55" t="s">
        <v>101</v>
      </c>
      <c r="L96" s="55" t="s">
        <v>132</v>
      </c>
      <c r="M96" s="55" t="s">
        <v>102</v>
      </c>
      <c r="N96" s="71"/>
      <c r="O96" s="71">
        <v>6</v>
      </c>
      <c r="P96" s="71">
        <v>6</v>
      </c>
      <c r="Q96" s="61">
        <v>0</v>
      </c>
      <c r="R96" s="55" t="s">
        <v>113</v>
      </c>
      <c r="T96" s="55" t="s">
        <v>161</v>
      </c>
      <c r="U96" s="55" t="s">
        <v>170</v>
      </c>
    </row>
    <row r="97" spans="1:21" s="55" customFormat="1" x14ac:dyDescent="0.2">
      <c r="A97" s="71">
        <v>2019</v>
      </c>
      <c r="B97" s="55" t="s">
        <v>404</v>
      </c>
      <c r="C97" s="59">
        <v>22828</v>
      </c>
      <c r="D97" s="61">
        <v>29</v>
      </c>
      <c r="E97" s="77">
        <v>43663</v>
      </c>
      <c r="F97" s="55" t="s">
        <v>99</v>
      </c>
      <c r="G97" s="59" t="s">
        <v>47</v>
      </c>
      <c r="H97" s="55" t="s">
        <v>288</v>
      </c>
      <c r="I97" s="59" t="s">
        <v>61</v>
      </c>
      <c r="J97" s="55" t="s">
        <v>103</v>
      </c>
      <c r="K97" s="55" t="s">
        <v>101</v>
      </c>
      <c r="L97" s="55" t="s">
        <v>133</v>
      </c>
      <c r="M97" s="55" t="s">
        <v>102</v>
      </c>
      <c r="N97" s="71">
        <v>6</v>
      </c>
      <c r="O97" s="71"/>
      <c r="P97" s="71">
        <v>6</v>
      </c>
      <c r="Q97" s="61">
        <v>0</v>
      </c>
      <c r="R97" s="55" t="s">
        <v>113</v>
      </c>
      <c r="T97" s="55" t="s">
        <v>162</v>
      </c>
      <c r="U97" s="55" t="s">
        <v>245</v>
      </c>
    </row>
    <row r="98" spans="1:21" s="55" customFormat="1" x14ac:dyDescent="0.2">
      <c r="A98" s="71">
        <v>2019</v>
      </c>
      <c r="B98" s="55" t="s">
        <v>405</v>
      </c>
      <c r="C98" s="59">
        <v>22829</v>
      </c>
      <c r="D98" s="61">
        <v>29</v>
      </c>
      <c r="E98" s="77">
        <v>43663</v>
      </c>
      <c r="F98" s="55" t="s">
        <v>99</v>
      </c>
      <c r="G98" s="59" t="s">
        <v>47</v>
      </c>
      <c r="H98" s="55" t="s">
        <v>240</v>
      </c>
      <c r="I98" s="59" t="s">
        <v>61</v>
      </c>
      <c r="J98" s="55" t="s">
        <v>100</v>
      </c>
      <c r="K98" s="55" t="s">
        <v>101</v>
      </c>
      <c r="L98" s="55" t="s">
        <v>132</v>
      </c>
      <c r="M98" s="55" t="s">
        <v>102</v>
      </c>
      <c r="N98" s="71"/>
      <c r="O98" s="71">
        <v>9</v>
      </c>
      <c r="P98" s="71">
        <v>9</v>
      </c>
      <c r="Q98" s="61">
        <v>0</v>
      </c>
      <c r="R98" s="55" t="s">
        <v>113</v>
      </c>
      <c r="T98" s="55" t="s">
        <v>161</v>
      </c>
      <c r="U98" s="55" t="s">
        <v>170</v>
      </c>
    </row>
    <row r="99" spans="1:21" s="55" customFormat="1" x14ac:dyDescent="0.2">
      <c r="A99" s="71">
        <v>2019</v>
      </c>
      <c r="B99" s="55" t="s">
        <v>406</v>
      </c>
      <c r="C99" s="59">
        <v>22830</v>
      </c>
      <c r="D99" s="61">
        <v>29</v>
      </c>
      <c r="E99" s="77">
        <v>43663</v>
      </c>
      <c r="F99" s="55" t="s">
        <v>99</v>
      </c>
      <c r="G99" s="59" t="s">
        <v>47</v>
      </c>
      <c r="H99" s="55" t="s">
        <v>407</v>
      </c>
      <c r="I99" s="59" t="s">
        <v>61</v>
      </c>
      <c r="J99" s="55" t="s">
        <v>100</v>
      </c>
      <c r="K99" s="55" t="s">
        <v>101</v>
      </c>
      <c r="L99" s="55" t="s">
        <v>132</v>
      </c>
      <c r="M99" s="55" t="s">
        <v>102</v>
      </c>
      <c r="N99" s="71"/>
      <c r="O99" s="71">
        <v>30</v>
      </c>
      <c r="P99" s="71">
        <v>30</v>
      </c>
      <c r="Q99" s="61">
        <v>0</v>
      </c>
      <c r="R99" s="55" t="s">
        <v>113</v>
      </c>
      <c r="T99" s="55" t="s">
        <v>161</v>
      </c>
      <c r="U99" s="55" t="s">
        <v>170</v>
      </c>
    </row>
    <row r="100" spans="1:21" s="55" customFormat="1" x14ac:dyDescent="0.2">
      <c r="A100" s="71"/>
      <c r="C100" s="59"/>
      <c r="D100" s="61"/>
      <c r="E100" s="77"/>
      <c r="G100" s="59"/>
      <c r="I100" s="59"/>
      <c r="N100" s="71"/>
      <c r="O100" s="71"/>
      <c r="P100" s="71"/>
      <c r="Q100" s="61"/>
    </row>
    <row r="101" spans="1:21" s="55" customFormat="1" x14ac:dyDescent="0.2">
      <c r="A101" s="71"/>
      <c r="C101" s="59"/>
      <c r="D101" s="61"/>
      <c r="E101" s="77"/>
      <c r="G101" s="59"/>
      <c r="I101" s="59"/>
      <c r="N101" s="71"/>
      <c r="O101" s="71"/>
      <c r="P101" s="71"/>
      <c r="Q101" s="61"/>
    </row>
    <row r="102" spans="1:21" s="55" customFormat="1" x14ac:dyDescent="0.2">
      <c r="A102" s="71"/>
      <c r="C102" s="59"/>
      <c r="D102" s="61"/>
      <c r="E102" s="77"/>
      <c r="G102" s="59"/>
      <c r="I102" s="59"/>
      <c r="N102" s="71"/>
      <c r="O102" s="71"/>
      <c r="P102" s="71"/>
      <c r="Q102" s="61"/>
    </row>
    <row r="103" spans="1:21" s="55" customFormat="1" x14ac:dyDescent="0.2">
      <c r="A103" s="71"/>
      <c r="C103" s="59"/>
      <c r="D103" s="61"/>
      <c r="E103" s="77"/>
      <c r="G103" s="59"/>
      <c r="I103" s="59"/>
      <c r="N103" s="71"/>
      <c r="O103" s="71"/>
      <c r="P103" s="71"/>
      <c r="Q103" s="61"/>
    </row>
    <row r="104" spans="1:21" s="55" customFormat="1" x14ac:dyDescent="0.2">
      <c r="A104" s="71"/>
      <c r="C104" s="59"/>
      <c r="D104" s="61"/>
      <c r="E104" s="77"/>
      <c r="G104" s="59"/>
      <c r="I104" s="59"/>
      <c r="N104" s="71"/>
      <c r="O104" s="71"/>
      <c r="P104" s="71"/>
      <c r="Q104" s="61"/>
    </row>
    <row r="105" spans="1:21" s="55" customFormat="1" x14ac:dyDescent="0.2">
      <c r="A105" s="71"/>
      <c r="C105" s="59"/>
      <c r="D105" s="61"/>
      <c r="E105" s="77"/>
      <c r="G105" s="59"/>
      <c r="I105" s="59"/>
      <c r="N105" s="71"/>
      <c r="O105" s="71"/>
      <c r="P105" s="71"/>
      <c r="Q105" s="61"/>
    </row>
    <row r="106" spans="1:21" s="55" customFormat="1" x14ac:dyDescent="0.2">
      <c r="A106" s="71"/>
      <c r="C106" s="59"/>
      <c r="D106" s="61"/>
      <c r="E106" s="77"/>
      <c r="G106" s="59"/>
      <c r="I106" s="59"/>
      <c r="N106" s="71"/>
      <c r="O106" s="71"/>
      <c r="P106" s="71"/>
      <c r="Q106" s="61"/>
    </row>
    <row r="107" spans="1:21" s="55" customFormat="1" x14ac:dyDescent="0.2">
      <c r="A107" s="71"/>
      <c r="C107" s="59"/>
      <c r="D107" s="61"/>
      <c r="E107" s="77"/>
      <c r="G107" s="59"/>
      <c r="I107" s="59"/>
      <c r="N107" s="71"/>
      <c r="O107" s="71"/>
      <c r="P107" s="71"/>
      <c r="Q107" s="61"/>
    </row>
    <row r="108" spans="1:21" s="55" customFormat="1" x14ac:dyDescent="0.2">
      <c r="A108" s="71"/>
      <c r="C108" s="59"/>
      <c r="D108" s="61"/>
      <c r="E108" s="77"/>
      <c r="G108" s="59"/>
      <c r="I108" s="59"/>
      <c r="N108" s="71"/>
      <c r="O108" s="71"/>
      <c r="P108" s="71"/>
      <c r="Q108" s="61"/>
    </row>
    <row r="109" spans="1:21" s="55" customFormat="1" x14ac:dyDescent="0.2">
      <c r="A109" s="71"/>
      <c r="C109" s="59"/>
      <c r="D109" s="61"/>
      <c r="E109" s="77"/>
      <c r="G109" s="59"/>
      <c r="I109" s="59"/>
      <c r="N109" s="71"/>
      <c r="O109" s="71"/>
      <c r="P109" s="71"/>
      <c r="Q109" s="61"/>
    </row>
    <row r="110" spans="1:21" s="55" customFormat="1" x14ac:dyDescent="0.2">
      <c r="A110" s="71"/>
      <c r="C110" s="59"/>
      <c r="D110" s="61"/>
      <c r="E110" s="77"/>
      <c r="G110" s="59"/>
      <c r="I110" s="59"/>
      <c r="N110" s="71"/>
      <c r="O110" s="71"/>
      <c r="P110" s="71"/>
      <c r="Q110" s="61"/>
    </row>
    <row r="111" spans="1:21" s="55" customFormat="1" x14ac:dyDescent="0.2">
      <c r="A111" s="71"/>
      <c r="C111" s="59"/>
      <c r="D111" s="61"/>
      <c r="E111" s="77"/>
      <c r="G111" s="59"/>
      <c r="N111" s="71"/>
      <c r="O111" s="71"/>
      <c r="P111" s="71"/>
      <c r="Q111" s="61"/>
    </row>
    <row r="112" spans="1:21"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G114" s="59"/>
      <c r="N114" s="71"/>
      <c r="O114" s="71"/>
      <c r="P114" s="71"/>
      <c r="Q114" s="61"/>
    </row>
    <row r="115" spans="1:17" s="55" customFormat="1" x14ac:dyDescent="0.2">
      <c r="A115" s="71"/>
      <c r="C115" s="59"/>
      <c r="D115" s="61"/>
      <c r="E115" s="77"/>
      <c r="G115" s="59"/>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114</v>
      </c>
      <c r="C1" s="54" t="s">
        <v>115</v>
      </c>
      <c r="D1" s="54" t="s">
        <v>116</v>
      </c>
      <c r="E1" s="54" t="s">
        <v>117</v>
      </c>
      <c r="F1" s="54" t="s">
        <v>118</v>
      </c>
      <c r="G1" s="54" t="s">
        <v>119</v>
      </c>
      <c r="H1" s="54" t="s">
        <v>120</v>
      </c>
      <c r="I1" s="54" t="s">
        <v>121</v>
      </c>
      <c r="J1" s="54" t="s">
        <v>122</v>
      </c>
    </row>
    <row r="2" spans="1:10" x14ac:dyDescent="0.25">
      <c r="A2" t="s">
        <v>112</v>
      </c>
      <c r="B2" s="31">
        <v>0</v>
      </c>
      <c r="C2" s="31">
        <v>0</v>
      </c>
      <c r="D2" s="31">
        <v>9.9030804870880385</v>
      </c>
      <c r="E2" s="81">
        <v>1000</v>
      </c>
      <c r="F2" s="82" t="s">
        <v>62</v>
      </c>
      <c r="G2" s="82" t="s">
        <v>123</v>
      </c>
      <c r="H2">
        <v>10</v>
      </c>
      <c r="I2">
        <v>0</v>
      </c>
      <c r="J2">
        <v>309</v>
      </c>
    </row>
    <row r="3" spans="1:10" x14ac:dyDescent="0.25">
      <c r="A3" t="s">
        <v>47</v>
      </c>
      <c r="B3" s="31">
        <v>0</v>
      </c>
      <c r="C3" s="31">
        <v>0</v>
      </c>
      <c r="D3" s="31">
        <v>1.8480366012608225</v>
      </c>
      <c r="E3" s="81">
        <v>1000</v>
      </c>
      <c r="F3" s="82" t="s">
        <v>62</v>
      </c>
      <c r="G3" s="82" t="s">
        <v>123</v>
      </c>
      <c r="H3">
        <v>78</v>
      </c>
      <c r="I3">
        <v>0</v>
      </c>
      <c r="J3">
        <v>2002</v>
      </c>
    </row>
    <row r="4" spans="1:10" x14ac:dyDescent="0.25">
      <c r="A4" t="s">
        <v>9</v>
      </c>
      <c r="B4" s="31">
        <v>0</v>
      </c>
      <c r="C4" s="31">
        <v>0</v>
      </c>
      <c r="D4" s="31">
        <v>9.6744172467913607</v>
      </c>
      <c r="E4" s="81">
        <v>1000</v>
      </c>
      <c r="F4" s="82" t="s">
        <v>62</v>
      </c>
      <c r="G4" s="82" t="s">
        <v>123</v>
      </c>
      <c r="H4">
        <v>10</v>
      </c>
      <c r="I4">
        <v>0</v>
      </c>
      <c r="J4">
        <v>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114</v>
      </c>
      <c r="C1" s="54" t="s">
        <v>115</v>
      </c>
      <c r="D1" s="54" t="s">
        <v>116</v>
      </c>
      <c r="E1" s="54" t="s">
        <v>117</v>
      </c>
      <c r="F1" s="54" t="s">
        <v>118</v>
      </c>
      <c r="G1" s="54" t="s">
        <v>119</v>
      </c>
      <c r="H1" s="54" t="s">
        <v>120</v>
      </c>
      <c r="I1" s="54" t="s">
        <v>121</v>
      </c>
      <c r="J1" s="54" t="s">
        <v>122</v>
      </c>
    </row>
    <row r="2" spans="1:10" x14ac:dyDescent="0.25">
      <c r="A2" t="s">
        <v>408</v>
      </c>
      <c r="B2" s="31">
        <v>0</v>
      </c>
      <c r="C2" s="31">
        <v>0</v>
      </c>
      <c r="D2" s="31">
        <v>201.73653829382872</v>
      </c>
      <c r="E2" s="81">
        <v>1000</v>
      </c>
      <c r="F2" s="82" t="s">
        <v>62</v>
      </c>
      <c r="G2" s="82" t="s">
        <v>123</v>
      </c>
      <c r="H2">
        <v>1</v>
      </c>
      <c r="I2">
        <v>0</v>
      </c>
      <c r="J2">
        <v>7</v>
      </c>
    </row>
    <row r="3" spans="1:10" x14ac:dyDescent="0.25">
      <c r="A3" t="s">
        <v>163</v>
      </c>
      <c r="B3" s="31">
        <v>0</v>
      </c>
      <c r="C3" s="31">
        <v>0</v>
      </c>
      <c r="D3" s="31">
        <v>10.048736121252785</v>
      </c>
      <c r="E3" s="81">
        <v>1000</v>
      </c>
      <c r="F3" s="82" t="s">
        <v>62</v>
      </c>
      <c r="G3" s="82" t="s">
        <v>123</v>
      </c>
      <c r="H3">
        <v>9</v>
      </c>
      <c r="I3">
        <v>0</v>
      </c>
      <c r="J3">
        <v>302</v>
      </c>
    </row>
    <row r="4" spans="1:10" x14ac:dyDescent="0.25">
      <c r="A4" t="s">
        <v>305</v>
      </c>
      <c r="B4" s="31">
        <v>0</v>
      </c>
      <c r="C4" s="31">
        <v>0</v>
      </c>
      <c r="D4" s="31">
        <v>408.88145297275059</v>
      </c>
      <c r="E4" s="81">
        <v>1000</v>
      </c>
      <c r="F4" s="82" t="s">
        <v>62</v>
      </c>
      <c r="G4" s="82" t="s">
        <v>123</v>
      </c>
      <c r="H4">
        <v>1</v>
      </c>
      <c r="I4">
        <v>0</v>
      </c>
      <c r="J4">
        <v>3</v>
      </c>
    </row>
    <row r="5" spans="1:10" x14ac:dyDescent="0.25">
      <c r="A5" t="s">
        <v>160</v>
      </c>
      <c r="B5" s="31">
        <v>0</v>
      </c>
      <c r="C5" s="31">
        <v>0</v>
      </c>
      <c r="D5" s="31">
        <v>9.7324741596294988</v>
      </c>
      <c r="E5" s="81">
        <v>1000</v>
      </c>
      <c r="F5" s="82" t="s">
        <v>62</v>
      </c>
      <c r="G5" s="82" t="s">
        <v>123</v>
      </c>
      <c r="H5">
        <v>9</v>
      </c>
      <c r="I5">
        <v>0</v>
      </c>
      <c r="J5">
        <v>316</v>
      </c>
    </row>
    <row r="6" spans="1:10" x14ac:dyDescent="0.25">
      <c r="A6" t="s">
        <v>165</v>
      </c>
      <c r="B6" s="31">
        <v>0</v>
      </c>
      <c r="C6" s="31">
        <v>0</v>
      </c>
      <c r="D6" s="31">
        <v>53.717322131917498</v>
      </c>
      <c r="E6" s="81">
        <v>1000</v>
      </c>
      <c r="F6" s="82" t="s">
        <v>62</v>
      </c>
      <c r="G6" s="82" t="s">
        <v>123</v>
      </c>
      <c r="H6">
        <v>7</v>
      </c>
      <c r="I6">
        <v>0</v>
      </c>
      <c r="J6">
        <v>50</v>
      </c>
    </row>
    <row r="7" spans="1:10" x14ac:dyDescent="0.25">
      <c r="A7" t="s">
        <v>164</v>
      </c>
      <c r="B7" s="31">
        <v>0</v>
      </c>
      <c r="C7" s="31">
        <v>0</v>
      </c>
      <c r="D7" s="31">
        <v>5.1411421549787297</v>
      </c>
      <c r="E7" s="81">
        <v>1000</v>
      </c>
      <c r="F7" s="82" t="s">
        <v>62</v>
      </c>
      <c r="G7" s="82" t="s">
        <v>123</v>
      </c>
      <c r="H7">
        <v>17</v>
      </c>
      <c r="I7">
        <v>0</v>
      </c>
      <c r="J7">
        <v>665</v>
      </c>
    </row>
    <row r="8" spans="1:10" x14ac:dyDescent="0.25">
      <c r="A8" t="s">
        <v>167</v>
      </c>
      <c r="B8" s="31">
        <v>0</v>
      </c>
      <c r="C8" s="31">
        <v>0</v>
      </c>
      <c r="D8" s="31">
        <v>86.220206324955825</v>
      </c>
      <c r="E8" s="81">
        <v>1000</v>
      </c>
      <c r="F8" s="82" t="s">
        <v>62</v>
      </c>
      <c r="G8" s="82" t="s">
        <v>123</v>
      </c>
      <c r="H8">
        <v>4</v>
      </c>
      <c r="I8">
        <v>0</v>
      </c>
      <c r="J8">
        <v>27</v>
      </c>
    </row>
    <row r="9" spans="1:10" x14ac:dyDescent="0.25">
      <c r="A9" t="s">
        <v>166</v>
      </c>
      <c r="B9" s="31">
        <v>0</v>
      </c>
      <c r="C9" s="31">
        <v>0</v>
      </c>
      <c r="D9" s="31">
        <v>24.984207970430393</v>
      </c>
      <c r="E9" s="81">
        <v>1000</v>
      </c>
      <c r="F9" s="82" t="s">
        <v>62</v>
      </c>
      <c r="G9" s="82" t="s">
        <v>123</v>
      </c>
      <c r="H9">
        <v>7</v>
      </c>
      <c r="I9">
        <v>0</v>
      </c>
      <c r="J9">
        <v>104</v>
      </c>
    </row>
    <row r="10" spans="1:10" x14ac:dyDescent="0.25">
      <c r="A10" t="s">
        <v>169</v>
      </c>
      <c r="B10" s="31">
        <v>0</v>
      </c>
      <c r="C10" s="31">
        <v>0</v>
      </c>
      <c r="D10" s="31">
        <v>20.099150040258159</v>
      </c>
      <c r="E10" s="81">
        <v>1000</v>
      </c>
      <c r="F10" s="82" t="s">
        <v>62</v>
      </c>
      <c r="G10" s="82" t="s">
        <v>123</v>
      </c>
      <c r="H10">
        <v>9</v>
      </c>
      <c r="I10">
        <v>0</v>
      </c>
      <c r="J10">
        <v>132</v>
      </c>
    </row>
    <row r="11" spans="1:10" x14ac:dyDescent="0.25">
      <c r="A11" t="s">
        <v>168</v>
      </c>
      <c r="B11" s="31">
        <v>0</v>
      </c>
      <c r="C11" s="31">
        <v>0</v>
      </c>
      <c r="D11" s="31">
        <v>3.888727413428184</v>
      </c>
      <c r="E11" s="81">
        <v>1000</v>
      </c>
      <c r="F11" s="82" t="s">
        <v>62</v>
      </c>
      <c r="G11" s="82" t="s">
        <v>123</v>
      </c>
      <c r="H11">
        <v>25</v>
      </c>
      <c r="I11">
        <v>0</v>
      </c>
      <c r="J11">
        <v>906</v>
      </c>
    </row>
    <row r="12" spans="1:10" x14ac:dyDescent="0.25">
      <c r="A12" t="s">
        <v>245</v>
      </c>
      <c r="B12" s="31">
        <v>0</v>
      </c>
      <c r="C12" s="31">
        <v>0</v>
      </c>
      <c r="D12" s="31">
        <v>220.12283019036323</v>
      </c>
      <c r="E12" s="81">
        <v>1000</v>
      </c>
      <c r="F12" s="82" t="s">
        <v>62</v>
      </c>
      <c r="G12" s="82" t="s">
        <v>123</v>
      </c>
      <c r="H12">
        <v>2</v>
      </c>
      <c r="I12">
        <v>0</v>
      </c>
      <c r="J12">
        <v>8</v>
      </c>
    </row>
    <row r="13" spans="1:10" x14ac:dyDescent="0.25">
      <c r="A13" t="s">
        <v>170</v>
      </c>
      <c r="B13" s="31">
        <v>0</v>
      </c>
      <c r="C13" s="31">
        <v>0</v>
      </c>
      <c r="D13" s="31">
        <v>25.392646949581973</v>
      </c>
      <c r="E13" s="81">
        <v>1000</v>
      </c>
      <c r="F13" s="82" t="s">
        <v>62</v>
      </c>
      <c r="G13" s="82" t="s">
        <v>123</v>
      </c>
      <c r="H13">
        <v>7</v>
      </c>
      <c r="I13">
        <v>0</v>
      </c>
      <c r="J13">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114</v>
      </c>
      <c r="C1" s="54" t="s">
        <v>115</v>
      </c>
      <c r="D1" s="54" t="s">
        <v>116</v>
      </c>
      <c r="E1" s="54" t="s">
        <v>117</v>
      </c>
      <c r="F1" s="54" t="s">
        <v>118</v>
      </c>
      <c r="G1" s="54" t="s">
        <v>119</v>
      </c>
      <c r="H1" s="54" t="s">
        <v>120</v>
      </c>
      <c r="I1" s="54" t="s">
        <v>121</v>
      </c>
      <c r="J1" s="54" t="s">
        <v>122</v>
      </c>
    </row>
    <row r="2" spans="1:10" x14ac:dyDescent="0.25">
      <c r="A2" t="s">
        <v>408</v>
      </c>
      <c r="B2" s="31">
        <v>0</v>
      </c>
      <c r="C2" s="31">
        <v>0</v>
      </c>
      <c r="D2" s="31">
        <v>201.73653829382872</v>
      </c>
      <c r="E2" s="81">
        <v>1000</v>
      </c>
      <c r="F2" s="82" t="s">
        <v>62</v>
      </c>
      <c r="G2" s="82" t="s">
        <v>123</v>
      </c>
      <c r="H2">
        <v>1</v>
      </c>
      <c r="I2">
        <v>0</v>
      </c>
      <c r="J2">
        <v>7</v>
      </c>
    </row>
    <row r="3" spans="1:10" x14ac:dyDescent="0.25">
      <c r="A3" t="s">
        <v>163</v>
      </c>
      <c r="B3" s="31">
        <v>0</v>
      </c>
      <c r="C3" s="31">
        <v>0</v>
      </c>
      <c r="D3" s="31">
        <v>10.048736121252785</v>
      </c>
      <c r="E3" s="81">
        <v>1000</v>
      </c>
      <c r="F3" s="82" t="s">
        <v>62</v>
      </c>
      <c r="G3" s="82" t="s">
        <v>123</v>
      </c>
      <c r="H3">
        <v>9</v>
      </c>
      <c r="I3">
        <v>0</v>
      </c>
      <c r="J3">
        <v>302</v>
      </c>
    </row>
    <row r="4" spans="1:10" x14ac:dyDescent="0.25">
      <c r="A4" t="s">
        <v>162</v>
      </c>
      <c r="B4" s="31">
        <v>0</v>
      </c>
      <c r="C4" s="31">
        <v>0</v>
      </c>
      <c r="D4" s="31">
        <v>14.601458868153943</v>
      </c>
      <c r="E4" s="81">
        <v>1000</v>
      </c>
      <c r="F4" s="82" t="s">
        <v>62</v>
      </c>
      <c r="G4" s="82" t="s">
        <v>123</v>
      </c>
      <c r="H4">
        <v>22</v>
      </c>
      <c r="I4">
        <v>0</v>
      </c>
      <c r="J4">
        <v>217</v>
      </c>
    </row>
    <row r="5" spans="1:10" x14ac:dyDescent="0.25">
      <c r="A5" t="s">
        <v>161</v>
      </c>
      <c r="B5" s="31">
        <v>0</v>
      </c>
      <c r="C5" s="31">
        <v>0</v>
      </c>
      <c r="D5" s="31">
        <v>2.0600294883190911</v>
      </c>
      <c r="E5" s="81">
        <v>1000</v>
      </c>
      <c r="F5" s="82" t="s">
        <v>62</v>
      </c>
      <c r="G5" s="82" t="s">
        <v>123</v>
      </c>
      <c r="H5">
        <v>56</v>
      </c>
      <c r="I5">
        <v>0</v>
      </c>
      <c r="J5">
        <v>1785</v>
      </c>
    </row>
    <row r="6" spans="1:10" x14ac:dyDescent="0.25">
      <c r="A6" t="s">
        <v>305</v>
      </c>
      <c r="B6" s="31">
        <v>0</v>
      </c>
      <c r="C6" s="31">
        <v>0</v>
      </c>
      <c r="D6" s="31">
        <v>408.88145297275059</v>
      </c>
      <c r="E6" s="81">
        <v>1000</v>
      </c>
      <c r="F6" s="82" t="s">
        <v>62</v>
      </c>
      <c r="G6" s="82" t="s">
        <v>123</v>
      </c>
      <c r="H6">
        <v>1</v>
      </c>
      <c r="I6">
        <v>0</v>
      </c>
      <c r="J6">
        <v>3</v>
      </c>
    </row>
    <row r="7" spans="1:10" x14ac:dyDescent="0.25">
      <c r="A7" t="s">
        <v>160</v>
      </c>
      <c r="B7" s="31">
        <v>0</v>
      </c>
      <c r="C7" s="31">
        <v>0</v>
      </c>
      <c r="D7" s="31">
        <v>9.7324741596294988</v>
      </c>
      <c r="E7" s="81">
        <v>1000</v>
      </c>
      <c r="F7" s="82" t="s">
        <v>62</v>
      </c>
      <c r="G7" s="82" t="s">
        <v>123</v>
      </c>
      <c r="H7">
        <v>9</v>
      </c>
      <c r="I7">
        <v>0</v>
      </c>
      <c r="J7">
        <v>316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114</v>
      </c>
      <c r="C1" s="54" t="s">
        <v>115</v>
      </c>
      <c r="D1" s="54" t="s">
        <v>116</v>
      </c>
      <c r="E1" s="54" t="s">
        <v>117</v>
      </c>
      <c r="F1" s="54" t="s">
        <v>118</v>
      </c>
      <c r="G1" s="54" t="s">
        <v>119</v>
      </c>
      <c r="H1" s="54" t="s">
        <v>120</v>
      </c>
      <c r="I1" s="54" t="s">
        <v>121</v>
      </c>
      <c r="J1" s="54" t="s">
        <v>122</v>
      </c>
    </row>
    <row r="2" spans="1:10" x14ac:dyDescent="0.25">
      <c r="A2" t="s">
        <v>112</v>
      </c>
      <c r="B2" s="31">
        <v>0</v>
      </c>
      <c r="C2" s="31">
        <v>0</v>
      </c>
      <c r="D2" s="31">
        <v>9.9030804870880385</v>
      </c>
      <c r="E2" s="81">
        <v>1000</v>
      </c>
      <c r="F2" s="82" t="s">
        <v>62</v>
      </c>
      <c r="G2" s="82" t="s">
        <v>123</v>
      </c>
      <c r="H2">
        <v>10</v>
      </c>
      <c r="I2">
        <v>0</v>
      </c>
      <c r="J2">
        <v>309</v>
      </c>
    </row>
    <row r="3" spans="1:10" x14ac:dyDescent="0.25">
      <c r="A3" t="s">
        <v>9</v>
      </c>
      <c r="B3" s="31">
        <v>0</v>
      </c>
      <c r="C3" s="31">
        <v>0</v>
      </c>
      <c r="D3" s="31">
        <v>9.6744172467913607</v>
      </c>
      <c r="E3" s="81">
        <v>1000</v>
      </c>
      <c r="F3" s="82" t="s">
        <v>62</v>
      </c>
      <c r="G3" s="82" t="s">
        <v>123</v>
      </c>
      <c r="H3">
        <v>10</v>
      </c>
      <c r="I3">
        <v>0</v>
      </c>
      <c r="J3">
        <v>319</v>
      </c>
    </row>
    <row r="4" spans="1:10" x14ac:dyDescent="0.25">
      <c r="A4" t="s">
        <v>59</v>
      </c>
      <c r="B4" s="31">
        <v>0</v>
      </c>
      <c r="C4" s="31">
        <v>0</v>
      </c>
      <c r="D4" s="31">
        <v>4.8420164515810971</v>
      </c>
      <c r="E4" s="81">
        <v>1000</v>
      </c>
      <c r="F4" s="82" t="s">
        <v>62</v>
      </c>
      <c r="G4" s="82" t="s">
        <v>123</v>
      </c>
      <c r="H4">
        <v>24</v>
      </c>
      <c r="I4">
        <v>0</v>
      </c>
      <c r="J4">
        <v>715</v>
      </c>
    </row>
    <row r="5" spans="1:10" x14ac:dyDescent="0.25">
      <c r="A5" t="s">
        <v>58</v>
      </c>
      <c r="B5" s="31">
        <v>0</v>
      </c>
      <c r="C5" s="31">
        <v>0</v>
      </c>
      <c r="D5" s="31">
        <v>21.880301484826401</v>
      </c>
      <c r="E5" s="81">
        <v>1000</v>
      </c>
      <c r="F5" s="82" t="s">
        <v>62</v>
      </c>
      <c r="G5" s="82" t="s">
        <v>123</v>
      </c>
      <c r="H5">
        <v>11</v>
      </c>
      <c r="I5">
        <v>0</v>
      </c>
      <c r="J5">
        <v>131</v>
      </c>
    </row>
    <row r="6" spans="1:10" x14ac:dyDescent="0.25">
      <c r="A6" t="s">
        <v>60</v>
      </c>
      <c r="B6" s="31">
        <v>0</v>
      </c>
      <c r="C6" s="31">
        <v>0</v>
      </c>
      <c r="D6" s="31">
        <v>3.4352094854510291</v>
      </c>
      <c r="E6" s="81">
        <v>1000</v>
      </c>
      <c r="F6" s="82" t="s">
        <v>62</v>
      </c>
      <c r="G6" s="82" t="s">
        <v>123</v>
      </c>
      <c r="H6">
        <v>34</v>
      </c>
      <c r="I6">
        <v>0</v>
      </c>
      <c r="J6">
        <v>1038</v>
      </c>
    </row>
    <row r="7" spans="1:10" x14ac:dyDescent="0.25">
      <c r="A7" t="s">
        <v>61</v>
      </c>
      <c r="B7" s="31">
        <v>0</v>
      </c>
      <c r="C7" s="31">
        <v>0</v>
      </c>
      <c r="D7" s="31">
        <v>24.400453707154227</v>
      </c>
      <c r="E7" s="81">
        <v>1000</v>
      </c>
      <c r="F7" s="82" t="s">
        <v>62</v>
      </c>
      <c r="G7" s="82" t="s">
        <v>123</v>
      </c>
      <c r="H7">
        <v>9</v>
      </c>
      <c r="I7">
        <v>0</v>
      </c>
      <c r="J7">
        <v>118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election sqref="A1:XFD1048576"/>
    </sheetView>
  </sheetViews>
  <sheetFormatPr defaultRowHeight="15" x14ac:dyDescent="0.25"/>
  <cols>
    <col min="2" max="2" width="12.5703125" style="79"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4" t="s">
        <v>8</v>
      </c>
      <c r="B1" s="85" t="s">
        <v>0</v>
      </c>
      <c r="C1" s="40" t="s">
        <v>125</v>
      </c>
      <c r="D1" s="40" t="s">
        <v>129</v>
      </c>
      <c r="E1" s="40" t="s">
        <v>46</v>
      </c>
      <c r="F1" s="40" t="s">
        <v>124</v>
      </c>
      <c r="G1" s="40" t="s">
        <v>69</v>
      </c>
      <c r="H1" s="40" t="s">
        <v>128</v>
      </c>
      <c r="I1" s="40" t="s">
        <v>66</v>
      </c>
      <c r="J1" s="84" t="s">
        <v>67</v>
      </c>
      <c r="K1" s="84" t="s">
        <v>68</v>
      </c>
    </row>
    <row r="2" spans="1:28" s="62" customFormat="1" x14ac:dyDescent="0.25">
      <c r="A2">
        <v>29</v>
      </c>
      <c r="B2" s="86">
        <v>43663</v>
      </c>
      <c r="C2" t="s">
        <v>130</v>
      </c>
      <c r="D2" t="s">
        <v>259</v>
      </c>
      <c r="E2" t="s">
        <v>61</v>
      </c>
      <c r="F2" t="s">
        <v>126</v>
      </c>
      <c r="G2">
        <v>29</v>
      </c>
      <c r="H2" t="s">
        <v>131</v>
      </c>
      <c r="I2" t="s">
        <v>241</v>
      </c>
      <c r="J2">
        <f>IF(F2="Culex tarsalis",G2,0)</f>
        <v>29</v>
      </c>
      <c r="K2">
        <f>IF(F2="Culex pipiens",G2,0)</f>
        <v>0</v>
      </c>
      <c r="L2"/>
      <c r="M2"/>
      <c r="N2"/>
      <c r="O2"/>
      <c r="P2"/>
      <c r="Q2"/>
      <c r="R2"/>
      <c r="S2"/>
      <c r="T2"/>
      <c r="U2"/>
      <c r="V2"/>
      <c r="W2"/>
      <c r="X2"/>
      <c r="Y2"/>
      <c r="Z2"/>
      <c r="AA2"/>
      <c r="AB2"/>
    </row>
    <row r="3" spans="1:28" x14ac:dyDescent="0.25">
      <c r="A3">
        <v>29</v>
      </c>
      <c r="B3" s="86">
        <v>43661</v>
      </c>
      <c r="C3" t="s">
        <v>130</v>
      </c>
      <c r="D3" t="s">
        <v>190</v>
      </c>
      <c r="E3" t="s">
        <v>60</v>
      </c>
      <c r="F3" t="s">
        <v>126</v>
      </c>
      <c r="G3">
        <v>46</v>
      </c>
      <c r="H3" t="s">
        <v>131</v>
      </c>
      <c r="I3" t="s">
        <v>177</v>
      </c>
      <c r="J3">
        <f>IF(F3="Culex tarsalis",G3,0)</f>
        <v>46</v>
      </c>
      <c r="K3">
        <f>IF(F3="Culex pipiens",G3,0)</f>
        <v>0</v>
      </c>
    </row>
    <row r="4" spans="1:28" x14ac:dyDescent="0.25">
      <c r="A4">
        <v>29</v>
      </c>
      <c r="B4" s="86">
        <v>43660</v>
      </c>
      <c r="C4" t="s">
        <v>130</v>
      </c>
      <c r="D4" t="s">
        <v>251</v>
      </c>
      <c r="E4" t="s">
        <v>59</v>
      </c>
      <c r="F4" t="s">
        <v>127</v>
      </c>
      <c r="G4">
        <v>21</v>
      </c>
      <c r="H4" t="s">
        <v>131</v>
      </c>
      <c r="I4" t="s">
        <v>231</v>
      </c>
      <c r="J4">
        <f>IF(F4="Culex tarsalis",G4,0)</f>
        <v>0</v>
      </c>
      <c r="K4">
        <f>IF(F4="Culex pipiens",G4,0)</f>
        <v>21</v>
      </c>
    </row>
    <row r="5" spans="1:28" x14ac:dyDescent="0.25">
      <c r="A5">
        <v>29</v>
      </c>
      <c r="B5" s="86">
        <v>43660</v>
      </c>
      <c r="C5" t="s">
        <v>130</v>
      </c>
      <c r="D5" t="s">
        <v>251</v>
      </c>
      <c r="E5" t="s">
        <v>59</v>
      </c>
      <c r="F5" t="s">
        <v>126</v>
      </c>
      <c r="G5">
        <v>31</v>
      </c>
      <c r="H5" t="s">
        <v>131</v>
      </c>
      <c r="I5" t="s">
        <v>231</v>
      </c>
      <c r="J5">
        <f>IF(F5="Culex tarsalis",G5,0)</f>
        <v>31</v>
      </c>
      <c r="K5">
        <f>IF(F5="Culex pipiens",G5,0)</f>
        <v>0</v>
      </c>
    </row>
    <row r="6" spans="1:28" x14ac:dyDescent="0.25">
      <c r="A6">
        <v>29</v>
      </c>
      <c r="B6" s="86">
        <v>43660</v>
      </c>
      <c r="C6" t="s">
        <v>130</v>
      </c>
      <c r="D6" t="s">
        <v>187</v>
      </c>
      <c r="E6" t="s">
        <v>59</v>
      </c>
      <c r="F6" t="s">
        <v>126</v>
      </c>
      <c r="G6">
        <v>114</v>
      </c>
      <c r="H6" t="s">
        <v>131</v>
      </c>
      <c r="I6" t="s">
        <v>172</v>
      </c>
      <c r="J6">
        <f>IF(F6="Culex tarsalis",G6,0)</f>
        <v>114</v>
      </c>
      <c r="K6">
        <f>IF(F6="Culex pipiens",G6,0)</f>
        <v>0</v>
      </c>
    </row>
    <row r="7" spans="1:28" x14ac:dyDescent="0.25">
      <c r="A7">
        <v>29</v>
      </c>
      <c r="B7" s="86">
        <v>43660</v>
      </c>
      <c r="C7" t="s">
        <v>130</v>
      </c>
      <c r="D7" t="s">
        <v>252</v>
      </c>
      <c r="E7" t="s">
        <v>59</v>
      </c>
      <c r="F7" t="s">
        <v>127</v>
      </c>
      <c r="G7">
        <v>4</v>
      </c>
      <c r="H7" t="s">
        <v>131</v>
      </c>
      <c r="I7" t="s">
        <v>229</v>
      </c>
      <c r="J7">
        <f>IF(F7="Culex tarsalis",G7,0)</f>
        <v>0</v>
      </c>
      <c r="K7">
        <f>IF(F7="Culex pipiens",G7,0)</f>
        <v>4</v>
      </c>
    </row>
    <row r="8" spans="1:28" x14ac:dyDescent="0.25">
      <c r="A8">
        <v>29</v>
      </c>
      <c r="B8" s="86">
        <v>43660</v>
      </c>
      <c r="C8" t="s">
        <v>130</v>
      </c>
      <c r="D8" t="s">
        <v>252</v>
      </c>
      <c r="E8" t="s">
        <v>59</v>
      </c>
      <c r="F8" t="s">
        <v>126</v>
      </c>
      <c r="G8">
        <v>44</v>
      </c>
      <c r="H8" t="s">
        <v>131</v>
      </c>
      <c r="I8" t="s">
        <v>229</v>
      </c>
      <c r="J8">
        <f>IF(F8="Culex tarsalis",G8,0)</f>
        <v>44</v>
      </c>
      <c r="K8">
        <f>IF(F8="Culex pipiens",G8,0)</f>
        <v>0</v>
      </c>
    </row>
    <row r="9" spans="1:28" x14ac:dyDescent="0.25">
      <c r="A9">
        <v>29</v>
      </c>
      <c r="B9" s="86">
        <v>43661</v>
      </c>
      <c r="C9" t="s">
        <v>130</v>
      </c>
      <c r="D9" t="s">
        <v>254</v>
      </c>
      <c r="E9" t="s">
        <v>60</v>
      </c>
      <c r="F9" t="s">
        <v>126</v>
      </c>
      <c r="G9">
        <v>25</v>
      </c>
      <c r="H9" t="s">
        <v>131</v>
      </c>
      <c r="I9" t="s">
        <v>235</v>
      </c>
      <c r="J9">
        <f>IF(F9="Culex tarsalis",G9,0)</f>
        <v>25</v>
      </c>
      <c r="K9">
        <f>IF(F9="Culex pipiens",G9,0)</f>
        <v>0</v>
      </c>
    </row>
    <row r="10" spans="1:28" s="62" customFormat="1" x14ac:dyDescent="0.25">
      <c r="A10">
        <v>29</v>
      </c>
      <c r="B10" s="86">
        <v>43661</v>
      </c>
      <c r="C10" t="s">
        <v>130</v>
      </c>
      <c r="D10" t="s">
        <v>137</v>
      </c>
      <c r="E10" t="s">
        <v>60</v>
      </c>
      <c r="F10" t="s">
        <v>126</v>
      </c>
      <c r="G10">
        <v>40</v>
      </c>
      <c r="H10" t="s">
        <v>131</v>
      </c>
      <c r="I10" t="s">
        <v>105</v>
      </c>
      <c r="J10">
        <f>IF(F10="Culex tarsalis",G10,0)</f>
        <v>40</v>
      </c>
      <c r="K10">
        <f>IF(F10="Culex pipiens",G10,0)</f>
        <v>0</v>
      </c>
      <c r="L10"/>
      <c r="M10"/>
      <c r="N10"/>
      <c r="O10"/>
      <c r="P10"/>
      <c r="Q10"/>
      <c r="R10"/>
      <c r="S10"/>
      <c r="T10"/>
      <c r="U10"/>
      <c r="V10"/>
      <c r="W10"/>
      <c r="X10"/>
      <c r="Y10"/>
      <c r="Z10"/>
      <c r="AA10"/>
      <c r="AB10"/>
    </row>
    <row r="11" spans="1:28" x14ac:dyDescent="0.25">
      <c r="A11">
        <v>29</v>
      </c>
      <c r="B11" s="86">
        <v>43663</v>
      </c>
      <c r="C11" t="s">
        <v>130</v>
      </c>
      <c r="D11" t="s">
        <v>139</v>
      </c>
      <c r="E11" t="s">
        <v>60</v>
      </c>
      <c r="F11" t="s">
        <v>126</v>
      </c>
      <c r="G11">
        <v>16</v>
      </c>
      <c r="H11" t="s">
        <v>131</v>
      </c>
      <c r="I11" t="s">
        <v>104</v>
      </c>
      <c r="J11">
        <f>IF(F11="Culex tarsalis",G11,0)</f>
        <v>16</v>
      </c>
      <c r="K11">
        <f>IF(F11="Culex pipiens",G11,0)</f>
        <v>0</v>
      </c>
    </row>
    <row r="12" spans="1:28" x14ac:dyDescent="0.25">
      <c r="A12">
        <v>29</v>
      </c>
      <c r="B12" s="86">
        <v>43663</v>
      </c>
      <c r="C12" t="s">
        <v>130</v>
      </c>
      <c r="D12" t="s">
        <v>139</v>
      </c>
      <c r="E12" t="s">
        <v>60</v>
      </c>
      <c r="F12" t="s">
        <v>127</v>
      </c>
      <c r="G12">
        <v>5</v>
      </c>
      <c r="H12" t="s">
        <v>131</v>
      </c>
      <c r="I12" t="s">
        <v>104</v>
      </c>
      <c r="J12">
        <f>IF(F12="Culex tarsalis",G12,0)</f>
        <v>0</v>
      </c>
      <c r="K12">
        <f>IF(F12="Culex pipiens",G12,0)</f>
        <v>5</v>
      </c>
    </row>
    <row r="13" spans="1:28" x14ac:dyDescent="0.25">
      <c r="A13">
        <v>29</v>
      </c>
      <c r="B13" s="86">
        <v>43661</v>
      </c>
      <c r="C13" t="s">
        <v>130</v>
      </c>
      <c r="D13" t="s">
        <v>194</v>
      </c>
      <c r="E13" t="s">
        <v>60</v>
      </c>
      <c r="F13" t="s">
        <v>126</v>
      </c>
      <c r="G13">
        <v>46</v>
      </c>
      <c r="H13" t="s">
        <v>131</v>
      </c>
      <c r="I13" t="s">
        <v>176</v>
      </c>
      <c r="J13">
        <f>IF(F13="Culex tarsalis",G13,0)</f>
        <v>46</v>
      </c>
      <c r="K13">
        <f>IF(F13="Culex pipiens",G13,0)</f>
        <v>0</v>
      </c>
    </row>
    <row r="14" spans="1:28" s="62" customFormat="1" x14ac:dyDescent="0.25">
      <c r="A14">
        <v>29</v>
      </c>
      <c r="B14" s="86">
        <v>43660</v>
      </c>
      <c r="C14" t="s">
        <v>130</v>
      </c>
      <c r="D14" t="s">
        <v>188</v>
      </c>
      <c r="E14" t="s">
        <v>59</v>
      </c>
      <c r="F14" t="s">
        <v>126</v>
      </c>
      <c r="G14">
        <v>195</v>
      </c>
      <c r="H14" t="s">
        <v>131</v>
      </c>
      <c r="I14" t="s">
        <v>173</v>
      </c>
      <c r="J14">
        <f>IF(F14="Culex tarsalis",G14,0)</f>
        <v>195</v>
      </c>
      <c r="K14">
        <f>IF(F14="Culex pipiens",G14,0)</f>
        <v>0</v>
      </c>
      <c r="L14"/>
      <c r="M14"/>
      <c r="N14"/>
      <c r="O14"/>
      <c r="P14"/>
      <c r="Q14"/>
      <c r="R14"/>
      <c r="S14"/>
      <c r="T14"/>
      <c r="U14"/>
      <c r="V14"/>
      <c r="W14"/>
      <c r="X14"/>
      <c r="Y14"/>
      <c r="Z14"/>
      <c r="AA14"/>
      <c r="AB14"/>
    </row>
    <row r="15" spans="1:28" s="62" customFormat="1" x14ac:dyDescent="0.25">
      <c r="A15">
        <v>29</v>
      </c>
      <c r="B15" s="86">
        <v>43660</v>
      </c>
      <c r="C15" t="s">
        <v>130</v>
      </c>
      <c r="D15" t="s">
        <v>135</v>
      </c>
      <c r="E15" t="s">
        <v>58</v>
      </c>
      <c r="F15" t="s">
        <v>126</v>
      </c>
      <c r="G15">
        <v>67</v>
      </c>
      <c r="H15" t="s">
        <v>131</v>
      </c>
      <c r="I15" t="s">
        <v>136</v>
      </c>
      <c r="J15">
        <f>IF(F15="Culex tarsalis",G15,0)</f>
        <v>67</v>
      </c>
      <c r="K15">
        <f>IF(F15="Culex pipiens",G15,0)</f>
        <v>0</v>
      </c>
      <c r="L15"/>
      <c r="M15"/>
      <c r="N15"/>
      <c r="O15"/>
      <c r="P15"/>
      <c r="Q15"/>
      <c r="R15"/>
      <c r="S15"/>
      <c r="T15"/>
      <c r="U15"/>
      <c r="V15"/>
      <c r="W15"/>
      <c r="X15"/>
      <c r="Y15"/>
      <c r="Z15"/>
      <c r="AA15"/>
      <c r="AB15"/>
    </row>
    <row r="16" spans="1:28" x14ac:dyDescent="0.25">
      <c r="A16">
        <v>29</v>
      </c>
      <c r="B16" s="86">
        <v>43660</v>
      </c>
      <c r="C16" t="s">
        <v>130</v>
      </c>
      <c r="D16" t="s">
        <v>135</v>
      </c>
      <c r="E16" t="s">
        <v>58</v>
      </c>
      <c r="F16" t="s">
        <v>127</v>
      </c>
      <c r="G16">
        <v>13</v>
      </c>
      <c r="H16" t="s">
        <v>131</v>
      </c>
      <c r="I16" t="s">
        <v>136</v>
      </c>
      <c r="J16">
        <f>IF(F16="Culex tarsalis",G16,0)</f>
        <v>0</v>
      </c>
      <c r="K16">
        <f>IF(F16="Culex pipiens",G16,0)</f>
        <v>13</v>
      </c>
    </row>
    <row r="17" spans="1:11" x14ac:dyDescent="0.25">
      <c r="A17">
        <v>29</v>
      </c>
      <c r="B17" s="86">
        <v>43663</v>
      </c>
      <c r="C17" t="s">
        <v>130</v>
      </c>
      <c r="D17" t="s">
        <v>196</v>
      </c>
      <c r="E17" t="s">
        <v>61</v>
      </c>
      <c r="F17" t="s">
        <v>126</v>
      </c>
      <c r="G17">
        <v>25</v>
      </c>
      <c r="H17" t="s">
        <v>131</v>
      </c>
      <c r="I17" t="s">
        <v>186</v>
      </c>
      <c r="J17">
        <f>IF(F17="Culex tarsalis",G17,0)</f>
        <v>25</v>
      </c>
      <c r="K17">
        <f>IF(F17="Culex pipiens",G17,0)</f>
        <v>0</v>
      </c>
    </row>
    <row r="18" spans="1:11" x14ac:dyDescent="0.25">
      <c r="A18">
        <v>29</v>
      </c>
      <c r="B18" s="86">
        <v>43660</v>
      </c>
      <c r="C18" t="s">
        <v>130</v>
      </c>
      <c r="D18" t="s">
        <v>290</v>
      </c>
      <c r="E18" t="s">
        <v>59</v>
      </c>
      <c r="F18" t="s">
        <v>126</v>
      </c>
      <c r="G18">
        <v>50</v>
      </c>
      <c r="H18" t="s">
        <v>131</v>
      </c>
      <c r="I18" t="s">
        <v>276</v>
      </c>
      <c r="J18">
        <f>IF(F18="Culex tarsalis",G18,0)</f>
        <v>50</v>
      </c>
      <c r="K18">
        <f>IF(F18="Culex pipiens",G18,0)</f>
        <v>0</v>
      </c>
    </row>
    <row r="19" spans="1:11" x14ac:dyDescent="0.25">
      <c r="A19">
        <v>29</v>
      </c>
      <c r="B19" s="86">
        <v>43661</v>
      </c>
      <c r="C19" t="s">
        <v>130</v>
      </c>
      <c r="D19" t="s">
        <v>189</v>
      </c>
      <c r="E19" t="s">
        <v>60</v>
      </c>
      <c r="F19" t="s">
        <v>126</v>
      </c>
      <c r="G19">
        <v>112</v>
      </c>
      <c r="H19" t="s">
        <v>131</v>
      </c>
      <c r="I19" t="s">
        <v>179</v>
      </c>
      <c r="J19">
        <f>IF(F19="Culex tarsalis",G19,0)</f>
        <v>112</v>
      </c>
      <c r="K19">
        <f>IF(F19="Culex pipiens",G19,0)</f>
        <v>0</v>
      </c>
    </row>
    <row r="20" spans="1:11" x14ac:dyDescent="0.25">
      <c r="A20">
        <v>29</v>
      </c>
      <c r="B20" s="86">
        <v>43661</v>
      </c>
      <c r="C20" t="s">
        <v>130</v>
      </c>
      <c r="D20" t="s">
        <v>189</v>
      </c>
      <c r="E20" t="s">
        <v>60</v>
      </c>
      <c r="F20" t="s">
        <v>127</v>
      </c>
      <c r="G20">
        <v>3</v>
      </c>
      <c r="H20" t="s">
        <v>131</v>
      </c>
      <c r="I20" t="s">
        <v>179</v>
      </c>
      <c r="J20">
        <f>IF(F20="Culex tarsalis",G20,0)</f>
        <v>0</v>
      </c>
      <c r="K20">
        <f>IF(F20="Culex pipiens",G20,0)</f>
        <v>3</v>
      </c>
    </row>
    <row r="21" spans="1:11" x14ac:dyDescent="0.25">
      <c r="A21">
        <v>29</v>
      </c>
      <c r="B21" s="86">
        <v>43660</v>
      </c>
      <c r="C21" t="s">
        <v>130</v>
      </c>
      <c r="D21" t="s">
        <v>249</v>
      </c>
      <c r="E21" t="s">
        <v>59</v>
      </c>
      <c r="F21" t="s">
        <v>126</v>
      </c>
      <c r="G21">
        <v>22</v>
      </c>
      <c r="H21" t="s">
        <v>131</v>
      </c>
      <c r="I21" t="s">
        <v>233</v>
      </c>
      <c r="J21">
        <f>IF(F21="Culex tarsalis",G21,0)</f>
        <v>22</v>
      </c>
      <c r="K21">
        <f>IF(F21="Culex pipiens",G21,0)</f>
        <v>0</v>
      </c>
    </row>
    <row r="22" spans="1:11" x14ac:dyDescent="0.25">
      <c r="A22">
        <v>29</v>
      </c>
      <c r="B22" s="86">
        <v>43662</v>
      </c>
      <c r="C22" t="s">
        <v>130</v>
      </c>
      <c r="D22" t="s">
        <v>295</v>
      </c>
      <c r="E22" t="s">
        <v>58</v>
      </c>
      <c r="F22" t="s">
        <v>126</v>
      </c>
      <c r="G22">
        <v>3</v>
      </c>
      <c r="H22" t="s">
        <v>131</v>
      </c>
      <c r="I22" t="s">
        <v>282</v>
      </c>
      <c r="J22">
        <f>IF(F22="Culex tarsalis",G22,0)</f>
        <v>3</v>
      </c>
      <c r="K22">
        <f>IF(F22="Culex pipiens",G22,0)</f>
        <v>0</v>
      </c>
    </row>
    <row r="23" spans="1:11" x14ac:dyDescent="0.25">
      <c r="A23">
        <v>29</v>
      </c>
      <c r="B23" s="86">
        <v>43661</v>
      </c>
      <c r="C23" t="s">
        <v>130</v>
      </c>
      <c r="D23" t="s">
        <v>293</v>
      </c>
      <c r="E23" t="s">
        <v>60</v>
      </c>
      <c r="F23" t="s">
        <v>126</v>
      </c>
      <c r="G23">
        <v>28</v>
      </c>
      <c r="H23" t="s">
        <v>131</v>
      </c>
      <c r="I23" t="s">
        <v>278</v>
      </c>
      <c r="J23">
        <f>IF(F23="Culex tarsalis",G23,0)</f>
        <v>28</v>
      </c>
      <c r="K23">
        <f>IF(F23="Culex pipiens",G23,0)</f>
        <v>0</v>
      </c>
    </row>
    <row r="24" spans="1:11" x14ac:dyDescent="0.25">
      <c r="A24">
        <v>29</v>
      </c>
      <c r="B24" s="86">
        <v>43661</v>
      </c>
      <c r="C24" t="s">
        <v>130</v>
      </c>
      <c r="D24" t="s">
        <v>292</v>
      </c>
      <c r="E24" t="s">
        <v>60</v>
      </c>
      <c r="F24" t="s">
        <v>126</v>
      </c>
      <c r="G24">
        <v>29</v>
      </c>
      <c r="H24" t="s">
        <v>131</v>
      </c>
      <c r="I24" t="s">
        <v>277</v>
      </c>
      <c r="J24">
        <f>IF(F24="Culex tarsalis",G24,0)</f>
        <v>29</v>
      </c>
      <c r="K24">
        <f>IF(F24="Culex pipiens",G24,0)</f>
        <v>0</v>
      </c>
    </row>
    <row r="25" spans="1:11" x14ac:dyDescent="0.25">
      <c r="A25">
        <v>29</v>
      </c>
      <c r="B25" s="86">
        <v>43662</v>
      </c>
      <c r="C25" t="s">
        <v>130</v>
      </c>
      <c r="D25" t="s">
        <v>294</v>
      </c>
      <c r="E25" t="s">
        <v>61</v>
      </c>
      <c r="F25" t="s">
        <v>127</v>
      </c>
      <c r="G25">
        <v>2</v>
      </c>
      <c r="H25" t="s">
        <v>131</v>
      </c>
      <c r="I25" t="s">
        <v>285</v>
      </c>
      <c r="J25">
        <f>IF(F25="Culex tarsalis",G25,0)</f>
        <v>0</v>
      </c>
      <c r="K25">
        <f>IF(F25="Culex pipiens",G25,0)</f>
        <v>2</v>
      </c>
    </row>
    <row r="26" spans="1:11" x14ac:dyDescent="0.25">
      <c r="A26">
        <v>29</v>
      </c>
      <c r="B26" s="86">
        <v>43661</v>
      </c>
      <c r="C26" t="s">
        <v>130</v>
      </c>
      <c r="D26" t="s">
        <v>192</v>
      </c>
      <c r="E26" t="s">
        <v>60</v>
      </c>
      <c r="F26" t="s">
        <v>127</v>
      </c>
      <c r="G26">
        <v>7</v>
      </c>
      <c r="H26" t="s">
        <v>131</v>
      </c>
      <c r="I26" t="s">
        <v>175</v>
      </c>
      <c r="J26">
        <f>IF(F26="Culex tarsalis",G26,0)</f>
        <v>0</v>
      </c>
      <c r="K26">
        <f>IF(F26="Culex pipiens",G26,0)</f>
        <v>7</v>
      </c>
    </row>
    <row r="27" spans="1:11" x14ac:dyDescent="0.25">
      <c r="A27">
        <v>29</v>
      </c>
      <c r="B27" s="86">
        <v>43661</v>
      </c>
      <c r="C27" t="s">
        <v>130</v>
      </c>
      <c r="D27" t="s">
        <v>192</v>
      </c>
      <c r="E27" t="s">
        <v>60</v>
      </c>
      <c r="F27" t="s">
        <v>126</v>
      </c>
      <c r="G27">
        <v>50</v>
      </c>
      <c r="H27" t="s">
        <v>131</v>
      </c>
      <c r="I27" t="s">
        <v>175</v>
      </c>
      <c r="J27">
        <f>IF(F27="Culex tarsalis",G27,0)</f>
        <v>50</v>
      </c>
      <c r="K27">
        <f>IF(F27="Culex pipiens",G27,0)</f>
        <v>0</v>
      </c>
    </row>
    <row r="28" spans="1:11" x14ac:dyDescent="0.25">
      <c r="A28">
        <v>29</v>
      </c>
      <c r="B28" s="86">
        <v>43662</v>
      </c>
      <c r="C28" t="s">
        <v>130</v>
      </c>
      <c r="D28" t="s">
        <v>297</v>
      </c>
      <c r="E28" t="s">
        <v>58</v>
      </c>
      <c r="F28" t="s">
        <v>126</v>
      </c>
      <c r="G28">
        <v>4</v>
      </c>
      <c r="H28" t="s">
        <v>131</v>
      </c>
      <c r="I28" t="s">
        <v>281</v>
      </c>
      <c r="J28">
        <f>IF(F28="Culex tarsalis",G28,0)</f>
        <v>4</v>
      </c>
      <c r="K28">
        <f>IF(F28="Culex pipiens",G28,0)</f>
        <v>0</v>
      </c>
    </row>
    <row r="29" spans="1:11" x14ac:dyDescent="0.25">
      <c r="A29">
        <v>29</v>
      </c>
      <c r="B29" s="86">
        <v>43661</v>
      </c>
      <c r="C29" t="s">
        <v>130</v>
      </c>
      <c r="D29" t="s">
        <v>138</v>
      </c>
      <c r="E29" t="s">
        <v>60</v>
      </c>
      <c r="F29" t="s">
        <v>127</v>
      </c>
      <c r="G29">
        <v>11</v>
      </c>
      <c r="H29" t="s">
        <v>131</v>
      </c>
      <c r="I29" t="s">
        <v>106</v>
      </c>
      <c r="J29">
        <f>IF(F29="Culex tarsalis",G29,0)</f>
        <v>0</v>
      </c>
      <c r="K29">
        <f>IF(F29="Culex pipiens",G29,0)</f>
        <v>11</v>
      </c>
    </row>
    <row r="30" spans="1:11" x14ac:dyDescent="0.25">
      <c r="A30">
        <v>29</v>
      </c>
      <c r="B30" s="86">
        <v>43661</v>
      </c>
      <c r="C30" t="s">
        <v>130</v>
      </c>
      <c r="D30" t="s">
        <v>138</v>
      </c>
      <c r="E30" t="s">
        <v>60</v>
      </c>
      <c r="F30" t="s">
        <v>126</v>
      </c>
      <c r="G30">
        <v>314</v>
      </c>
      <c r="H30" t="s">
        <v>131</v>
      </c>
      <c r="I30" t="s">
        <v>106</v>
      </c>
      <c r="J30">
        <f>IF(F30="Culex tarsalis",G30,0)</f>
        <v>314</v>
      </c>
      <c r="K30">
        <f>IF(F30="Culex pipiens",G30,0)</f>
        <v>0</v>
      </c>
    </row>
    <row r="31" spans="1:11" x14ac:dyDescent="0.25">
      <c r="A31">
        <v>29</v>
      </c>
      <c r="B31" s="86">
        <v>43663</v>
      </c>
      <c r="C31" t="s">
        <v>130</v>
      </c>
      <c r="D31" t="s">
        <v>258</v>
      </c>
      <c r="E31" t="s">
        <v>60</v>
      </c>
      <c r="F31" t="s">
        <v>126</v>
      </c>
      <c r="G31">
        <v>14</v>
      </c>
      <c r="H31" t="s">
        <v>131</v>
      </c>
      <c r="I31" t="s">
        <v>242</v>
      </c>
      <c r="J31">
        <f>IF(F31="Culex tarsalis",G31,0)</f>
        <v>14</v>
      </c>
      <c r="K31">
        <f>IF(F31="Culex pipiens",G31,0)</f>
        <v>0</v>
      </c>
    </row>
    <row r="32" spans="1:11" x14ac:dyDescent="0.25">
      <c r="A32">
        <v>29</v>
      </c>
      <c r="B32" s="86">
        <v>43663</v>
      </c>
      <c r="C32" t="s">
        <v>130</v>
      </c>
      <c r="D32" t="s">
        <v>299</v>
      </c>
      <c r="E32" t="s">
        <v>61</v>
      </c>
      <c r="F32" t="s">
        <v>126</v>
      </c>
      <c r="G32">
        <v>5</v>
      </c>
      <c r="H32" t="s">
        <v>131</v>
      </c>
      <c r="I32" t="s">
        <v>289</v>
      </c>
      <c r="J32">
        <f>IF(F32="Culex tarsalis",G32,0)</f>
        <v>5</v>
      </c>
      <c r="K32">
        <f>IF(F32="Culex pipiens",G32,0)</f>
        <v>0</v>
      </c>
    </row>
    <row r="33" spans="1:11" x14ac:dyDescent="0.25">
      <c r="A33">
        <v>29</v>
      </c>
      <c r="B33" s="86">
        <v>43661</v>
      </c>
      <c r="C33" t="s">
        <v>130</v>
      </c>
      <c r="D33" t="s">
        <v>291</v>
      </c>
      <c r="E33" t="s">
        <v>60</v>
      </c>
      <c r="F33" t="s">
        <v>126</v>
      </c>
      <c r="G33">
        <v>31</v>
      </c>
      <c r="H33" t="s">
        <v>131</v>
      </c>
      <c r="I33" t="s">
        <v>280</v>
      </c>
      <c r="J33">
        <f>IF(F33="Culex tarsalis",G33,0)</f>
        <v>31</v>
      </c>
      <c r="K33">
        <f>IF(F33="Culex pipiens",G33,0)</f>
        <v>0</v>
      </c>
    </row>
    <row r="34" spans="1:11" x14ac:dyDescent="0.25">
      <c r="A34">
        <v>29</v>
      </c>
      <c r="B34" s="86">
        <v>43662</v>
      </c>
      <c r="C34" t="s">
        <v>130</v>
      </c>
      <c r="D34" t="s">
        <v>296</v>
      </c>
      <c r="E34" t="s">
        <v>58</v>
      </c>
      <c r="F34" t="s">
        <v>126</v>
      </c>
      <c r="G34">
        <v>6</v>
      </c>
      <c r="H34" t="s">
        <v>131</v>
      </c>
      <c r="I34" t="s">
        <v>283</v>
      </c>
      <c r="J34">
        <f>IF(F34="Culex tarsalis",G34,0)</f>
        <v>6</v>
      </c>
      <c r="K34">
        <f>IF(F34="Culex pipiens",G34,0)</f>
        <v>0</v>
      </c>
    </row>
    <row r="35" spans="1:11" x14ac:dyDescent="0.25">
      <c r="A35">
        <v>29</v>
      </c>
      <c r="B35" s="86">
        <v>43662</v>
      </c>
      <c r="C35" t="s">
        <v>130</v>
      </c>
      <c r="D35" t="s">
        <v>195</v>
      </c>
      <c r="E35" t="s">
        <v>58</v>
      </c>
      <c r="F35" t="s">
        <v>126</v>
      </c>
      <c r="G35">
        <v>13</v>
      </c>
      <c r="H35" t="s">
        <v>131</v>
      </c>
      <c r="I35" t="s">
        <v>181</v>
      </c>
      <c r="J35">
        <f>IF(F35="Culex tarsalis",G35,0)</f>
        <v>13</v>
      </c>
      <c r="K35">
        <f>IF(F35="Culex pipiens",G35,0)</f>
        <v>0</v>
      </c>
    </row>
    <row r="36" spans="1:11" x14ac:dyDescent="0.25">
      <c r="A36">
        <v>29</v>
      </c>
      <c r="B36" s="86">
        <v>43663</v>
      </c>
      <c r="C36" t="s">
        <v>130</v>
      </c>
      <c r="D36" t="s">
        <v>257</v>
      </c>
      <c r="E36" t="s">
        <v>61</v>
      </c>
      <c r="F36" t="s">
        <v>126</v>
      </c>
      <c r="G36">
        <v>6</v>
      </c>
      <c r="H36" t="s">
        <v>131</v>
      </c>
      <c r="I36" t="s">
        <v>243</v>
      </c>
      <c r="J36">
        <f>IF(F36="Culex tarsalis",G36,0)</f>
        <v>6</v>
      </c>
      <c r="K36">
        <f>IF(F36="Culex pipiens",G36,0)</f>
        <v>0</v>
      </c>
    </row>
    <row r="37" spans="1:11" x14ac:dyDescent="0.25">
      <c r="A37">
        <v>29</v>
      </c>
      <c r="B37" s="86">
        <v>43661</v>
      </c>
      <c r="C37" t="s">
        <v>130</v>
      </c>
      <c r="D37" t="s">
        <v>193</v>
      </c>
      <c r="E37" t="s">
        <v>60</v>
      </c>
      <c r="F37" t="s">
        <v>126</v>
      </c>
      <c r="G37">
        <v>90</v>
      </c>
      <c r="H37" t="s">
        <v>131</v>
      </c>
      <c r="I37" t="s">
        <v>178</v>
      </c>
      <c r="J37">
        <f>IF(F37="Culex tarsalis",G37,0)</f>
        <v>90</v>
      </c>
      <c r="K37">
        <f>IF(F37="Culex pipiens",G37,0)</f>
        <v>0</v>
      </c>
    </row>
    <row r="38" spans="1:11" x14ac:dyDescent="0.25">
      <c r="A38">
        <v>29</v>
      </c>
      <c r="B38" s="86">
        <v>43660</v>
      </c>
      <c r="C38" t="s">
        <v>130</v>
      </c>
      <c r="D38" t="s">
        <v>248</v>
      </c>
      <c r="E38" t="s">
        <v>59</v>
      </c>
      <c r="F38" t="s">
        <v>126</v>
      </c>
      <c r="G38">
        <v>29</v>
      </c>
      <c r="H38" t="s">
        <v>131</v>
      </c>
      <c r="I38" t="s">
        <v>228</v>
      </c>
      <c r="J38">
        <f>IF(F38="Culex tarsalis",G38,0)</f>
        <v>29</v>
      </c>
      <c r="K38">
        <f>IF(F38="Culex pipiens",G38,0)</f>
        <v>0</v>
      </c>
    </row>
    <row r="39" spans="1:11" x14ac:dyDescent="0.25">
      <c r="A39">
        <v>29</v>
      </c>
      <c r="B39" s="86">
        <v>43660</v>
      </c>
      <c r="C39" t="s">
        <v>130</v>
      </c>
      <c r="D39" t="s">
        <v>248</v>
      </c>
      <c r="E39" t="s">
        <v>59</v>
      </c>
      <c r="F39" t="s">
        <v>127</v>
      </c>
      <c r="G39">
        <v>8</v>
      </c>
      <c r="H39" t="s">
        <v>131</v>
      </c>
      <c r="I39" t="s">
        <v>228</v>
      </c>
      <c r="J39">
        <f>IF(F39="Culex tarsalis",G39,0)</f>
        <v>0</v>
      </c>
      <c r="K39">
        <f>IF(F39="Culex pipiens",G39,0)</f>
        <v>8</v>
      </c>
    </row>
    <row r="40" spans="1:11" x14ac:dyDescent="0.25">
      <c r="A40">
        <v>29</v>
      </c>
      <c r="B40" s="86">
        <v>43660</v>
      </c>
      <c r="C40" t="s">
        <v>130</v>
      </c>
      <c r="D40" t="s">
        <v>246</v>
      </c>
      <c r="E40" t="s">
        <v>59</v>
      </c>
      <c r="F40" t="s">
        <v>126</v>
      </c>
      <c r="G40">
        <v>121</v>
      </c>
      <c r="H40" t="s">
        <v>131</v>
      </c>
      <c r="I40" t="s">
        <v>234</v>
      </c>
      <c r="J40">
        <f>IF(F40="Culex tarsalis",G40,0)</f>
        <v>121</v>
      </c>
      <c r="K40">
        <f>IF(F40="Culex pipiens",G40,0)</f>
        <v>0</v>
      </c>
    </row>
    <row r="41" spans="1:11" x14ac:dyDescent="0.25">
      <c r="A41">
        <v>29</v>
      </c>
      <c r="B41" s="86">
        <v>43660</v>
      </c>
      <c r="C41" t="s">
        <v>130</v>
      </c>
      <c r="D41" t="s">
        <v>246</v>
      </c>
      <c r="E41" t="s">
        <v>59</v>
      </c>
      <c r="F41" t="s">
        <v>127</v>
      </c>
      <c r="G41">
        <v>5</v>
      </c>
      <c r="H41" t="s">
        <v>131</v>
      </c>
      <c r="I41" t="s">
        <v>234</v>
      </c>
      <c r="J41">
        <f>IF(F41="Culex tarsalis",G41,0)</f>
        <v>0</v>
      </c>
      <c r="K41">
        <f>IF(F41="Culex pipiens",G41,0)</f>
        <v>5</v>
      </c>
    </row>
    <row r="42" spans="1:11" x14ac:dyDescent="0.25">
      <c r="A42">
        <v>29</v>
      </c>
      <c r="B42" s="86">
        <v>43663</v>
      </c>
      <c r="C42" t="s">
        <v>130</v>
      </c>
      <c r="D42" t="s">
        <v>298</v>
      </c>
      <c r="E42" t="s">
        <v>61</v>
      </c>
      <c r="F42" t="s">
        <v>126</v>
      </c>
      <c r="G42">
        <v>6</v>
      </c>
      <c r="H42" t="s">
        <v>131</v>
      </c>
      <c r="I42" t="s">
        <v>287</v>
      </c>
      <c r="J42">
        <f>IF(F42="Culex tarsalis",G42,0)</f>
        <v>6</v>
      </c>
      <c r="K42">
        <f>IF(F42="Culex pipiens",G42,0)</f>
        <v>0</v>
      </c>
    </row>
    <row r="43" spans="1:11" x14ac:dyDescent="0.25">
      <c r="A43">
        <v>29</v>
      </c>
      <c r="B43" s="86">
        <v>43660</v>
      </c>
      <c r="C43" t="s">
        <v>130</v>
      </c>
      <c r="D43" t="s">
        <v>247</v>
      </c>
      <c r="E43" t="s">
        <v>59</v>
      </c>
      <c r="F43" t="s">
        <v>127</v>
      </c>
      <c r="G43">
        <v>6</v>
      </c>
      <c r="H43" t="s">
        <v>131</v>
      </c>
      <c r="I43" t="s">
        <v>227</v>
      </c>
      <c r="J43">
        <f>IF(F43="Culex tarsalis",G43,0)</f>
        <v>0</v>
      </c>
      <c r="K43">
        <f>IF(F43="Culex pipiens",G43,0)</f>
        <v>6</v>
      </c>
    </row>
    <row r="44" spans="1:11" x14ac:dyDescent="0.25">
      <c r="A44">
        <v>29</v>
      </c>
      <c r="B44" s="86">
        <v>43660</v>
      </c>
      <c r="C44" t="s">
        <v>130</v>
      </c>
      <c r="D44" t="s">
        <v>247</v>
      </c>
      <c r="E44" t="s">
        <v>59</v>
      </c>
      <c r="F44" t="s">
        <v>126</v>
      </c>
      <c r="G44">
        <v>42</v>
      </c>
      <c r="H44" t="s">
        <v>131</v>
      </c>
      <c r="I44" t="s">
        <v>227</v>
      </c>
      <c r="J44">
        <f>IF(F44="Culex tarsalis",G44,0)</f>
        <v>42</v>
      </c>
      <c r="K44">
        <f>IF(F44="Culex pipiens",G44,0)</f>
        <v>0</v>
      </c>
    </row>
    <row r="45" spans="1:11" x14ac:dyDescent="0.25">
      <c r="A45">
        <v>29</v>
      </c>
      <c r="B45" s="86">
        <v>43663</v>
      </c>
      <c r="C45" t="s">
        <v>130</v>
      </c>
      <c r="D45" t="s">
        <v>256</v>
      </c>
      <c r="E45" t="s">
        <v>61</v>
      </c>
      <c r="F45" t="s">
        <v>126</v>
      </c>
      <c r="G45">
        <v>9</v>
      </c>
      <c r="H45" t="s">
        <v>131</v>
      </c>
      <c r="I45" t="s">
        <v>240</v>
      </c>
      <c r="J45">
        <f>IF(F45="Culex tarsalis",G45,0)</f>
        <v>9</v>
      </c>
      <c r="K45">
        <f>IF(F45="Culex pipiens",G45,0)</f>
        <v>0</v>
      </c>
    </row>
    <row r="46" spans="1:11" x14ac:dyDescent="0.25">
      <c r="A46">
        <v>29</v>
      </c>
      <c r="B46" s="86">
        <v>43660</v>
      </c>
      <c r="C46" t="s">
        <v>130</v>
      </c>
      <c r="D46" t="s">
        <v>250</v>
      </c>
      <c r="E46" t="s">
        <v>59</v>
      </c>
      <c r="F46" t="s">
        <v>126</v>
      </c>
      <c r="G46">
        <v>17</v>
      </c>
      <c r="H46" t="s">
        <v>131</v>
      </c>
      <c r="I46" t="s">
        <v>230</v>
      </c>
      <c r="J46">
        <f>IF(F46="Culex tarsalis",G46,0)</f>
        <v>17</v>
      </c>
      <c r="K46">
        <f>IF(F46="Culex pipiens",G46,0)</f>
        <v>0</v>
      </c>
    </row>
    <row r="47" spans="1:11" x14ac:dyDescent="0.25">
      <c r="A47">
        <v>29</v>
      </c>
      <c r="B47" s="86">
        <v>43662</v>
      </c>
      <c r="C47" t="s">
        <v>130</v>
      </c>
      <c r="D47" t="s">
        <v>255</v>
      </c>
      <c r="E47" t="s">
        <v>58</v>
      </c>
      <c r="F47" t="s">
        <v>127</v>
      </c>
      <c r="G47">
        <v>3</v>
      </c>
      <c r="H47" t="s">
        <v>131</v>
      </c>
      <c r="I47" t="s">
        <v>237</v>
      </c>
      <c r="J47">
        <f>IF(F47="Culex tarsalis",G47,0)</f>
        <v>0</v>
      </c>
      <c r="K47">
        <f>IF(F47="Culex pipiens",G47,0)</f>
        <v>3</v>
      </c>
    </row>
    <row r="48" spans="1:11" x14ac:dyDescent="0.25">
      <c r="A48">
        <v>29</v>
      </c>
      <c r="B48" s="86">
        <v>43662</v>
      </c>
      <c r="C48" t="s">
        <v>130</v>
      </c>
      <c r="D48" t="s">
        <v>255</v>
      </c>
      <c r="E48" t="s">
        <v>58</v>
      </c>
      <c r="F48" t="s">
        <v>126</v>
      </c>
      <c r="G48">
        <v>11</v>
      </c>
      <c r="H48" t="s">
        <v>131</v>
      </c>
      <c r="I48" t="s">
        <v>237</v>
      </c>
      <c r="J48">
        <f>IF(F48="Culex tarsalis",G48,0)</f>
        <v>11</v>
      </c>
      <c r="K48">
        <f>IF(F48="Culex pipiens",G48,0)</f>
        <v>0</v>
      </c>
    </row>
    <row r="49" spans="1:11" x14ac:dyDescent="0.25">
      <c r="A49">
        <v>29</v>
      </c>
      <c r="B49" s="86">
        <v>43661</v>
      </c>
      <c r="C49" t="s">
        <v>130</v>
      </c>
      <c r="D49" t="s">
        <v>191</v>
      </c>
      <c r="E49" t="s">
        <v>60</v>
      </c>
      <c r="F49" t="s">
        <v>127</v>
      </c>
      <c r="G49">
        <v>3</v>
      </c>
      <c r="H49" t="s">
        <v>131</v>
      </c>
      <c r="I49" t="s">
        <v>180</v>
      </c>
      <c r="J49">
        <f>IF(F49="Culex tarsalis",G49,0)</f>
        <v>0</v>
      </c>
      <c r="K49">
        <f>IF(F49="Culex pipiens",G49,0)</f>
        <v>3</v>
      </c>
    </row>
    <row r="50" spans="1:11" x14ac:dyDescent="0.25">
      <c r="A50">
        <v>29</v>
      </c>
      <c r="B50" s="86">
        <v>43661</v>
      </c>
      <c r="C50" t="s">
        <v>130</v>
      </c>
      <c r="D50" t="s">
        <v>191</v>
      </c>
      <c r="E50" t="s">
        <v>60</v>
      </c>
      <c r="F50" t="s">
        <v>126</v>
      </c>
      <c r="G50">
        <v>47</v>
      </c>
      <c r="H50" t="s">
        <v>131</v>
      </c>
      <c r="I50" t="s">
        <v>180</v>
      </c>
      <c r="J50">
        <f>IF(F50="Culex tarsalis",G50,0)</f>
        <v>47</v>
      </c>
      <c r="K50">
        <f>IF(F50="Culex pipiens",G50,0)</f>
        <v>0</v>
      </c>
    </row>
    <row r="51" spans="1:11" x14ac:dyDescent="0.25">
      <c r="A51">
        <v>29</v>
      </c>
      <c r="B51" s="86">
        <v>43661</v>
      </c>
      <c r="C51" t="s">
        <v>130</v>
      </c>
      <c r="D51" t="s">
        <v>253</v>
      </c>
      <c r="E51" t="s">
        <v>60</v>
      </c>
      <c r="F51" t="s">
        <v>126</v>
      </c>
      <c r="G51">
        <v>14</v>
      </c>
      <c r="H51" t="s">
        <v>131</v>
      </c>
      <c r="I51" t="s">
        <v>236</v>
      </c>
      <c r="J51">
        <f>IF(F51="Culex tarsalis",G51,0)</f>
        <v>14</v>
      </c>
      <c r="K51">
        <f>IF(F51="Culex pipiens",G51,0)</f>
        <v>0</v>
      </c>
    </row>
    <row r="52" spans="1:11" x14ac:dyDescent="0.25">
      <c r="A52">
        <v>29</v>
      </c>
      <c r="B52" s="86">
        <v>43663</v>
      </c>
      <c r="C52" t="s">
        <v>130</v>
      </c>
      <c r="D52" t="s">
        <v>409</v>
      </c>
      <c r="E52" t="s">
        <v>61</v>
      </c>
      <c r="F52" t="s">
        <v>126</v>
      </c>
      <c r="G52">
        <v>30</v>
      </c>
      <c r="H52" t="s">
        <v>131</v>
      </c>
      <c r="I52" t="s">
        <v>407</v>
      </c>
      <c r="J52">
        <f>IF(F52="Culex tarsalis",G52,0)</f>
        <v>30</v>
      </c>
      <c r="K52">
        <f>IF(F52="Culex pipiens",G52,0)</f>
        <v>0</v>
      </c>
    </row>
    <row r="53" spans="1:11" x14ac:dyDescent="0.25">
      <c r="A53">
        <v>29</v>
      </c>
      <c r="B53" s="86">
        <v>43662</v>
      </c>
      <c r="C53" t="s">
        <v>154</v>
      </c>
      <c r="D53" t="s">
        <v>217</v>
      </c>
      <c r="E53" t="s">
        <v>112</v>
      </c>
      <c r="F53" t="s">
        <v>127</v>
      </c>
      <c r="G53">
        <v>7</v>
      </c>
      <c r="H53" t="s">
        <v>131</v>
      </c>
      <c r="I53" t="s">
        <v>218</v>
      </c>
      <c r="J53">
        <f>IF(F53="Culex tarsalis",G53,0)</f>
        <v>0</v>
      </c>
      <c r="K53">
        <f>IF(F53="Culex pipiens",G53,0)</f>
        <v>7</v>
      </c>
    </row>
    <row r="54" spans="1:11" x14ac:dyDescent="0.25">
      <c r="A54">
        <v>29</v>
      </c>
      <c r="B54" s="86">
        <v>43662</v>
      </c>
      <c r="C54" t="s">
        <v>154</v>
      </c>
      <c r="D54" t="s">
        <v>217</v>
      </c>
      <c r="E54" t="s">
        <v>112</v>
      </c>
      <c r="F54" t="s">
        <v>126</v>
      </c>
      <c r="G54">
        <v>63</v>
      </c>
      <c r="H54" t="s">
        <v>131</v>
      </c>
      <c r="I54" t="s">
        <v>218</v>
      </c>
      <c r="J54">
        <f>IF(F54="Culex tarsalis",G54,0)</f>
        <v>63</v>
      </c>
      <c r="K54">
        <f>IF(F54="Culex pipiens",G54,0)</f>
        <v>0</v>
      </c>
    </row>
    <row r="55" spans="1:11" x14ac:dyDescent="0.25">
      <c r="A55">
        <v>29</v>
      </c>
      <c r="B55" s="86">
        <v>43660</v>
      </c>
      <c r="C55" t="s">
        <v>155</v>
      </c>
      <c r="D55" t="s">
        <v>223</v>
      </c>
      <c r="E55" t="s">
        <v>155</v>
      </c>
      <c r="F55" t="s">
        <v>126</v>
      </c>
      <c r="G55">
        <v>604</v>
      </c>
      <c r="H55" t="s">
        <v>131</v>
      </c>
      <c r="I55" t="s">
        <v>224</v>
      </c>
      <c r="J55">
        <f>IF(F55="Culex tarsalis",G55,0)</f>
        <v>604</v>
      </c>
      <c r="K55">
        <f>IF(F55="Culex pipiens",G55,0)</f>
        <v>0</v>
      </c>
    </row>
    <row r="56" spans="1:11" x14ac:dyDescent="0.25">
      <c r="A56">
        <v>29</v>
      </c>
      <c r="B56" s="86">
        <v>43660</v>
      </c>
      <c r="C56" t="s">
        <v>155</v>
      </c>
      <c r="D56" t="s">
        <v>274</v>
      </c>
      <c r="E56" t="s">
        <v>155</v>
      </c>
      <c r="F56" t="s">
        <v>126</v>
      </c>
      <c r="G56">
        <v>252</v>
      </c>
      <c r="H56" t="s">
        <v>131</v>
      </c>
      <c r="I56" t="s">
        <v>275</v>
      </c>
      <c r="J56">
        <f>IF(F56="Culex tarsalis",G56,0)</f>
        <v>252</v>
      </c>
      <c r="K56">
        <f>IF(F56="Culex pipiens",G56,0)</f>
        <v>0</v>
      </c>
    </row>
    <row r="57" spans="1:11" x14ac:dyDescent="0.25">
      <c r="A57">
        <v>29</v>
      </c>
      <c r="B57" s="86">
        <v>43660</v>
      </c>
      <c r="C57" t="s">
        <v>155</v>
      </c>
      <c r="D57" t="s">
        <v>274</v>
      </c>
      <c r="E57" t="s">
        <v>155</v>
      </c>
      <c r="F57" t="s">
        <v>127</v>
      </c>
      <c r="G57">
        <v>4</v>
      </c>
      <c r="H57" t="s">
        <v>131</v>
      </c>
      <c r="I57" t="s">
        <v>275</v>
      </c>
      <c r="J57">
        <f>IF(F57="Culex tarsalis",G57,0)</f>
        <v>0</v>
      </c>
      <c r="K57">
        <f>IF(F57="Culex pipiens",G57,0)</f>
        <v>4</v>
      </c>
    </row>
    <row r="58" spans="1:11" x14ac:dyDescent="0.25">
      <c r="A58">
        <v>29</v>
      </c>
      <c r="B58" s="86">
        <v>43660</v>
      </c>
      <c r="C58" t="s">
        <v>155</v>
      </c>
      <c r="D58" t="s">
        <v>303</v>
      </c>
      <c r="E58" t="s">
        <v>155</v>
      </c>
      <c r="F58" t="s">
        <v>126</v>
      </c>
      <c r="G58">
        <v>110</v>
      </c>
      <c r="H58" t="s">
        <v>131</v>
      </c>
      <c r="I58" t="s">
        <v>304</v>
      </c>
      <c r="J58">
        <f>IF(F58="Culex tarsalis",G58,0)</f>
        <v>110</v>
      </c>
      <c r="K58">
        <f>IF(F58="Culex pipiens",G58,0)</f>
        <v>0</v>
      </c>
    </row>
    <row r="59" spans="1:11" x14ac:dyDescent="0.25">
      <c r="A59">
        <v>29</v>
      </c>
      <c r="B59" s="86">
        <v>43662</v>
      </c>
      <c r="C59" t="s">
        <v>154</v>
      </c>
      <c r="D59" t="s">
        <v>272</v>
      </c>
      <c r="E59" t="s">
        <v>112</v>
      </c>
      <c r="F59" t="s">
        <v>126</v>
      </c>
      <c r="G59">
        <v>24</v>
      </c>
      <c r="H59" t="s">
        <v>131</v>
      </c>
      <c r="I59" t="s">
        <v>273</v>
      </c>
      <c r="J59">
        <f>IF(F59="Culex tarsalis",G59,0)</f>
        <v>24</v>
      </c>
      <c r="K59">
        <f>IF(F59="Culex pipiens",G59,0)</f>
        <v>0</v>
      </c>
    </row>
    <row r="60" spans="1:11" x14ac:dyDescent="0.25">
      <c r="A60">
        <v>29</v>
      </c>
      <c r="B60" s="86">
        <v>43660</v>
      </c>
      <c r="C60" t="s">
        <v>155</v>
      </c>
      <c r="D60" t="s">
        <v>156</v>
      </c>
      <c r="E60" t="s">
        <v>155</v>
      </c>
      <c r="F60" t="s">
        <v>126</v>
      </c>
      <c r="G60">
        <v>348</v>
      </c>
      <c r="H60" t="s">
        <v>131</v>
      </c>
      <c r="I60" t="s">
        <v>157</v>
      </c>
      <c r="J60">
        <f>IF(F60="Culex tarsalis",G60,0)</f>
        <v>348</v>
      </c>
      <c r="K60">
        <f>IF(F60="Culex pipiens",G60,0)</f>
        <v>0</v>
      </c>
    </row>
    <row r="61" spans="1:11" x14ac:dyDescent="0.25">
      <c r="A61">
        <v>29</v>
      </c>
      <c r="B61" s="86">
        <v>43660</v>
      </c>
      <c r="C61" t="s">
        <v>155</v>
      </c>
      <c r="D61" t="s">
        <v>156</v>
      </c>
      <c r="E61" t="s">
        <v>155</v>
      </c>
      <c r="F61" t="s">
        <v>127</v>
      </c>
      <c r="G61">
        <v>32</v>
      </c>
      <c r="H61" t="s">
        <v>131</v>
      </c>
      <c r="I61" t="s">
        <v>157</v>
      </c>
      <c r="J61">
        <f>IF(F61="Culex tarsalis",G61,0)</f>
        <v>0</v>
      </c>
      <c r="K61">
        <f>IF(F61="Culex pipiens",G61,0)</f>
        <v>32</v>
      </c>
    </row>
    <row r="62" spans="1:11" x14ac:dyDescent="0.25">
      <c r="A62">
        <v>29</v>
      </c>
      <c r="B62" s="86">
        <v>43660</v>
      </c>
      <c r="C62" t="s">
        <v>155</v>
      </c>
      <c r="D62" t="s">
        <v>158</v>
      </c>
      <c r="E62" t="s">
        <v>155</v>
      </c>
      <c r="F62" t="s">
        <v>126</v>
      </c>
      <c r="G62">
        <v>460</v>
      </c>
      <c r="H62" t="s">
        <v>131</v>
      </c>
      <c r="I62" t="s">
        <v>159</v>
      </c>
      <c r="J62">
        <f>IF(F62="Culex tarsalis",G62,0)</f>
        <v>460</v>
      </c>
      <c r="K62">
        <f>IF(F62="Culex pipiens",G62,0)</f>
        <v>0</v>
      </c>
    </row>
    <row r="63" spans="1:11" x14ac:dyDescent="0.25">
      <c r="A63">
        <v>29</v>
      </c>
      <c r="B63" s="86">
        <v>43660</v>
      </c>
      <c r="C63" t="s">
        <v>155</v>
      </c>
      <c r="D63" t="s">
        <v>225</v>
      </c>
      <c r="E63" t="s">
        <v>155</v>
      </c>
      <c r="F63" t="s">
        <v>127</v>
      </c>
      <c r="G63">
        <v>8</v>
      </c>
      <c r="H63" t="s">
        <v>131</v>
      </c>
      <c r="I63" t="s">
        <v>226</v>
      </c>
      <c r="J63">
        <f>IF(F63="Culex tarsalis",G63,0)</f>
        <v>0</v>
      </c>
      <c r="K63">
        <f>IF(F63="Culex pipiens",G63,0)</f>
        <v>8</v>
      </c>
    </row>
    <row r="64" spans="1:11" x14ac:dyDescent="0.25">
      <c r="A64">
        <v>29</v>
      </c>
      <c r="B64" s="86">
        <v>43660</v>
      </c>
      <c r="C64" t="s">
        <v>155</v>
      </c>
      <c r="D64" t="s">
        <v>225</v>
      </c>
      <c r="E64" t="s">
        <v>155</v>
      </c>
      <c r="F64" t="s">
        <v>126</v>
      </c>
      <c r="G64">
        <v>360</v>
      </c>
      <c r="H64" t="s">
        <v>131</v>
      </c>
      <c r="I64" t="s">
        <v>226</v>
      </c>
      <c r="J64">
        <f>IF(F64="Culex tarsalis",G64,0)</f>
        <v>360</v>
      </c>
      <c r="K64">
        <f>IF(F64="Culex pipiens",G64,0)</f>
        <v>0</v>
      </c>
    </row>
    <row r="65" spans="1:11" x14ac:dyDescent="0.25">
      <c r="A65">
        <v>29</v>
      </c>
      <c r="B65" s="86">
        <v>43662</v>
      </c>
      <c r="C65" t="s">
        <v>154</v>
      </c>
      <c r="D65" t="s">
        <v>219</v>
      </c>
      <c r="E65" t="s">
        <v>112</v>
      </c>
      <c r="F65" t="s">
        <v>126</v>
      </c>
      <c r="G65">
        <v>103</v>
      </c>
      <c r="H65" t="s">
        <v>131</v>
      </c>
      <c r="I65" t="s">
        <v>220</v>
      </c>
      <c r="J65">
        <f>IF(F65="Culex tarsalis",G65,0)</f>
        <v>103</v>
      </c>
      <c r="K65">
        <f>IF(F65="Culex pipiens",G65,0)</f>
        <v>0</v>
      </c>
    </row>
    <row r="66" spans="1:11" x14ac:dyDescent="0.25">
      <c r="A66">
        <v>29</v>
      </c>
      <c r="B66" s="86">
        <v>43662</v>
      </c>
      <c r="C66" t="s">
        <v>154</v>
      </c>
      <c r="D66" t="s">
        <v>221</v>
      </c>
      <c r="E66" t="s">
        <v>112</v>
      </c>
      <c r="F66" t="s">
        <v>126</v>
      </c>
      <c r="G66">
        <v>100</v>
      </c>
      <c r="H66" t="s">
        <v>131</v>
      </c>
      <c r="I66" t="s">
        <v>222</v>
      </c>
      <c r="J66">
        <f>IF(F66="Culex tarsalis",G66,0)</f>
        <v>100</v>
      </c>
      <c r="K66">
        <f>IF(F66="Culex pipiens",G66,0)</f>
        <v>0</v>
      </c>
    </row>
    <row r="67" spans="1:11" x14ac:dyDescent="0.25">
      <c r="A67">
        <v>29</v>
      </c>
      <c r="B67" s="86">
        <v>43662</v>
      </c>
      <c r="C67" t="s">
        <v>154</v>
      </c>
      <c r="D67" t="s">
        <v>302</v>
      </c>
      <c r="E67" t="s">
        <v>112</v>
      </c>
      <c r="F67" t="s">
        <v>126</v>
      </c>
      <c r="G67">
        <v>12</v>
      </c>
      <c r="H67" t="s">
        <v>131</v>
      </c>
      <c r="I67" t="s">
        <v>286</v>
      </c>
      <c r="J67">
        <f>IF(F67="Culex tarsalis",G67,0)</f>
        <v>12</v>
      </c>
      <c r="K67">
        <f>IF(F67="Culex pipiens",G67,0)</f>
        <v>0</v>
      </c>
    </row>
    <row r="68" spans="1:11" x14ac:dyDescent="0.25">
      <c r="A68">
        <v>29</v>
      </c>
      <c r="B68" s="86">
        <v>43660</v>
      </c>
      <c r="C68" t="s">
        <v>140</v>
      </c>
      <c r="D68" t="s">
        <v>197</v>
      </c>
      <c r="E68" t="s">
        <v>9</v>
      </c>
      <c r="F68" t="s">
        <v>126</v>
      </c>
      <c r="G68">
        <v>42</v>
      </c>
      <c r="H68" t="s">
        <v>131</v>
      </c>
      <c r="I68" t="s">
        <v>198</v>
      </c>
      <c r="J68">
        <f>IF(F68="Culex tarsalis",G68,0)</f>
        <v>42</v>
      </c>
      <c r="K68">
        <f>IF(F68="Culex pipiens",G68,0)</f>
        <v>0</v>
      </c>
    </row>
    <row r="69" spans="1:11" x14ac:dyDescent="0.25">
      <c r="A69">
        <v>29</v>
      </c>
      <c r="B69" s="86">
        <v>43662</v>
      </c>
      <c r="C69" t="s">
        <v>140</v>
      </c>
      <c r="D69" t="s">
        <v>209</v>
      </c>
      <c r="E69" t="s">
        <v>9</v>
      </c>
      <c r="F69" t="s">
        <v>126</v>
      </c>
      <c r="G69">
        <v>67</v>
      </c>
      <c r="H69" t="s">
        <v>131</v>
      </c>
      <c r="I69" t="s">
        <v>210</v>
      </c>
      <c r="J69">
        <f>IF(F69="Culex tarsalis",G69,0)</f>
        <v>67</v>
      </c>
      <c r="K69">
        <f>IF(F69="Culex pipiens",G69,0)</f>
        <v>0</v>
      </c>
    </row>
    <row r="70" spans="1:11" x14ac:dyDescent="0.25">
      <c r="A70">
        <v>29</v>
      </c>
      <c r="B70" s="86">
        <v>43662</v>
      </c>
      <c r="C70" t="s">
        <v>140</v>
      </c>
      <c r="D70" t="s">
        <v>209</v>
      </c>
      <c r="E70" t="s">
        <v>9</v>
      </c>
      <c r="F70" t="s">
        <v>127</v>
      </c>
      <c r="G70">
        <v>5</v>
      </c>
      <c r="H70" t="s">
        <v>131</v>
      </c>
      <c r="I70" t="s">
        <v>210</v>
      </c>
      <c r="J70">
        <f>IF(F70="Culex tarsalis",G70,0)</f>
        <v>0</v>
      </c>
      <c r="K70">
        <f>IF(F70="Culex pipiens",G70,0)</f>
        <v>5</v>
      </c>
    </row>
    <row r="71" spans="1:11" x14ac:dyDescent="0.25">
      <c r="A71">
        <v>29</v>
      </c>
      <c r="B71" s="86">
        <v>43662</v>
      </c>
      <c r="C71" t="s">
        <v>140</v>
      </c>
      <c r="D71" t="s">
        <v>267</v>
      </c>
      <c r="E71" t="s">
        <v>9</v>
      </c>
      <c r="F71" t="s">
        <v>126</v>
      </c>
      <c r="G71">
        <v>121</v>
      </c>
      <c r="H71" t="s">
        <v>131</v>
      </c>
      <c r="I71" t="s">
        <v>239</v>
      </c>
      <c r="J71">
        <f>IF(F71="Culex tarsalis",G71,0)</f>
        <v>121</v>
      </c>
      <c r="K71">
        <f>IF(F71="Culex pipiens",G71,0)</f>
        <v>0</v>
      </c>
    </row>
    <row r="72" spans="1:11" x14ac:dyDescent="0.25">
      <c r="A72">
        <v>29</v>
      </c>
      <c r="B72" s="86">
        <v>43662</v>
      </c>
      <c r="C72" t="s">
        <v>140</v>
      </c>
      <c r="D72" t="s">
        <v>213</v>
      </c>
      <c r="E72" t="s">
        <v>9</v>
      </c>
      <c r="F72" t="s">
        <v>126</v>
      </c>
      <c r="G72">
        <v>20</v>
      </c>
      <c r="H72" t="s">
        <v>131</v>
      </c>
      <c r="I72" t="s">
        <v>214</v>
      </c>
      <c r="J72">
        <f>IF(F72="Culex tarsalis",G72,0)</f>
        <v>20</v>
      </c>
      <c r="K72">
        <f>IF(F72="Culex pipiens",G72,0)</f>
        <v>0</v>
      </c>
    </row>
    <row r="73" spans="1:11" x14ac:dyDescent="0.25">
      <c r="A73">
        <v>29</v>
      </c>
      <c r="B73" s="86">
        <v>43662</v>
      </c>
      <c r="C73" t="s">
        <v>140</v>
      </c>
      <c r="D73" t="s">
        <v>213</v>
      </c>
      <c r="E73" t="s">
        <v>9</v>
      </c>
      <c r="F73" t="s">
        <v>127</v>
      </c>
      <c r="G73">
        <v>2</v>
      </c>
      <c r="H73" t="s">
        <v>131</v>
      </c>
      <c r="I73" t="s">
        <v>214</v>
      </c>
      <c r="J73">
        <f>IF(F73="Culex tarsalis",G73,0)</f>
        <v>0</v>
      </c>
      <c r="K73">
        <f>IF(F73="Culex pipiens",G73,0)</f>
        <v>2</v>
      </c>
    </row>
    <row r="74" spans="1:11" x14ac:dyDescent="0.25">
      <c r="A74">
        <v>29</v>
      </c>
      <c r="B74" s="86">
        <v>43662</v>
      </c>
      <c r="C74" t="s">
        <v>140</v>
      </c>
      <c r="D74" t="s">
        <v>207</v>
      </c>
      <c r="E74" t="s">
        <v>9</v>
      </c>
      <c r="F74" t="s">
        <v>127</v>
      </c>
      <c r="G74">
        <v>4</v>
      </c>
      <c r="H74" t="s">
        <v>131</v>
      </c>
      <c r="I74" t="s">
        <v>208</v>
      </c>
      <c r="J74">
        <f>IF(F74="Culex tarsalis",G74,0)</f>
        <v>0</v>
      </c>
      <c r="K74">
        <f>IF(F74="Culex pipiens",G74,0)</f>
        <v>4</v>
      </c>
    </row>
    <row r="75" spans="1:11" x14ac:dyDescent="0.25">
      <c r="A75">
        <v>29</v>
      </c>
      <c r="B75" s="86">
        <v>43662</v>
      </c>
      <c r="C75" t="s">
        <v>140</v>
      </c>
      <c r="D75" t="s">
        <v>207</v>
      </c>
      <c r="E75" t="s">
        <v>9</v>
      </c>
      <c r="F75" t="s">
        <v>126</v>
      </c>
      <c r="G75">
        <v>7</v>
      </c>
      <c r="H75" t="s">
        <v>131</v>
      </c>
      <c r="I75" t="s">
        <v>208</v>
      </c>
      <c r="J75">
        <f>IF(F75="Culex tarsalis",G75,0)</f>
        <v>7</v>
      </c>
      <c r="K75">
        <f>IF(F75="Culex pipiens",G75,0)</f>
        <v>0</v>
      </c>
    </row>
    <row r="76" spans="1:11" x14ac:dyDescent="0.25">
      <c r="A76">
        <v>29</v>
      </c>
      <c r="B76" s="86">
        <v>43660</v>
      </c>
      <c r="C76" t="s">
        <v>140</v>
      </c>
      <c r="D76" t="s">
        <v>260</v>
      </c>
      <c r="E76" t="s">
        <v>9</v>
      </c>
      <c r="F76" t="s">
        <v>127</v>
      </c>
      <c r="G76">
        <v>2</v>
      </c>
      <c r="H76" t="s">
        <v>131</v>
      </c>
      <c r="I76" t="s">
        <v>261</v>
      </c>
      <c r="J76">
        <f>IF(F76="Culex tarsalis",G76,0)</f>
        <v>0</v>
      </c>
      <c r="K76">
        <f>IF(F76="Culex pipiens",G76,0)</f>
        <v>2</v>
      </c>
    </row>
    <row r="77" spans="1:11" x14ac:dyDescent="0.25">
      <c r="A77">
        <v>29</v>
      </c>
      <c r="B77" s="86">
        <v>43660</v>
      </c>
      <c r="C77" t="s">
        <v>140</v>
      </c>
      <c r="D77" t="s">
        <v>260</v>
      </c>
      <c r="E77" t="s">
        <v>9</v>
      </c>
      <c r="F77" t="s">
        <v>126</v>
      </c>
      <c r="G77">
        <v>14</v>
      </c>
      <c r="H77" t="s">
        <v>131</v>
      </c>
      <c r="I77" t="s">
        <v>261</v>
      </c>
      <c r="J77">
        <f>IF(F77="Culex tarsalis",G77,0)</f>
        <v>14</v>
      </c>
      <c r="K77">
        <f>IF(F77="Culex pipiens",G77,0)</f>
        <v>0</v>
      </c>
    </row>
    <row r="78" spans="1:11" x14ac:dyDescent="0.25">
      <c r="A78">
        <v>29</v>
      </c>
      <c r="B78" s="86">
        <v>43660</v>
      </c>
      <c r="C78" t="s">
        <v>140</v>
      </c>
      <c r="D78" t="s">
        <v>264</v>
      </c>
      <c r="E78" t="s">
        <v>9</v>
      </c>
      <c r="F78" t="s">
        <v>127</v>
      </c>
      <c r="G78">
        <v>3</v>
      </c>
      <c r="H78" t="s">
        <v>131</v>
      </c>
      <c r="I78" t="s">
        <v>232</v>
      </c>
      <c r="J78">
        <f>IF(F78="Culex tarsalis",G78,0)</f>
        <v>0</v>
      </c>
      <c r="K78">
        <f>IF(F78="Culex pipiens",G78,0)</f>
        <v>3</v>
      </c>
    </row>
    <row r="79" spans="1:11" x14ac:dyDescent="0.25">
      <c r="A79">
        <v>29</v>
      </c>
      <c r="B79" s="86">
        <v>43660</v>
      </c>
      <c r="C79" t="s">
        <v>140</v>
      </c>
      <c r="D79" t="s">
        <v>264</v>
      </c>
      <c r="E79" t="s">
        <v>9</v>
      </c>
      <c r="F79" t="s">
        <v>126</v>
      </c>
      <c r="G79">
        <v>59</v>
      </c>
      <c r="H79" t="s">
        <v>131</v>
      </c>
      <c r="I79" t="s">
        <v>232</v>
      </c>
      <c r="J79">
        <f>IF(F79="Culex tarsalis",G79,0)</f>
        <v>59</v>
      </c>
      <c r="K79">
        <f>IF(F79="Culex pipiens",G79,0)</f>
        <v>0</v>
      </c>
    </row>
    <row r="80" spans="1:11" x14ac:dyDescent="0.25">
      <c r="A80">
        <v>29</v>
      </c>
      <c r="B80" s="86">
        <v>43661</v>
      </c>
      <c r="C80" t="s">
        <v>140</v>
      </c>
      <c r="D80" t="s">
        <v>147</v>
      </c>
      <c r="E80" t="s">
        <v>9</v>
      </c>
      <c r="F80" t="s">
        <v>126</v>
      </c>
      <c r="G80">
        <v>34</v>
      </c>
      <c r="H80" t="s">
        <v>131</v>
      </c>
      <c r="I80" t="s">
        <v>148</v>
      </c>
      <c r="J80">
        <f>IF(F80="Culex tarsalis",G80,0)</f>
        <v>34</v>
      </c>
      <c r="K80">
        <f>IF(F80="Culex pipiens",G80,0)</f>
        <v>0</v>
      </c>
    </row>
    <row r="81" spans="1:11" x14ac:dyDescent="0.25">
      <c r="A81">
        <v>29</v>
      </c>
      <c r="B81" s="86">
        <v>43661</v>
      </c>
      <c r="C81" t="s">
        <v>140</v>
      </c>
      <c r="D81" t="s">
        <v>147</v>
      </c>
      <c r="E81" t="s">
        <v>9</v>
      </c>
      <c r="F81" t="s">
        <v>127</v>
      </c>
      <c r="G81">
        <v>7</v>
      </c>
      <c r="H81" t="s">
        <v>131</v>
      </c>
      <c r="I81" t="s">
        <v>148</v>
      </c>
      <c r="J81">
        <f>IF(F81="Culex tarsalis",G81,0)</f>
        <v>0</v>
      </c>
      <c r="K81">
        <f>IF(F81="Culex pipiens",G81,0)</f>
        <v>7</v>
      </c>
    </row>
    <row r="82" spans="1:11" x14ac:dyDescent="0.25">
      <c r="A82">
        <v>29</v>
      </c>
      <c r="B82" s="86">
        <v>43660</v>
      </c>
      <c r="C82" t="s">
        <v>140</v>
      </c>
      <c r="D82" t="s">
        <v>141</v>
      </c>
      <c r="E82" t="s">
        <v>9</v>
      </c>
      <c r="F82" t="s">
        <v>127</v>
      </c>
      <c r="G82">
        <v>8</v>
      </c>
      <c r="H82" t="s">
        <v>131</v>
      </c>
      <c r="I82" t="s">
        <v>142</v>
      </c>
      <c r="J82">
        <f>IF(F82="Culex tarsalis",G82,0)</f>
        <v>0</v>
      </c>
      <c r="K82">
        <f>IF(F82="Culex pipiens",G82,0)</f>
        <v>8</v>
      </c>
    </row>
    <row r="83" spans="1:11" x14ac:dyDescent="0.25">
      <c r="A83">
        <v>29</v>
      </c>
      <c r="B83" s="86">
        <v>43660</v>
      </c>
      <c r="C83" t="s">
        <v>140</v>
      </c>
      <c r="D83" t="s">
        <v>141</v>
      </c>
      <c r="E83" t="s">
        <v>9</v>
      </c>
      <c r="F83" t="s">
        <v>126</v>
      </c>
      <c r="G83">
        <v>52</v>
      </c>
      <c r="H83" t="s">
        <v>131</v>
      </c>
      <c r="I83" t="s">
        <v>142</v>
      </c>
      <c r="J83">
        <f>IF(F83="Culex tarsalis",G83,0)</f>
        <v>52</v>
      </c>
      <c r="K83">
        <f>IF(F83="Culex pipiens",G83,0)</f>
        <v>0</v>
      </c>
    </row>
    <row r="84" spans="1:11" x14ac:dyDescent="0.25">
      <c r="A84">
        <v>29</v>
      </c>
      <c r="B84" s="86">
        <v>43662</v>
      </c>
      <c r="C84" t="s">
        <v>140</v>
      </c>
      <c r="D84" t="s">
        <v>211</v>
      </c>
      <c r="E84" t="s">
        <v>9</v>
      </c>
      <c r="F84" t="s">
        <v>126</v>
      </c>
      <c r="G84">
        <v>54</v>
      </c>
      <c r="H84" t="s">
        <v>131</v>
      </c>
      <c r="I84" t="s">
        <v>212</v>
      </c>
      <c r="J84">
        <f>IF(F84="Culex tarsalis",G84,0)</f>
        <v>54</v>
      </c>
      <c r="K84">
        <f>IF(F84="Culex pipiens",G84,0)</f>
        <v>0</v>
      </c>
    </row>
    <row r="85" spans="1:11" x14ac:dyDescent="0.25">
      <c r="A85">
        <v>29</v>
      </c>
      <c r="B85" s="86">
        <v>43660</v>
      </c>
      <c r="C85" t="s">
        <v>140</v>
      </c>
      <c r="D85" t="s">
        <v>265</v>
      </c>
      <c r="E85" t="s">
        <v>9</v>
      </c>
      <c r="F85" t="s">
        <v>126</v>
      </c>
      <c r="G85">
        <v>40</v>
      </c>
      <c r="H85" t="s">
        <v>131</v>
      </c>
      <c r="I85" t="s">
        <v>266</v>
      </c>
      <c r="J85">
        <f>IF(F85="Culex tarsalis",G85,0)</f>
        <v>40</v>
      </c>
      <c r="K85">
        <f>IF(F85="Culex pipiens",G85,0)</f>
        <v>0</v>
      </c>
    </row>
    <row r="86" spans="1:11" x14ac:dyDescent="0.25">
      <c r="A86">
        <v>29</v>
      </c>
      <c r="B86" s="86">
        <v>43660</v>
      </c>
      <c r="C86" t="s">
        <v>140</v>
      </c>
      <c r="D86" t="s">
        <v>265</v>
      </c>
      <c r="E86" t="s">
        <v>9</v>
      </c>
      <c r="F86" t="s">
        <v>127</v>
      </c>
      <c r="G86">
        <v>2</v>
      </c>
      <c r="H86" t="s">
        <v>131</v>
      </c>
      <c r="I86" t="s">
        <v>266</v>
      </c>
      <c r="J86">
        <f>IF(F86="Culex tarsalis",G86,0)</f>
        <v>0</v>
      </c>
      <c r="K86">
        <f>IF(F86="Culex pipiens",G86,0)</f>
        <v>2</v>
      </c>
    </row>
    <row r="87" spans="1:11" x14ac:dyDescent="0.25">
      <c r="A87">
        <v>29</v>
      </c>
      <c r="B87" s="86">
        <v>43660</v>
      </c>
      <c r="C87" t="s">
        <v>140</v>
      </c>
      <c r="D87" t="s">
        <v>410</v>
      </c>
      <c r="E87" t="s">
        <v>9</v>
      </c>
      <c r="F87" t="s">
        <v>127</v>
      </c>
      <c r="G87">
        <v>4</v>
      </c>
      <c r="H87" t="s">
        <v>131</v>
      </c>
      <c r="I87" t="s">
        <v>411</v>
      </c>
      <c r="J87">
        <f>IF(F87="Culex tarsalis",G87,0)</f>
        <v>0</v>
      </c>
      <c r="K87">
        <f>IF(F87="Culex pipiens",G87,0)</f>
        <v>4</v>
      </c>
    </row>
    <row r="88" spans="1:11" x14ac:dyDescent="0.25">
      <c r="A88">
        <v>29</v>
      </c>
      <c r="B88" s="86">
        <v>43660</v>
      </c>
      <c r="C88" t="s">
        <v>140</v>
      </c>
      <c r="D88" t="s">
        <v>410</v>
      </c>
      <c r="E88" t="s">
        <v>9</v>
      </c>
      <c r="F88" t="s">
        <v>126</v>
      </c>
      <c r="G88">
        <v>12</v>
      </c>
      <c r="H88" t="s">
        <v>131</v>
      </c>
      <c r="I88" t="s">
        <v>411</v>
      </c>
      <c r="J88">
        <f>IF(F88="Culex tarsalis",G88,0)</f>
        <v>12</v>
      </c>
      <c r="K88">
        <f>IF(F88="Culex pipiens",G88,0)</f>
        <v>0</v>
      </c>
    </row>
    <row r="89" spans="1:11" x14ac:dyDescent="0.25">
      <c r="A89">
        <v>29</v>
      </c>
      <c r="B89" s="86">
        <v>43660</v>
      </c>
      <c r="C89" t="s">
        <v>140</v>
      </c>
      <c r="D89" t="s">
        <v>199</v>
      </c>
      <c r="E89" t="s">
        <v>9</v>
      </c>
      <c r="F89" t="s">
        <v>126</v>
      </c>
      <c r="G89">
        <v>85</v>
      </c>
      <c r="H89" t="s">
        <v>131</v>
      </c>
      <c r="I89" t="s">
        <v>171</v>
      </c>
      <c r="J89">
        <f>IF(F89="Culex tarsalis",G89,0)</f>
        <v>85</v>
      </c>
      <c r="K89">
        <f>IF(F89="Culex pipiens",G89,0)</f>
        <v>0</v>
      </c>
    </row>
    <row r="90" spans="1:11" x14ac:dyDescent="0.25">
      <c r="A90">
        <v>29</v>
      </c>
      <c r="B90" s="86">
        <v>43663</v>
      </c>
      <c r="C90" t="s">
        <v>140</v>
      </c>
      <c r="D90" t="s">
        <v>152</v>
      </c>
      <c r="E90" t="s">
        <v>9</v>
      </c>
      <c r="F90" t="s">
        <v>127</v>
      </c>
      <c r="G90">
        <v>22</v>
      </c>
      <c r="H90" t="s">
        <v>131</v>
      </c>
      <c r="I90" t="s">
        <v>153</v>
      </c>
      <c r="J90">
        <f>IF(F90="Culex tarsalis",G90,0)</f>
        <v>0</v>
      </c>
      <c r="K90">
        <f>IF(F90="Culex pipiens",G90,0)</f>
        <v>22</v>
      </c>
    </row>
    <row r="91" spans="1:11" x14ac:dyDescent="0.25">
      <c r="A91">
        <v>29</v>
      </c>
      <c r="B91" s="86">
        <v>43663</v>
      </c>
      <c r="C91" t="s">
        <v>140</v>
      </c>
      <c r="D91" t="s">
        <v>152</v>
      </c>
      <c r="E91" t="s">
        <v>9</v>
      </c>
      <c r="F91" t="s">
        <v>126</v>
      </c>
      <c r="G91">
        <v>26</v>
      </c>
      <c r="H91" t="s">
        <v>131</v>
      </c>
      <c r="I91" t="s">
        <v>153</v>
      </c>
      <c r="J91">
        <f>IF(F91="Culex tarsalis",G91,0)</f>
        <v>26</v>
      </c>
      <c r="K91">
        <f>IF(F91="Culex pipiens",G91,0)</f>
        <v>0</v>
      </c>
    </row>
    <row r="92" spans="1:11" x14ac:dyDescent="0.25">
      <c r="A92">
        <v>29</v>
      </c>
      <c r="B92" s="86">
        <v>43663</v>
      </c>
      <c r="C92" t="s">
        <v>140</v>
      </c>
      <c r="D92" t="s">
        <v>270</v>
      </c>
      <c r="E92" t="s">
        <v>9</v>
      </c>
      <c r="F92" t="s">
        <v>127</v>
      </c>
      <c r="G92">
        <v>1</v>
      </c>
      <c r="H92" t="s">
        <v>131</v>
      </c>
      <c r="I92" t="s">
        <v>271</v>
      </c>
      <c r="J92">
        <f>IF(F92="Culex tarsalis",G92,0)</f>
        <v>0</v>
      </c>
      <c r="K92">
        <f>IF(F92="Culex pipiens",G92,0)</f>
        <v>1</v>
      </c>
    </row>
    <row r="93" spans="1:11" x14ac:dyDescent="0.25">
      <c r="A93">
        <v>29</v>
      </c>
      <c r="B93" s="86">
        <v>43663</v>
      </c>
      <c r="C93" t="s">
        <v>140</v>
      </c>
      <c r="D93" t="s">
        <v>270</v>
      </c>
      <c r="E93" t="s">
        <v>9</v>
      </c>
      <c r="F93" t="s">
        <v>126</v>
      </c>
      <c r="G93">
        <v>3</v>
      </c>
      <c r="H93" t="s">
        <v>131</v>
      </c>
      <c r="I93" t="s">
        <v>271</v>
      </c>
      <c r="J93">
        <f>IF(F93="Culex tarsalis",G93,0)</f>
        <v>3</v>
      </c>
      <c r="K93">
        <f>IF(F93="Culex pipiens",G93,0)</f>
        <v>0</v>
      </c>
    </row>
    <row r="94" spans="1:11" x14ac:dyDescent="0.25">
      <c r="A94">
        <v>29</v>
      </c>
      <c r="B94" s="86">
        <v>43661</v>
      </c>
      <c r="C94" t="s">
        <v>140</v>
      </c>
      <c r="D94" t="s">
        <v>412</v>
      </c>
      <c r="E94" t="s">
        <v>9</v>
      </c>
      <c r="F94" t="s">
        <v>126</v>
      </c>
      <c r="G94">
        <v>9</v>
      </c>
      <c r="H94" t="s">
        <v>131</v>
      </c>
      <c r="I94" t="s">
        <v>413</v>
      </c>
      <c r="J94">
        <f>IF(F94="Culex tarsalis",G94,0)</f>
        <v>9</v>
      </c>
      <c r="K94">
        <f>IF(F94="Culex pipiens",G94,0)</f>
        <v>0</v>
      </c>
    </row>
    <row r="95" spans="1:11" x14ac:dyDescent="0.25">
      <c r="A95">
        <v>29</v>
      </c>
      <c r="B95" s="86">
        <v>43661</v>
      </c>
      <c r="C95" t="s">
        <v>140</v>
      </c>
      <c r="D95" t="s">
        <v>412</v>
      </c>
      <c r="E95" t="s">
        <v>9</v>
      </c>
      <c r="F95" t="s">
        <v>127</v>
      </c>
      <c r="G95">
        <v>3</v>
      </c>
      <c r="H95" t="s">
        <v>131</v>
      </c>
      <c r="I95" t="s">
        <v>413</v>
      </c>
      <c r="J95">
        <f>IF(F95="Culex tarsalis",G95,0)</f>
        <v>0</v>
      </c>
      <c r="K95">
        <f>IF(F95="Culex pipiens",G95,0)</f>
        <v>3</v>
      </c>
    </row>
    <row r="96" spans="1:11" x14ac:dyDescent="0.25">
      <c r="A96">
        <v>29</v>
      </c>
      <c r="B96" s="86">
        <v>43663</v>
      </c>
      <c r="C96" t="s">
        <v>140</v>
      </c>
      <c r="D96" t="s">
        <v>215</v>
      </c>
      <c r="E96" t="s">
        <v>9</v>
      </c>
      <c r="F96" t="s">
        <v>127</v>
      </c>
      <c r="G96">
        <v>9</v>
      </c>
      <c r="H96" t="s">
        <v>131</v>
      </c>
      <c r="I96" t="s">
        <v>216</v>
      </c>
      <c r="J96">
        <f>IF(F96="Culex tarsalis",G96,0)</f>
        <v>0</v>
      </c>
      <c r="K96">
        <f>IF(F96="Culex pipiens",G96,0)</f>
        <v>9</v>
      </c>
    </row>
    <row r="97" spans="1:25" x14ac:dyDescent="0.25">
      <c r="A97">
        <v>29</v>
      </c>
      <c r="B97" s="86">
        <v>43663</v>
      </c>
      <c r="C97" t="s">
        <v>140</v>
      </c>
      <c r="D97" t="s">
        <v>215</v>
      </c>
      <c r="E97" t="s">
        <v>9</v>
      </c>
      <c r="F97" t="s">
        <v>126</v>
      </c>
      <c r="G97">
        <v>11</v>
      </c>
      <c r="H97" t="s">
        <v>131</v>
      </c>
      <c r="I97" t="s">
        <v>216</v>
      </c>
      <c r="J97">
        <f>IF(F97="Culex tarsalis",G97,0)</f>
        <v>11</v>
      </c>
      <c r="K97">
        <f>IF(F97="Culex pipiens",G97,0)</f>
        <v>0</v>
      </c>
    </row>
    <row r="98" spans="1:25" x14ac:dyDescent="0.25">
      <c r="A98">
        <v>29</v>
      </c>
      <c r="B98" s="86">
        <v>43661</v>
      </c>
      <c r="C98" t="s">
        <v>140</v>
      </c>
      <c r="D98" t="s">
        <v>149</v>
      </c>
      <c r="E98" t="s">
        <v>9</v>
      </c>
      <c r="F98" t="s">
        <v>126</v>
      </c>
      <c r="G98">
        <v>43</v>
      </c>
      <c r="H98" t="s">
        <v>131</v>
      </c>
      <c r="I98" t="s">
        <v>134</v>
      </c>
      <c r="J98">
        <f>IF(F98="Culex tarsalis",G98,0)</f>
        <v>43</v>
      </c>
      <c r="K98">
        <f>IF(F98="Culex pipiens",G98,0)</f>
        <v>0</v>
      </c>
      <c r="Y98" s="62"/>
    </row>
    <row r="99" spans="1:25" x14ac:dyDescent="0.25">
      <c r="A99">
        <v>29</v>
      </c>
      <c r="B99" s="86">
        <v>43663</v>
      </c>
      <c r="C99" t="s">
        <v>140</v>
      </c>
      <c r="D99" t="s">
        <v>268</v>
      </c>
      <c r="E99" t="s">
        <v>9</v>
      </c>
      <c r="F99" t="s">
        <v>126</v>
      </c>
      <c r="G99">
        <v>11</v>
      </c>
      <c r="H99" t="s">
        <v>131</v>
      </c>
      <c r="I99" t="s">
        <v>269</v>
      </c>
      <c r="J99">
        <f>IF(F99="Culex tarsalis",G99,0)</f>
        <v>11</v>
      </c>
      <c r="K99">
        <f>IF(F99="Culex pipiens",G99,0)</f>
        <v>0</v>
      </c>
    </row>
    <row r="100" spans="1:25" x14ac:dyDescent="0.25">
      <c r="A100">
        <v>29</v>
      </c>
      <c r="B100" s="86">
        <v>43661</v>
      </c>
      <c r="C100" t="s">
        <v>140</v>
      </c>
      <c r="D100" t="s">
        <v>202</v>
      </c>
      <c r="E100" t="s">
        <v>9</v>
      </c>
      <c r="F100" t="s">
        <v>126</v>
      </c>
      <c r="G100">
        <v>8</v>
      </c>
      <c r="H100" t="s">
        <v>131</v>
      </c>
      <c r="I100" t="s">
        <v>174</v>
      </c>
      <c r="J100">
        <f>IF(F100="Culex tarsalis",G100,0)</f>
        <v>8</v>
      </c>
      <c r="K100">
        <f>IF(F100="Culex pipiens",G100,0)</f>
        <v>0</v>
      </c>
    </row>
    <row r="101" spans="1:25" x14ac:dyDescent="0.25">
      <c r="A101">
        <v>29</v>
      </c>
      <c r="B101" s="86">
        <v>43661</v>
      </c>
      <c r="C101" t="s">
        <v>140</v>
      </c>
      <c r="D101" t="s">
        <v>145</v>
      </c>
      <c r="E101" t="s">
        <v>9</v>
      </c>
      <c r="F101" t="s">
        <v>126</v>
      </c>
      <c r="G101">
        <v>9</v>
      </c>
      <c r="H101" t="s">
        <v>131</v>
      </c>
      <c r="I101" t="s">
        <v>146</v>
      </c>
      <c r="J101">
        <f>IF(F101="Culex tarsalis",G101,0)</f>
        <v>9</v>
      </c>
      <c r="K101">
        <f>IF(F101="Culex pipiens",G101,0)</f>
        <v>0</v>
      </c>
    </row>
    <row r="102" spans="1:25" x14ac:dyDescent="0.25">
      <c r="A102">
        <v>29</v>
      </c>
      <c r="B102" s="86">
        <v>43661</v>
      </c>
      <c r="C102" t="s">
        <v>140</v>
      </c>
      <c r="D102" t="s">
        <v>145</v>
      </c>
      <c r="E102" t="s">
        <v>9</v>
      </c>
      <c r="F102" t="s">
        <v>127</v>
      </c>
      <c r="G102">
        <v>1</v>
      </c>
      <c r="H102" t="s">
        <v>131</v>
      </c>
      <c r="I102" t="s">
        <v>146</v>
      </c>
      <c r="J102">
        <f>IF(F102="Culex tarsalis",G102,0)</f>
        <v>0</v>
      </c>
      <c r="K102">
        <f>IF(F102="Culex pipiens",G102,0)</f>
        <v>1</v>
      </c>
    </row>
    <row r="103" spans="1:25" x14ac:dyDescent="0.25">
      <c r="A103">
        <v>29</v>
      </c>
      <c r="B103" s="86">
        <v>43661</v>
      </c>
      <c r="C103" t="s">
        <v>140</v>
      </c>
      <c r="D103" t="s">
        <v>205</v>
      </c>
      <c r="E103" t="s">
        <v>9</v>
      </c>
      <c r="F103" t="s">
        <v>126</v>
      </c>
      <c r="G103">
        <v>8</v>
      </c>
      <c r="H103" t="s">
        <v>131</v>
      </c>
      <c r="I103" t="s">
        <v>206</v>
      </c>
      <c r="J103">
        <f>IF(F103="Culex tarsalis",G103,0)</f>
        <v>8</v>
      </c>
      <c r="K103">
        <f>IF(F103="Culex pipiens",G103,0)</f>
        <v>0</v>
      </c>
    </row>
    <row r="104" spans="1:25" x14ac:dyDescent="0.25">
      <c r="A104">
        <v>29</v>
      </c>
      <c r="B104" s="86">
        <v>43661</v>
      </c>
      <c r="C104" t="s">
        <v>140</v>
      </c>
      <c r="D104" t="s">
        <v>205</v>
      </c>
      <c r="E104" t="s">
        <v>9</v>
      </c>
      <c r="F104" t="s">
        <v>127</v>
      </c>
      <c r="G104">
        <v>3</v>
      </c>
      <c r="H104" t="s">
        <v>131</v>
      </c>
      <c r="I104" t="s">
        <v>206</v>
      </c>
      <c r="J104">
        <f>IF(F104="Culex tarsalis",G104,0)</f>
        <v>0</v>
      </c>
      <c r="K104">
        <f>IF(F104="Culex pipiens",G104,0)</f>
        <v>3</v>
      </c>
    </row>
    <row r="105" spans="1:25" x14ac:dyDescent="0.25">
      <c r="A105">
        <v>29</v>
      </c>
      <c r="B105" s="86">
        <v>43660</v>
      </c>
      <c r="C105" t="s">
        <v>140</v>
      </c>
      <c r="D105" t="s">
        <v>143</v>
      </c>
      <c r="E105" t="s">
        <v>9</v>
      </c>
      <c r="F105" t="s">
        <v>127</v>
      </c>
      <c r="G105">
        <v>6</v>
      </c>
      <c r="H105" t="s">
        <v>131</v>
      </c>
      <c r="I105" t="s">
        <v>144</v>
      </c>
      <c r="J105">
        <f>IF(F105="Culex tarsalis",G105,0)</f>
        <v>0</v>
      </c>
      <c r="K105">
        <f>IF(F105="Culex pipiens",G105,0)</f>
        <v>6</v>
      </c>
    </row>
    <row r="106" spans="1:25" x14ac:dyDescent="0.25">
      <c r="A106">
        <v>29</v>
      </c>
      <c r="B106" s="86">
        <v>43660</v>
      </c>
      <c r="C106" t="s">
        <v>140</v>
      </c>
      <c r="D106" t="s">
        <v>143</v>
      </c>
      <c r="E106" t="s">
        <v>9</v>
      </c>
      <c r="F106" t="s">
        <v>126</v>
      </c>
      <c r="G106">
        <v>29</v>
      </c>
      <c r="H106" t="s">
        <v>131</v>
      </c>
      <c r="I106" t="s">
        <v>144</v>
      </c>
      <c r="J106">
        <f>IF(F106="Culex tarsalis",G106,0)</f>
        <v>29</v>
      </c>
      <c r="K106">
        <f>IF(F106="Culex pipiens",G106,0)</f>
        <v>0</v>
      </c>
    </row>
    <row r="107" spans="1:25" x14ac:dyDescent="0.25">
      <c r="A107">
        <v>29</v>
      </c>
      <c r="B107" s="86">
        <v>43660</v>
      </c>
      <c r="C107" t="s">
        <v>140</v>
      </c>
      <c r="D107" t="s">
        <v>262</v>
      </c>
      <c r="E107" t="s">
        <v>9</v>
      </c>
      <c r="F107" t="s">
        <v>126</v>
      </c>
      <c r="G107">
        <v>25</v>
      </c>
      <c r="H107" t="s">
        <v>131</v>
      </c>
      <c r="I107" t="s">
        <v>263</v>
      </c>
      <c r="J107">
        <f>IF(F107="Culex tarsalis",G107,0)</f>
        <v>25</v>
      </c>
      <c r="K107">
        <f>IF(F107="Culex pipiens",G107,0)</f>
        <v>0</v>
      </c>
    </row>
    <row r="108" spans="1:25" x14ac:dyDescent="0.25">
      <c r="A108">
        <v>29</v>
      </c>
      <c r="B108" s="86">
        <v>43660</v>
      </c>
      <c r="C108" t="s">
        <v>140</v>
      </c>
      <c r="D108" t="s">
        <v>262</v>
      </c>
      <c r="E108" t="s">
        <v>9</v>
      </c>
      <c r="F108" t="s">
        <v>127</v>
      </c>
      <c r="G108">
        <v>20</v>
      </c>
      <c r="H108" t="s">
        <v>131</v>
      </c>
      <c r="I108" t="s">
        <v>263</v>
      </c>
      <c r="J108">
        <f>IF(F108="Culex tarsalis",G108,0)</f>
        <v>0</v>
      </c>
      <c r="K108">
        <f>IF(F108="Culex pipiens",G108,0)</f>
        <v>20</v>
      </c>
    </row>
    <row r="109" spans="1:25" x14ac:dyDescent="0.25">
      <c r="A109">
        <v>29</v>
      </c>
      <c r="B109" s="86">
        <v>43661</v>
      </c>
      <c r="C109" t="s">
        <v>140</v>
      </c>
      <c r="D109" t="s">
        <v>203</v>
      </c>
      <c r="E109" t="s">
        <v>9</v>
      </c>
      <c r="F109" t="s">
        <v>126</v>
      </c>
      <c r="G109">
        <v>23</v>
      </c>
      <c r="H109" t="s">
        <v>131</v>
      </c>
      <c r="I109" t="s">
        <v>204</v>
      </c>
      <c r="J109">
        <f>IF(F109="Culex tarsalis",G109,0)</f>
        <v>23</v>
      </c>
      <c r="K109">
        <f>IF(F109="Culex pipiens",G109,0)</f>
        <v>0</v>
      </c>
    </row>
    <row r="110" spans="1:25" x14ac:dyDescent="0.25">
      <c r="A110">
        <v>29</v>
      </c>
      <c r="B110" s="86">
        <v>43661</v>
      </c>
      <c r="C110" t="s">
        <v>140</v>
      </c>
      <c r="D110" t="s">
        <v>203</v>
      </c>
      <c r="E110" t="s">
        <v>9</v>
      </c>
      <c r="F110" t="s">
        <v>127</v>
      </c>
      <c r="G110">
        <v>3</v>
      </c>
      <c r="H110" t="s">
        <v>131</v>
      </c>
      <c r="I110" t="s">
        <v>204</v>
      </c>
      <c r="J110">
        <f>IF(F110="Culex tarsalis",G110,0)</f>
        <v>0</v>
      </c>
      <c r="K110">
        <f>IF(F110="Culex pipiens",G110,0)</f>
        <v>3</v>
      </c>
    </row>
    <row r="111" spans="1:25" x14ac:dyDescent="0.25">
      <c r="A111">
        <v>29</v>
      </c>
      <c r="B111" s="86">
        <v>43663</v>
      </c>
      <c r="C111" t="s">
        <v>140</v>
      </c>
      <c r="D111" t="s">
        <v>300</v>
      </c>
      <c r="E111" t="s">
        <v>9</v>
      </c>
      <c r="F111" t="s">
        <v>126</v>
      </c>
      <c r="G111">
        <v>9</v>
      </c>
      <c r="H111" t="s">
        <v>131</v>
      </c>
      <c r="I111" t="s">
        <v>301</v>
      </c>
      <c r="J111">
        <f>IF(F111="Culex tarsalis",G111,0)</f>
        <v>9</v>
      </c>
      <c r="K111">
        <f>IF(F111="Culex pipiens",G111,0)</f>
        <v>0</v>
      </c>
    </row>
    <row r="112" spans="1:25" x14ac:dyDescent="0.25">
      <c r="A112">
        <v>29</v>
      </c>
      <c r="B112" s="86">
        <v>43661</v>
      </c>
      <c r="C112" t="s">
        <v>140</v>
      </c>
      <c r="D112" t="s">
        <v>150</v>
      </c>
      <c r="E112" t="s">
        <v>9</v>
      </c>
      <c r="F112" t="s">
        <v>126</v>
      </c>
      <c r="G112">
        <v>33</v>
      </c>
      <c r="H112" t="s">
        <v>131</v>
      </c>
      <c r="I112" t="s">
        <v>151</v>
      </c>
      <c r="J112">
        <f>IF(F112="Culex tarsalis",G112,0)</f>
        <v>33</v>
      </c>
      <c r="K112">
        <f>IF(F112="Culex pipiens",G112,0)</f>
        <v>0</v>
      </c>
    </row>
    <row r="113" spans="1:11" x14ac:dyDescent="0.25">
      <c r="A113">
        <v>29</v>
      </c>
      <c r="B113" s="86">
        <v>43661</v>
      </c>
      <c r="C113" t="s">
        <v>140</v>
      </c>
      <c r="D113" t="s">
        <v>200</v>
      </c>
      <c r="E113" t="s">
        <v>9</v>
      </c>
      <c r="F113" t="s">
        <v>126</v>
      </c>
      <c r="G113">
        <v>53</v>
      </c>
      <c r="H113" t="s">
        <v>131</v>
      </c>
      <c r="I113" t="s">
        <v>201</v>
      </c>
      <c r="J113">
        <f>IF(F113="Culex tarsalis",G113,0)</f>
        <v>53</v>
      </c>
      <c r="K113">
        <f>IF(F113="Culex pipiens",G113,0)</f>
        <v>0</v>
      </c>
    </row>
    <row r="114" spans="1:11" x14ac:dyDescent="0.25">
      <c r="A114">
        <v>29</v>
      </c>
      <c r="B114" s="86">
        <v>43661</v>
      </c>
      <c r="C114" t="s">
        <v>140</v>
      </c>
      <c r="D114" t="s">
        <v>200</v>
      </c>
      <c r="E114" t="s">
        <v>9</v>
      </c>
      <c r="F114" t="s">
        <v>127</v>
      </c>
      <c r="G114">
        <v>27</v>
      </c>
      <c r="H114" t="s">
        <v>131</v>
      </c>
      <c r="I114" t="s">
        <v>201</v>
      </c>
      <c r="J114">
        <f>IF(F114="Culex tarsalis",G114,0)</f>
        <v>0</v>
      </c>
      <c r="K114">
        <f>IF(F114="Culex pipiens",G114,0)</f>
        <v>27</v>
      </c>
    </row>
    <row r="115" spans="1:11" x14ac:dyDescent="0.25">
      <c r="B115" s="86"/>
      <c r="J115">
        <f>IF(F115="Culex tarsalis",G115,0)</f>
        <v>0</v>
      </c>
      <c r="K115">
        <f>IF(F115="Culex pipiens",G115,0)</f>
        <v>0</v>
      </c>
    </row>
    <row r="116" spans="1:11" x14ac:dyDescent="0.25">
      <c r="B116" s="86"/>
      <c r="J116">
        <f>IF(F116="Culex tarsalis",G116,0)</f>
        <v>0</v>
      </c>
      <c r="K116">
        <f>IF(F116="Culex pipiens",G116,0)</f>
        <v>0</v>
      </c>
    </row>
    <row r="117" spans="1:11" x14ac:dyDescent="0.25">
      <c r="B117" s="86"/>
      <c r="J117">
        <f>IF(F117="Culex tarsalis",G117,0)</f>
        <v>0</v>
      </c>
      <c r="K117">
        <f>IF(F117="Culex pipiens",G117,0)</f>
        <v>0</v>
      </c>
    </row>
    <row r="118" spans="1:11" x14ac:dyDescent="0.25">
      <c r="B118" s="86"/>
      <c r="J118">
        <f>IF(F118="Culex tarsalis",G118,0)</f>
        <v>0</v>
      </c>
      <c r="K118">
        <f>IF(F118="Culex pipiens",G118,0)</f>
        <v>0</v>
      </c>
    </row>
    <row r="119" spans="1:11" x14ac:dyDescent="0.25">
      <c r="B119" s="86"/>
      <c r="J119">
        <f>IF(F119="Culex tarsalis",G119,0)</f>
        <v>0</v>
      </c>
      <c r="K119">
        <f>IF(F119="Culex pipiens",G119,0)</f>
        <v>0</v>
      </c>
    </row>
    <row r="120" spans="1:11" x14ac:dyDescent="0.25">
      <c r="B120" s="86"/>
      <c r="J120">
        <f>IF(F120="Culex tarsalis",G120,0)</f>
        <v>0</v>
      </c>
      <c r="K120">
        <f>IF(F120="Culex pipiens",G120,0)</f>
        <v>0</v>
      </c>
    </row>
    <row r="121" spans="1:11" x14ac:dyDescent="0.25">
      <c r="B121" s="86"/>
      <c r="J121">
        <f>IF(F121="Culex tarsalis",G121,0)</f>
        <v>0</v>
      </c>
      <c r="K121">
        <f>IF(F121="Culex pipiens",G121,0)</f>
        <v>0</v>
      </c>
    </row>
    <row r="122" spans="1:11" x14ac:dyDescent="0.25">
      <c r="B122" s="86"/>
      <c r="J122">
        <f>IF(F122="Culex tarsalis",G122,0)</f>
        <v>0</v>
      </c>
      <c r="K122">
        <f>IF(F122="Culex pipiens",G122,0)</f>
        <v>0</v>
      </c>
    </row>
    <row r="123" spans="1:11" x14ac:dyDescent="0.25">
      <c r="B123" s="86"/>
      <c r="J123">
        <f>IF(F123="Culex tarsalis",G123,0)</f>
        <v>0</v>
      </c>
      <c r="K123">
        <f>IF(F123="Culex pipiens",G123,0)</f>
        <v>0</v>
      </c>
    </row>
    <row r="124" spans="1:11" x14ac:dyDescent="0.25">
      <c r="B124" s="86"/>
      <c r="J124">
        <f>IF(F124="Culex tarsalis",G124,0)</f>
        <v>0</v>
      </c>
      <c r="K124">
        <f>IF(F124="Culex pipiens",G124,0)</f>
        <v>0</v>
      </c>
    </row>
    <row r="125" spans="1:11" x14ac:dyDescent="0.25">
      <c r="B125" s="86"/>
      <c r="J125">
        <f>IF(F125="Culex tarsalis",G125,0)</f>
        <v>0</v>
      </c>
      <c r="K125">
        <f>IF(F125="Culex pipiens",G125,0)</f>
        <v>0</v>
      </c>
    </row>
    <row r="126" spans="1:11" x14ac:dyDescent="0.25">
      <c r="B126" s="86"/>
      <c r="J126">
        <f>IF(F126="Culex tarsalis",G126,0)</f>
        <v>0</v>
      </c>
      <c r="K126">
        <f>IF(F126="Culex pipiens",G126,0)</f>
        <v>0</v>
      </c>
    </row>
    <row r="127" spans="1:11" x14ac:dyDescent="0.25">
      <c r="B127" s="86"/>
      <c r="J127">
        <f>IF(F127="Culex tarsalis",G127,0)</f>
        <v>0</v>
      </c>
      <c r="K127">
        <f>IF(F127="Culex pipiens",G127,0)</f>
        <v>0</v>
      </c>
    </row>
    <row r="128" spans="1:11" x14ac:dyDescent="0.25">
      <c r="B128" s="86"/>
      <c r="J128">
        <f>IF(F128="Culex tarsalis",G128,0)</f>
        <v>0</v>
      </c>
      <c r="K128">
        <f>IF(F128="Culex pipiens",G128,0)</f>
        <v>0</v>
      </c>
    </row>
    <row r="129" spans="2:11" x14ac:dyDescent="0.25">
      <c r="B129" s="86"/>
      <c r="J129">
        <f>IF(F129="Culex tarsalis",G129,0)</f>
        <v>0</v>
      </c>
      <c r="K129">
        <f>IF(F129="Culex pipiens",G129,0)</f>
        <v>0</v>
      </c>
    </row>
    <row r="130" spans="2:11" x14ac:dyDescent="0.25">
      <c r="J130">
        <f>IF(F130="Culex tarsalis",G130,0)</f>
        <v>0</v>
      </c>
      <c r="K130">
        <f>IF(F130="Culex pipiens",G130,0)</f>
        <v>0</v>
      </c>
    </row>
    <row r="131" spans="2:11" x14ac:dyDescent="0.25">
      <c r="J131">
        <f>IF(F131="Culex tarsalis",G131,0)</f>
        <v>0</v>
      </c>
      <c r="K131">
        <f>IF(F131="Culex pipiens",G131,0)</f>
        <v>0</v>
      </c>
    </row>
    <row r="132" spans="2:11" x14ac:dyDescent="0.25">
      <c r="J132">
        <f>IF(F132="Culex tarsalis",G132,0)</f>
        <v>0</v>
      </c>
      <c r="K132">
        <f>IF(F132="Culex pipiens",G132,0)</f>
        <v>0</v>
      </c>
    </row>
    <row r="133" spans="2:11" x14ac:dyDescent="0.25">
      <c r="J133">
        <f>IF(F133="Culex tarsalis",G133,0)</f>
        <v>0</v>
      </c>
      <c r="K133">
        <f>IF(F133="Culex pipiens",G133,0)</f>
        <v>0</v>
      </c>
    </row>
    <row r="134" spans="2:11" x14ac:dyDescent="0.25">
      <c r="J134">
        <f>IF(F134="Culex tarsalis",G134,0)</f>
        <v>0</v>
      </c>
      <c r="K134">
        <f>IF(F134="Culex pipiens",G134,0)</f>
        <v>0</v>
      </c>
    </row>
    <row r="135" spans="2:11" x14ac:dyDescent="0.25">
      <c r="J135">
        <f>IF(F135="Culex tarsalis",G135,0)</f>
        <v>0</v>
      </c>
      <c r="K135">
        <f>IF(F135="Culex pipiens",G135,0)</f>
        <v>0</v>
      </c>
    </row>
    <row r="136" spans="2:11" x14ac:dyDescent="0.25">
      <c r="J136">
        <f>IF(F136="Culex tarsalis",G136,0)</f>
        <v>0</v>
      </c>
      <c r="K136">
        <f>IF(F136="Culex pipiens",G136,0)</f>
        <v>0</v>
      </c>
    </row>
    <row r="137" spans="2:11" x14ac:dyDescent="0.25">
      <c r="J137">
        <f>IF(F137="Culex tarsalis",G137,0)</f>
        <v>0</v>
      </c>
      <c r="K137">
        <f>IF(F137="Culex pipiens",G137,0)</f>
        <v>0</v>
      </c>
    </row>
    <row r="138" spans="2:11" x14ac:dyDescent="0.25">
      <c r="J138">
        <f>IF(F138="Culex tarsalis",G138,0)</f>
        <v>0</v>
      </c>
      <c r="K138">
        <f>IF(F138="Culex pipiens",G138,0)</f>
        <v>0</v>
      </c>
    </row>
    <row r="139" spans="2:11" x14ac:dyDescent="0.25">
      <c r="J139">
        <f>IF(F139="Culex tarsalis",G139,0)</f>
        <v>0</v>
      </c>
      <c r="K139">
        <f>IF(F139="Culex pipiens",G139,0)</f>
        <v>0</v>
      </c>
    </row>
    <row r="140" spans="2:11" x14ac:dyDescent="0.25">
      <c r="J140">
        <f>IF(F140="Culex tarsalis",G140,0)</f>
        <v>0</v>
      </c>
      <c r="K140">
        <f>IF(F140="Culex pipiens",G140,0)</f>
        <v>0</v>
      </c>
    </row>
    <row r="141" spans="2:11" x14ac:dyDescent="0.25">
      <c r="J141">
        <f>IF(F141="Culex tarsalis",G141,0)</f>
        <v>0</v>
      </c>
      <c r="K141">
        <f>IF(F141="Culex pipiens",G141,0)</f>
        <v>0</v>
      </c>
    </row>
    <row r="142" spans="2:11" x14ac:dyDescent="0.25">
      <c r="J142">
        <f>IF(F142="Culex tarsalis",G142,0)</f>
        <v>0</v>
      </c>
      <c r="K142">
        <f>IF(F142="Culex pipiens",G142,0)</f>
        <v>0</v>
      </c>
    </row>
    <row r="143" spans="2:11" x14ac:dyDescent="0.25">
      <c r="J143">
        <f>IF(F143="Culex tarsalis",G143,0)</f>
        <v>0</v>
      </c>
      <c r="K143">
        <f>IF(F143="Culex pipiens",G143,0)</f>
        <v>0</v>
      </c>
    </row>
    <row r="144" spans="2: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44</v>
      </c>
      <c r="C5" s="2">
        <v>665</v>
      </c>
      <c r="D5" s="2">
        <v>709</v>
      </c>
      <c r="G5" s="1" t="s">
        <v>9</v>
      </c>
      <c r="H5" s="2">
        <f>GETPIVOTDATA("Sum of Cx pipiens",$A$4,"Zone","LV")</f>
        <v>132</v>
      </c>
      <c r="I5" s="2">
        <f>GETPIVOTDATA("Sum of Cx tarsalis",$A$4,"Zone","LV")</f>
        <v>907</v>
      </c>
      <c r="J5" s="2">
        <f>GETPIVOTDATA("Sum of Total CX",$A$4,"Zone","LV")</f>
        <v>1039</v>
      </c>
    </row>
    <row r="6" spans="1:10" x14ac:dyDescent="0.25">
      <c r="A6" s="1" t="s">
        <v>60</v>
      </c>
      <c r="B6" s="2">
        <v>29</v>
      </c>
      <c r="C6" s="2">
        <v>902</v>
      </c>
      <c r="D6" s="2">
        <v>931</v>
      </c>
      <c r="G6" s="1" t="s">
        <v>59</v>
      </c>
      <c r="H6" s="2">
        <f>GETPIVOTDATA("Sum of Cx pipiens",$A$4,"Zone","NE")</f>
        <v>44</v>
      </c>
      <c r="I6" s="2">
        <f>GETPIVOTDATA("Sum of Cx tarsalis",$A$4,"Zone","NE")</f>
        <v>665</v>
      </c>
      <c r="J6" s="2">
        <f>GETPIVOTDATA("Sum of Total CX",$A$4,"Zone","NE")</f>
        <v>709</v>
      </c>
    </row>
    <row r="7" spans="1:10" x14ac:dyDescent="0.25">
      <c r="A7" s="1" t="s">
        <v>61</v>
      </c>
      <c r="B7" s="2">
        <v>2</v>
      </c>
      <c r="C7" s="2">
        <v>110</v>
      </c>
      <c r="D7" s="2">
        <v>112</v>
      </c>
      <c r="G7" s="1" t="s">
        <v>58</v>
      </c>
      <c r="H7" s="2">
        <f>GETPIVOTDATA("Sum of Cx pipiens",$A$4,"Zone","NW")</f>
        <v>16</v>
      </c>
      <c r="I7" s="2">
        <f>GETPIVOTDATA("Sum of Cx tarsalis",$A$4,"Zone","NW")</f>
        <v>104</v>
      </c>
      <c r="J7" s="2">
        <f>GETPIVOTDATA("Sum of Total CX",$A$4,"Zone","NW")</f>
        <v>120</v>
      </c>
    </row>
    <row r="8" spans="1:10" x14ac:dyDescent="0.25">
      <c r="A8" s="1" t="s">
        <v>58</v>
      </c>
      <c r="B8" s="2">
        <v>16</v>
      </c>
      <c r="C8" s="2">
        <v>104</v>
      </c>
      <c r="D8" s="2">
        <v>120</v>
      </c>
      <c r="G8" s="1" t="s">
        <v>60</v>
      </c>
      <c r="H8" s="2">
        <f>GETPIVOTDATA("Sum of Cx pipiens",$A$4,"Zone","SE")</f>
        <v>29</v>
      </c>
      <c r="I8" s="2">
        <f>GETPIVOTDATA("Sum of Cx tarsalis",$A$4,"Zone","SE")</f>
        <v>902</v>
      </c>
      <c r="J8" s="2">
        <f>GETPIVOTDATA("Sum of Total CX",$A$4,"Zone","SE")</f>
        <v>931</v>
      </c>
    </row>
    <row r="9" spans="1:10" x14ac:dyDescent="0.25">
      <c r="A9" s="1" t="s">
        <v>155</v>
      </c>
      <c r="B9" s="2">
        <v>44</v>
      </c>
      <c r="C9" s="2">
        <v>2134</v>
      </c>
      <c r="D9" s="2">
        <v>2178</v>
      </c>
      <c r="G9" s="1" t="s">
        <v>61</v>
      </c>
      <c r="H9" s="2">
        <f>GETPIVOTDATA("Sum of Cx pipiens",$A$4,"Zone","SW")</f>
        <v>2</v>
      </c>
      <c r="I9" s="2">
        <f>GETPIVOTDATA("Sum of Cx tarsalis",$A$4,"Zone","SW")</f>
        <v>110</v>
      </c>
      <c r="J9" s="2">
        <f>GETPIVOTDATA("Sum of Total CX",$A$4,"Zone","SW")</f>
        <v>112</v>
      </c>
    </row>
    <row r="10" spans="1:10" x14ac:dyDescent="0.25">
      <c r="A10" s="1" t="s">
        <v>112</v>
      </c>
      <c r="B10" s="2">
        <v>7</v>
      </c>
      <c r="C10" s="2">
        <v>302</v>
      </c>
      <c r="D10" s="2">
        <v>309</v>
      </c>
      <c r="G10" s="1" t="s">
        <v>112</v>
      </c>
      <c r="H10">
        <f>GETPIVOTDATA("Sum of Cx pipiens",$A$4,"Zone","BE")</f>
        <v>7</v>
      </c>
      <c r="I10">
        <f>GETPIVOTDATA("Sum of Cx tarsalis",$A$4,"Zone","BE")</f>
        <v>302</v>
      </c>
      <c r="J10">
        <f>GETPIVOTDATA("Sum of Total CX",$A$4,"Zone","BE")</f>
        <v>309</v>
      </c>
    </row>
    <row r="11" spans="1:10" x14ac:dyDescent="0.25">
      <c r="A11" s="1" t="s">
        <v>9</v>
      </c>
      <c r="B11" s="2">
        <v>132</v>
      </c>
      <c r="C11" s="2">
        <v>907</v>
      </c>
      <c r="D11" s="2">
        <v>1039</v>
      </c>
    </row>
    <row r="12" spans="1:10" x14ac:dyDescent="0.25">
      <c r="A12" s="1" t="s">
        <v>7</v>
      </c>
      <c r="B12" s="2">
        <v>274</v>
      </c>
      <c r="C12" s="2">
        <v>5124</v>
      </c>
      <c r="D12" s="2">
        <v>5398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C10" sqref="C10"/>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87" t="s">
        <v>73</v>
      </c>
      <c r="B1" s="87"/>
      <c r="H1" s="87" t="s">
        <v>53</v>
      </c>
      <c r="I1" s="87"/>
    </row>
    <row r="2" spans="1:11" x14ac:dyDescent="0.25">
      <c r="A2" s="3" t="s">
        <v>8</v>
      </c>
      <c r="B2" t="s">
        <v>1</v>
      </c>
    </row>
    <row r="4" spans="1:11" x14ac:dyDescent="0.25">
      <c r="A4" s="3" t="s">
        <v>2</v>
      </c>
      <c r="B4" s="3" t="s">
        <v>3</v>
      </c>
      <c r="H4" s="24" t="s">
        <v>2</v>
      </c>
      <c r="I4" s="24" t="s">
        <v>3</v>
      </c>
      <c r="J4" s="24"/>
      <c r="K4" s="24"/>
    </row>
    <row r="5" spans="1:11" x14ac:dyDescent="0.25">
      <c r="A5" s="3" t="s">
        <v>4</v>
      </c>
      <c r="B5" t="s">
        <v>133</v>
      </c>
      <c r="C5" t="s">
        <v>132</v>
      </c>
      <c r="D5" t="s">
        <v>7</v>
      </c>
      <c r="H5" s="25" t="s">
        <v>4</v>
      </c>
      <c r="I5" s="25" t="s">
        <v>5</v>
      </c>
      <c r="J5" s="25" t="s">
        <v>6</v>
      </c>
      <c r="K5" s="25" t="s">
        <v>7</v>
      </c>
    </row>
    <row r="6" spans="1:11" x14ac:dyDescent="0.25">
      <c r="A6" s="1" t="s">
        <v>59</v>
      </c>
      <c r="B6" s="2">
        <v>50</v>
      </c>
      <c r="C6" s="2">
        <v>665</v>
      </c>
      <c r="D6" s="2">
        <v>715</v>
      </c>
      <c r="H6" s="1" t="s">
        <v>9</v>
      </c>
      <c r="I6" s="2">
        <f>GETPIVOTDATA("Total",$A$4,"Zone","LV","Spp","pipiens")</f>
        <v>3</v>
      </c>
      <c r="J6" s="2">
        <f>GETPIVOTDATA("Total",$A$4,"Zone","LV","Spp","tarsalis")</f>
        <v>316</v>
      </c>
      <c r="K6" s="2">
        <f>GETPIVOTDATA("Total",$A$4,"Zone","LV")</f>
        <v>319</v>
      </c>
    </row>
    <row r="7" spans="1:11" x14ac:dyDescent="0.25">
      <c r="A7" s="1" t="s">
        <v>58</v>
      </c>
      <c r="B7" s="2">
        <v>27</v>
      </c>
      <c r="C7" s="2">
        <v>104</v>
      </c>
      <c r="D7" s="2">
        <v>131</v>
      </c>
      <c r="H7" s="1" t="s">
        <v>59</v>
      </c>
      <c r="I7" s="2">
        <f>GETPIVOTDATA("Total",$A$4,"Zone","NE","Spp","pipiens")</f>
        <v>50</v>
      </c>
      <c r="J7" s="2">
        <f>GETPIVOTDATA("Total",$A$4,"Zone","NE","Spp","tarsalis")</f>
        <v>665</v>
      </c>
      <c r="K7" s="2">
        <f>GETPIVOTDATA("Total",$A$4,"Zone","NE")</f>
        <v>715</v>
      </c>
    </row>
    <row r="8" spans="1:11" x14ac:dyDescent="0.25">
      <c r="A8" s="1" t="s">
        <v>60</v>
      </c>
      <c r="B8" s="2">
        <v>132</v>
      </c>
      <c r="C8" s="2">
        <v>906</v>
      </c>
      <c r="D8" s="2">
        <v>1038</v>
      </c>
      <c r="H8" s="1" t="s">
        <v>58</v>
      </c>
      <c r="I8" s="2">
        <f>GETPIVOTDATA("Total",$A$4,"Zone","NW","Spp","pipiens")</f>
        <v>27</v>
      </c>
      <c r="J8" s="2">
        <f>GETPIVOTDATA("Total",$A$4,"Zone","NW","Spp","tarsalis")</f>
        <v>104</v>
      </c>
      <c r="K8" s="2">
        <f>GETPIVOTDATA("Total",$A$4,"Zone","NW")</f>
        <v>131</v>
      </c>
    </row>
    <row r="9" spans="1:11" x14ac:dyDescent="0.25">
      <c r="A9" s="1" t="s">
        <v>61</v>
      </c>
      <c r="B9" s="2">
        <v>8</v>
      </c>
      <c r="C9" s="2">
        <v>110</v>
      </c>
      <c r="D9" s="2">
        <v>118</v>
      </c>
      <c r="H9" s="1" t="s">
        <v>60</v>
      </c>
      <c r="I9" s="2">
        <f>GETPIVOTDATA("Total",$A$4,"Zone","SE","Spp","pipiens")</f>
        <v>132</v>
      </c>
      <c r="J9" s="2">
        <f>GETPIVOTDATA("Total",$A$4,"Zone","SE","Spp","tarsalis")</f>
        <v>906</v>
      </c>
      <c r="K9" s="2">
        <f>GETPIVOTDATA("Total",$A$4,"Zone","SE")</f>
        <v>1038</v>
      </c>
    </row>
    <row r="10" spans="1:11" x14ac:dyDescent="0.25">
      <c r="A10" s="1" t="s">
        <v>9</v>
      </c>
      <c r="B10" s="2">
        <v>3</v>
      </c>
      <c r="C10" s="2">
        <v>316</v>
      </c>
      <c r="D10" s="2">
        <v>319</v>
      </c>
      <c r="H10" s="1" t="s">
        <v>61</v>
      </c>
      <c r="I10" s="2">
        <f>GETPIVOTDATA("Total",$A$4,"Zone","SW","Spp","pipiens")</f>
        <v>8</v>
      </c>
      <c r="J10" s="2">
        <f>GETPIVOTDATA("Total",$A$4,"Zone","SW","Spp","tarsalis")</f>
        <v>110</v>
      </c>
      <c r="K10" s="2">
        <f>GETPIVOTDATA("Total",$A$4,"Zone","SW")</f>
        <v>118</v>
      </c>
    </row>
    <row r="11" spans="1:11" x14ac:dyDescent="0.25">
      <c r="A11" s="1" t="s">
        <v>112</v>
      </c>
      <c r="B11" s="2">
        <v>7</v>
      </c>
      <c r="C11" s="2">
        <v>302</v>
      </c>
      <c r="D11" s="2">
        <v>309</v>
      </c>
      <c r="H11" s="1" t="s">
        <v>112</v>
      </c>
      <c r="I11">
        <f>GETPIVOTDATA("Total",$A$4,"Zone","BE","Spp","pipiens")</f>
        <v>7</v>
      </c>
      <c r="J11">
        <f>GETPIVOTDATA("Total",$A$4,"Zone","BE","Spp","tarsalis")</f>
        <v>302</v>
      </c>
      <c r="K11">
        <f>GETPIVOTDATA("Total",$A$4,"Zone","BE")</f>
        <v>309</v>
      </c>
    </row>
    <row r="12" spans="1:11" x14ac:dyDescent="0.25">
      <c r="A12" s="1" t="s">
        <v>7</v>
      </c>
      <c r="B12" s="2">
        <v>227</v>
      </c>
      <c r="C12" s="2">
        <v>2403</v>
      </c>
      <c r="D12" s="2">
        <v>2630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3B4A5DB9-CD79-40A0-AA93-8C738487775E}"/>
</file>

<file path=customXml/itemProps2.xml><?xml version="1.0" encoding="utf-8"?>
<ds:datastoreItem xmlns:ds="http://schemas.openxmlformats.org/officeDocument/2006/customXml" ds:itemID="{B91ABCFB-9683-4AC7-9775-BBE8D33376E5}"/>
</file>

<file path=customXml/itemProps3.xml><?xml version="1.0" encoding="utf-8"?>
<ds:datastoreItem xmlns:ds="http://schemas.openxmlformats.org/officeDocument/2006/customXml" ds:itemID="{8F7B26CC-E365-4C04-9165-6BC57B357F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vt:lpstr>
      <vt:lpstr>InfRateCI</vt:lpstr>
      <vt:lpstr>InfRateZone</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2019-07-22T00:49:28Z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1273400</vt:r8>
  </property>
</Properties>
</file>