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6\"/>
    </mc:Choice>
  </mc:AlternateContent>
  <xr:revisionPtr revIDLastSave="0" documentId="13_ncr:1_{6E660989-E413-4491-B42D-AA292C7359F0}" xr6:coauthVersionLast="47" xr6:coauthVersionMax="47" xr10:uidLastSave="{00000000-0000-0000-0000-000000000000}"/>
  <bookViews>
    <workbookView xWindow="-18645" yWindow="1560" windowWidth="18210" windowHeight="12390" tabRatio="869" firstSheet="13" activeTab="13" xr2:uid="{00000000-000D-0000-FFFF-FFFF00000000}"/>
  </bookViews>
  <sheets>
    <sheet name="READ ME" sheetId="65" r:id="rId1"/>
    <sheet name="Weekly Data Input" sheetId="2" r:id="rId2"/>
    <sheet name="InfRateTotal" sheetId="199" r:id="rId3"/>
    <sheet name="InfRateZone" sheetId="197" r:id="rId4"/>
    <sheet name="InfRateZO" sheetId="195" r:id="rId5"/>
    <sheet name="InfRateCI" sheetId="19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5512" r:id="rId15"/>
    <pivotCache cacheId="5513"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0" i="5" l="1"/>
  <c r="M80" i="5"/>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L81" i="5"/>
  <c r="E14" i="5" s="1"/>
  <c r="F44" i="5" l="1"/>
  <c r="H13" i="6"/>
  <c r="G12" i="6"/>
  <c r="I13" i="6"/>
  <c r="H12" i="6"/>
  <c r="G13" i="6"/>
  <c r="I12" i="6"/>
  <c r="J11" i="64"/>
  <c r="I11" i="64"/>
  <c r="H12" i="64"/>
  <c r="I12" i="64"/>
  <c r="J12" i="64"/>
  <c r="H11" i="64"/>
  <c r="K11" i="61"/>
  <c r="J12" i="61"/>
  <c r="I12" i="61"/>
  <c r="J11" i="61"/>
  <c r="I11" i="61"/>
  <c r="K12" i="61"/>
  <c r="I11" i="63"/>
  <c r="H11" i="63"/>
  <c r="I10" i="63"/>
  <c r="H10" i="63"/>
  <c r="J10" i="63"/>
  <c r="J11" i="63"/>
  <c r="D48" i="5" l="1"/>
  <c r="H48" i="5" s="1"/>
  <c r="D14" i="5" s="1"/>
  <c r="H14" i="5" s="1"/>
  <c r="C47" i="5"/>
  <c r="C48" i="5"/>
  <c r="D47" i="5"/>
  <c r="I80" i="5"/>
  <c r="J81" i="5"/>
  <c r="I81" i="5"/>
  <c r="K81" i="5" s="1"/>
  <c r="J80" i="5"/>
  <c r="G80" i="5"/>
  <c r="G81" i="5"/>
  <c r="F81" i="5"/>
  <c r="F80" i="5"/>
  <c r="D81" i="5"/>
  <c r="C80" i="5"/>
  <c r="C81" i="5"/>
  <c r="E81" i="5" s="1"/>
  <c r="D80" i="5"/>
  <c r="J86" i="59"/>
  <c r="K86" i="59"/>
  <c r="J196" i="59"/>
  <c r="K196" i="59"/>
  <c r="J32" i="59"/>
  <c r="K32" i="59"/>
  <c r="J136" i="59"/>
  <c r="K136" i="59"/>
  <c r="J159" i="59"/>
  <c r="K159" i="59"/>
  <c r="J62" i="59"/>
  <c r="K62" i="59"/>
  <c r="J60" i="59"/>
  <c r="K60" i="59"/>
  <c r="J20" i="59"/>
  <c r="K20" i="59"/>
  <c r="J48" i="59"/>
  <c r="K48" i="59"/>
  <c r="J99" i="59"/>
  <c r="K99" i="59"/>
  <c r="J77" i="59"/>
  <c r="K77" i="59"/>
  <c r="J97" i="59"/>
  <c r="K97" i="59"/>
  <c r="J164" i="59"/>
  <c r="K164" i="59"/>
  <c r="J172" i="59"/>
  <c r="K172" i="59"/>
  <c r="J54" i="59"/>
  <c r="K54" i="59"/>
  <c r="J88" i="59"/>
  <c r="K88" i="59"/>
  <c r="J50" i="59"/>
  <c r="K50" i="59"/>
  <c r="J9" i="59"/>
  <c r="K9" i="59"/>
  <c r="J13" i="59"/>
  <c r="K13" i="59"/>
  <c r="J153" i="59"/>
  <c r="K153" i="59"/>
  <c r="J192" i="59"/>
  <c r="K192" i="59"/>
  <c r="J4" i="59"/>
  <c r="K4" i="59"/>
  <c r="J130" i="59"/>
  <c r="K130" i="59"/>
  <c r="J173" i="59"/>
  <c r="K173" i="59"/>
  <c r="J61" i="59"/>
  <c r="K61" i="59"/>
  <c r="J178" i="59"/>
  <c r="K178" i="59"/>
  <c r="J93" i="59"/>
  <c r="K93" i="59"/>
  <c r="J177" i="59"/>
  <c r="K177" i="59"/>
  <c r="J184" i="59"/>
  <c r="K184" i="59"/>
  <c r="J155" i="59"/>
  <c r="K155" i="59"/>
  <c r="J35" i="59"/>
  <c r="K35" i="59"/>
  <c r="J127" i="59"/>
  <c r="K127" i="59"/>
  <c r="J197" i="59"/>
  <c r="K197" i="59"/>
  <c r="J160" i="59"/>
  <c r="K160" i="59"/>
  <c r="J5" i="59"/>
  <c r="K5" i="59"/>
  <c r="J52" i="59"/>
  <c r="K52" i="59"/>
  <c r="J22" i="59"/>
  <c r="K22" i="59"/>
  <c r="J171" i="59"/>
  <c r="K171" i="59"/>
  <c r="J18" i="59"/>
  <c r="K18" i="59"/>
  <c r="J113" i="59"/>
  <c r="K113" i="59"/>
  <c r="J47" i="59"/>
  <c r="K47" i="59"/>
  <c r="J78" i="59"/>
  <c r="K78" i="59"/>
  <c r="J95" i="59"/>
  <c r="K95" i="59"/>
  <c r="J44" i="59"/>
  <c r="K44" i="59"/>
  <c r="J154" i="59"/>
  <c r="K154" i="59"/>
  <c r="J158" i="59"/>
  <c r="K158" i="59"/>
  <c r="J89" i="59"/>
  <c r="K89" i="59"/>
  <c r="J19" i="59"/>
  <c r="K19" i="59"/>
  <c r="J16" i="59"/>
  <c r="K16" i="59"/>
  <c r="J144" i="59"/>
  <c r="K144" i="59"/>
  <c r="J46" i="59"/>
  <c r="K46" i="59"/>
  <c r="J15" i="59"/>
  <c r="K15" i="59"/>
  <c r="J45" i="59"/>
  <c r="K45" i="59"/>
  <c r="J74" i="59"/>
  <c r="K74" i="59"/>
  <c r="J169" i="59"/>
  <c r="K169" i="59"/>
  <c r="J33" i="59"/>
  <c r="K33" i="59"/>
  <c r="J69" i="59"/>
  <c r="K69" i="59"/>
  <c r="J26" i="59"/>
  <c r="K26" i="59"/>
  <c r="J133" i="59"/>
  <c r="K133" i="59"/>
  <c r="J43" i="59"/>
  <c r="K43" i="59"/>
  <c r="J31" i="59"/>
  <c r="K31" i="59"/>
  <c r="J104" i="59"/>
  <c r="K104" i="59"/>
  <c r="J167" i="59"/>
  <c r="K167" i="59"/>
  <c r="J190" i="59"/>
  <c r="K190" i="59"/>
  <c r="J10" i="59"/>
  <c r="K10" i="59"/>
  <c r="J157" i="59"/>
  <c r="K157" i="59"/>
  <c r="J109" i="59"/>
  <c r="K109" i="59"/>
  <c r="J183" i="59"/>
  <c r="K183" i="59"/>
  <c r="J146" i="59"/>
  <c r="K146" i="59"/>
  <c r="J82" i="59"/>
  <c r="K82" i="59"/>
  <c r="J107" i="59"/>
  <c r="K107" i="59"/>
  <c r="J11" i="59"/>
  <c r="K11" i="59"/>
  <c r="J186" i="59"/>
  <c r="K186" i="59"/>
  <c r="J91" i="59"/>
  <c r="K91" i="59"/>
  <c r="J143" i="59"/>
  <c r="K143" i="59"/>
  <c r="J175" i="59"/>
  <c r="K175" i="59"/>
  <c r="J166" i="59"/>
  <c r="K166" i="59"/>
  <c r="J182" i="59"/>
  <c r="K182" i="59"/>
  <c r="J68" i="59"/>
  <c r="K68" i="59"/>
  <c r="J174" i="59"/>
  <c r="K174" i="59"/>
  <c r="J191" i="59"/>
  <c r="K191" i="59"/>
  <c r="J170" i="59"/>
  <c r="K170" i="59"/>
  <c r="J66" i="59"/>
  <c r="K66" i="59"/>
  <c r="J24" i="59"/>
  <c r="K24" i="59"/>
  <c r="J81" i="59"/>
  <c r="K81" i="59"/>
  <c r="J135" i="59"/>
  <c r="K135" i="59"/>
  <c r="J103" i="59"/>
  <c r="K103" i="59"/>
  <c r="J110" i="59"/>
  <c r="K110" i="59"/>
  <c r="J114" i="59"/>
  <c r="K114" i="59"/>
  <c r="J105" i="59"/>
  <c r="K105" i="59"/>
  <c r="J63" i="59"/>
  <c r="K63" i="59"/>
  <c r="J56" i="59"/>
  <c r="K56" i="59"/>
  <c r="J134" i="59"/>
  <c r="K134" i="59"/>
  <c r="J111" i="59"/>
  <c r="K111" i="59"/>
  <c r="J145" i="59"/>
  <c r="K145" i="59"/>
  <c r="J116" i="59"/>
  <c r="K116" i="59"/>
  <c r="J128" i="59"/>
  <c r="K128" i="59"/>
  <c r="J76" i="59"/>
  <c r="K76" i="59"/>
  <c r="J34" i="59"/>
  <c r="K34" i="59"/>
  <c r="J163" i="59"/>
  <c r="K163" i="59"/>
  <c r="J71" i="59"/>
  <c r="K71" i="59"/>
  <c r="J75" i="59"/>
  <c r="K75" i="59"/>
  <c r="J149" i="59"/>
  <c r="K149" i="59"/>
  <c r="J87" i="59"/>
  <c r="K87" i="59"/>
  <c r="J139" i="59"/>
  <c r="K139" i="59"/>
  <c r="J193" i="59"/>
  <c r="K193" i="59"/>
  <c r="J112" i="59"/>
  <c r="K112" i="59"/>
  <c r="J80" i="59"/>
  <c r="K80" i="59"/>
  <c r="J55" i="59"/>
  <c r="K55" i="59"/>
  <c r="J51" i="59"/>
  <c r="K51" i="59"/>
  <c r="J92" i="59"/>
  <c r="K92" i="59"/>
  <c r="J141" i="59"/>
  <c r="K141" i="59"/>
  <c r="J179" i="59"/>
  <c r="K179" i="59"/>
  <c r="J101" i="59"/>
  <c r="K101" i="59"/>
  <c r="J156" i="59"/>
  <c r="K156" i="59"/>
  <c r="J195" i="59"/>
  <c r="K195" i="59"/>
  <c r="J37" i="59"/>
  <c r="K37" i="59"/>
  <c r="J121" i="59"/>
  <c r="K121" i="59"/>
  <c r="J162" i="59"/>
  <c r="K162" i="59"/>
  <c r="J194" i="59"/>
  <c r="K194" i="59"/>
  <c r="J180" i="59"/>
  <c r="K180" i="59"/>
  <c r="J106" i="59"/>
  <c r="K106" i="59"/>
  <c r="J118" i="59"/>
  <c r="K118" i="59"/>
  <c r="J140" i="59"/>
  <c r="K140" i="59"/>
  <c r="J150" i="59"/>
  <c r="K150" i="59"/>
  <c r="J119" i="59"/>
  <c r="K119" i="59"/>
  <c r="J198" i="59"/>
  <c r="K198" i="59"/>
  <c r="J176" i="59"/>
  <c r="K176" i="59"/>
  <c r="J147" i="59"/>
  <c r="K147" i="59"/>
  <c r="J84" i="59"/>
  <c r="K84" i="59"/>
  <c r="J125" i="59"/>
  <c r="K125" i="59"/>
  <c r="J152" i="59"/>
  <c r="K152" i="59"/>
  <c r="J98" i="59"/>
  <c r="K98" i="59"/>
  <c r="J70" i="59"/>
  <c r="K70" i="59"/>
  <c r="J72" i="59"/>
  <c r="K72" i="59"/>
  <c r="J57" i="59"/>
  <c r="K57" i="59"/>
  <c r="J36" i="59"/>
  <c r="K36" i="59"/>
  <c r="J7" i="59"/>
  <c r="K7" i="59"/>
  <c r="J8" i="59"/>
  <c r="K8" i="59"/>
  <c r="J6" i="59"/>
  <c r="K6" i="59"/>
  <c r="J161" i="59"/>
  <c r="K161" i="59"/>
  <c r="J132" i="59"/>
  <c r="K132" i="59"/>
  <c r="J199" i="59"/>
  <c r="K199" i="59"/>
  <c r="J200" i="59"/>
  <c r="K200" i="59"/>
  <c r="E47" i="5" l="1"/>
  <c r="H81" i="5"/>
  <c r="E48" i="5"/>
  <c r="I48" i="5" s="1"/>
  <c r="G48" i="5"/>
  <c r="C14" i="5" s="1"/>
  <c r="G14" i="5" s="1"/>
  <c r="I14" i="5" s="1"/>
  <c r="E80" i="5"/>
  <c r="J102" i="59"/>
  <c r="K102" i="59"/>
  <c r="J108" i="59"/>
  <c r="K108" i="59"/>
  <c r="J83" i="59"/>
  <c r="K83" i="59"/>
  <c r="J42" i="59"/>
  <c r="K42" i="59"/>
  <c r="J27" i="59"/>
  <c r="K27" i="59"/>
  <c r="J64" i="59"/>
  <c r="K64" i="59"/>
  <c r="J85" i="59"/>
  <c r="K85" i="59"/>
  <c r="J185" i="59"/>
  <c r="K185" i="59"/>
  <c r="J30" i="59"/>
  <c r="K30" i="59"/>
  <c r="J12" i="59"/>
  <c r="K12" i="59"/>
  <c r="J96" i="59"/>
  <c r="K96" i="59"/>
  <c r="J49" i="59"/>
  <c r="K49" i="59"/>
  <c r="J137" i="59"/>
  <c r="K137" i="59"/>
  <c r="J131" i="59"/>
  <c r="K131" i="59"/>
  <c r="J38" i="59"/>
  <c r="K38" i="59"/>
  <c r="J129" i="59"/>
  <c r="K129" i="59"/>
  <c r="J23" i="59"/>
  <c r="K23" i="59"/>
  <c r="J3" i="59"/>
  <c r="K3" i="59"/>
  <c r="J28" i="59"/>
  <c r="K28" i="59"/>
  <c r="J123" i="59"/>
  <c r="K123" i="59"/>
  <c r="J14" i="59"/>
  <c r="K14" i="59"/>
  <c r="J94" i="59"/>
  <c r="K94" i="59"/>
  <c r="J39" i="59"/>
  <c r="K39" i="59"/>
  <c r="J73" i="59"/>
  <c r="K73" i="59"/>
  <c r="J126" i="59"/>
  <c r="K126" i="59"/>
  <c r="J188" i="59"/>
  <c r="K188" i="59"/>
  <c r="J189" i="59"/>
  <c r="K189" i="59"/>
  <c r="J79" i="59"/>
  <c r="K79" i="59"/>
  <c r="J142" i="59"/>
  <c r="K142" i="59"/>
  <c r="J124" i="59"/>
  <c r="K124" i="59"/>
  <c r="J53" i="59"/>
  <c r="K53" i="59"/>
  <c r="J168" i="59"/>
  <c r="K168" i="59"/>
  <c r="J117" i="59"/>
  <c r="K117" i="59"/>
  <c r="J181" i="59"/>
  <c r="K181" i="59"/>
  <c r="J67" i="59"/>
  <c r="K67" i="59"/>
  <c r="J148" i="59"/>
  <c r="K148" i="59"/>
  <c r="J187" i="59"/>
  <c r="K187" i="59"/>
  <c r="J151" i="59"/>
  <c r="K151" i="59"/>
  <c r="J138" i="59"/>
  <c r="K138" i="59"/>
  <c r="J65" i="59"/>
  <c r="K65" i="59"/>
  <c r="J115" i="59"/>
  <c r="K115" i="59"/>
  <c r="J21" i="59"/>
  <c r="K21" i="59"/>
  <c r="J58" i="59"/>
  <c r="K58" i="59"/>
  <c r="J29" i="59"/>
  <c r="K29" i="59"/>
  <c r="J2" i="59"/>
  <c r="K2" i="59"/>
  <c r="J100" i="59"/>
  <c r="K100" i="59"/>
  <c r="J59" i="59"/>
  <c r="K59" i="59"/>
  <c r="J122" i="59"/>
  <c r="K122" i="59"/>
  <c r="J25" i="59"/>
  <c r="K25" i="59"/>
  <c r="J41" i="59"/>
  <c r="K41" i="59"/>
  <c r="J17" i="59"/>
  <c r="K17" i="59"/>
  <c r="J120" i="59"/>
  <c r="K120" i="59"/>
  <c r="J90" i="59"/>
  <c r="K90" i="59"/>
  <c r="J165" i="59"/>
  <c r="K165" i="59"/>
  <c r="K40" i="59"/>
  <c r="J40" i="59"/>
  <c r="F13" i="5" l="1"/>
  <c r="E13" i="5"/>
  <c r="I11" i="6"/>
  <c r="G11" i="6"/>
  <c r="H11" i="6"/>
  <c r="J10" i="64"/>
  <c r="I10" i="64"/>
  <c r="H10" i="64"/>
  <c r="K10" i="61"/>
  <c r="J10" i="61"/>
  <c r="I10" i="61"/>
  <c r="H5" i="63"/>
  <c r="I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9" i="6"/>
  <c r="H10" i="6"/>
  <c r="H7" i="6"/>
  <c r="G8" i="6"/>
  <c r="G9" i="6"/>
  <c r="G7" i="6"/>
  <c r="H9" i="6"/>
  <c r="I8" i="6"/>
  <c r="G10" i="6"/>
  <c r="I7" i="6"/>
  <c r="H8" i="6"/>
  <c r="H7" i="64"/>
  <c r="I8" i="64"/>
  <c r="H6" i="64"/>
  <c r="I6" i="64"/>
  <c r="J7" i="64"/>
  <c r="I7" i="64"/>
  <c r="J9" i="64"/>
  <c r="H9" i="64"/>
  <c r="J6" i="64"/>
  <c r="H8" i="64"/>
  <c r="J8" i="64"/>
  <c r="I9" i="64"/>
  <c r="I6" i="61"/>
  <c r="K7" i="61"/>
  <c r="K6" i="61"/>
  <c r="I9" i="61"/>
  <c r="K8" i="61"/>
  <c r="J7" i="61"/>
  <c r="K9" i="61"/>
  <c r="J8" i="61"/>
  <c r="J6" i="61"/>
  <c r="J9" i="61"/>
  <c r="I7" i="61"/>
  <c r="I8" i="61"/>
  <c r="I9" i="63"/>
  <c r="J8" i="63"/>
  <c r="J6" i="63"/>
  <c r="H8" i="63"/>
  <c r="J9" i="63"/>
  <c r="H7" i="63"/>
  <c r="I7" i="63"/>
  <c r="I8" i="63"/>
  <c r="H9" i="63"/>
  <c r="I6" i="63"/>
  <c r="H6" i="63"/>
  <c r="J7"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<sst xmlns="http://schemas.openxmlformats.org/spreadsheetml/2006/main" count="1717" uniqueCount="319">
  <si>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</si>
  <si>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</si>
  <si>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</si>
  <si>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</si>
  <si>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</si>
  <si>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</si>
  <si>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</si>
  <si>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</si>
  <si>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</si>
  <si>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</si>
  <si>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</si>
  <si>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</si>
  <si>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</si>
  <si>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</si>
  <si>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</si>
  <si>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</si>
  <si>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</si>
  <si>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</si>
  <si>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</si>
  <si>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</si>
  <si>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</si>
  <si>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</si>
  <si>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</si>
  <si>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</si>
  <si>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</si>
  <si>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</si>
  <si>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</si>
  <si>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</si>
  <si>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</si>
  <si>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</si>
  <si>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</si>
  <si>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BOU-00064</t>
  </si>
  <si>
    <t>N/A</t>
  </si>
  <si>
    <t>BC</t>
  </si>
  <si>
    <t>BC-19</t>
  </si>
  <si>
    <t>L</t>
  </si>
  <si>
    <t>Cx.</t>
  </si>
  <si>
    <t>TAR</t>
  </si>
  <si>
    <t>F</t>
  </si>
  <si>
    <t>Negative</t>
  </si>
  <si>
    <t>BC-TAR</t>
  </si>
  <si>
    <t>BOU-00065</t>
  </si>
  <si>
    <t>BC-15</t>
  </si>
  <si>
    <t>BOU-00066</t>
  </si>
  <si>
    <t>BC-17</t>
  </si>
  <si>
    <t>BOU-00067</t>
  </si>
  <si>
    <t>BC-09</t>
  </si>
  <si>
    <t>BOU-00068</t>
  </si>
  <si>
    <t>BC-04</t>
  </si>
  <si>
    <t>CSU-17153</t>
  </si>
  <si>
    <t>LC</t>
  </si>
  <si>
    <t>FC</t>
  </si>
  <si>
    <t>FC-088gr</t>
  </si>
  <si>
    <t>SE</t>
  </si>
  <si>
    <t>G</t>
  </si>
  <si>
    <t>PIP</t>
  </si>
  <si>
    <t>Positive</t>
  </si>
  <si>
    <t>FC-PIP</t>
  </si>
  <si>
    <t>SE-PIP</t>
  </si>
  <si>
    <t>CSU-17154</t>
  </si>
  <si>
    <t>FC-046</t>
  </si>
  <si>
    <t>FC-TAR</t>
  </si>
  <si>
    <t>SE-TAR</t>
  </si>
  <si>
    <t>CSU-17155</t>
  </si>
  <si>
    <t>FC-075gr</t>
  </si>
  <si>
    <t>CSU-17156</t>
  </si>
  <si>
    <t>FC-075</t>
  </si>
  <si>
    <t>CSU-17157</t>
  </si>
  <si>
    <t>CSU-17158</t>
  </si>
  <si>
    <t>FC-031</t>
  </si>
  <si>
    <t>CSU-17159</t>
  </si>
  <si>
    <t>FC-064</t>
  </si>
  <si>
    <t>CSU-17160</t>
  </si>
  <si>
    <t>FC-059</t>
  </si>
  <si>
    <t>CSU-17161</t>
  </si>
  <si>
    <t>FC-074</t>
  </si>
  <si>
    <t>CSU-17162</t>
  </si>
  <si>
    <t>FC-050</t>
  </si>
  <si>
    <t>CSU-17163</t>
  </si>
  <si>
    <t>CSU-17164</t>
  </si>
  <si>
    <t>CSU-17165</t>
  </si>
  <si>
    <t>CSU-17166</t>
  </si>
  <si>
    <t>CSU-17167</t>
  </si>
  <si>
    <t>CSU-17168</t>
  </si>
  <si>
    <t>CSU-17169</t>
  </si>
  <si>
    <t>FC-004</t>
  </si>
  <si>
    <t>CSU-17170</t>
  </si>
  <si>
    <t>FC-038</t>
  </si>
  <si>
    <t>NE</t>
  </si>
  <si>
    <t>NE-TAR</t>
  </si>
  <si>
    <t>CSU-17171</t>
  </si>
  <si>
    <t>NE-PIP</t>
  </si>
  <si>
    <t>CSU-17172</t>
  </si>
  <si>
    <t>FC-092gr</t>
  </si>
  <si>
    <t>CSU-17173</t>
  </si>
  <si>
    <t>FC-069</t>
  </si>
  <si>
    <t>CSU-17174</t>
  </si>
  <si>
    <t>FC-034</t>
  </si>
  <si>
    <t>CSU-17175</t>
  </si>
  <si>
    <t>FC-040</t>
  </si>
  <si>
    <t>CSU-17176</t>
  </si>
  <si>
    <t>FC-036</t>
  </si>
  <si>
    <t>NW</t>
  </si>
  <si>
    <t>NW-TAR</t>
  </si>
  <si>
    <t>CSU-17177</t>
  </si>
  <si>
    <t>FC-072</t>
  </si>
  <si>
    <t>CSU-17178</t>
  </si>
  <si>
    <t>FC-091gr</t>
  </si>
  <si>
    <t>CSU-17179</t>
  </si>
  <si>
    <t>CSU-17180</t>
  </si>
  <si>
    <t>FC-040gr</t>
  </si>
  <si>
    <t>CSU-17181</t>
  </si>
  <si>
    <t>FC-066gr</t>
  </si>
  <si>
    <t>CSU-17182</t>
  </si>
  <si>
    <t>FC-019</t>
  </si>
  <si>
    <t>CSU-17183</t>
  </si>
  <si>
    <t>CSU-17184</t>
  </si>
  <si>
    <t>FC-014</t>
  </si>
  <si>
    <t>CSU-17185</t>
  </si>
  <si>
    <t>CSU-17186</t>
  </si>
  <si>
    <t>CSU-17187</t>
  </si>
  <si>
    <t>FC-066</t>
  </si>
  <si>
    <t>CSU-17188</t>
  </si>
  <si>
    <t>CSU-17189</t>
  </si>
  <si>
    <t>CSU-17190</t>
  </si>
  <si>
    <t>CSU-17191</t>
  </si>
  <si>
    <t>CSU-17192</t>
  </si>
  <si>
    <t>CSU-17193</t>
  </si>
  <si>
    <t>CSU-17194</t>
  </si>
  <si>
    <t>CSU-17195</t>
  </si>
  <si>
    <t>CSU-17196</t>
  </si>
  <si>
    <t>CSU-17197</t>
  </si>
  <si>
    <t>CSU-17198</t>
  </si>
  <si>
    <t>CSU-17199</t>
  </si>
  <si>
    <t>LV</t>
  </si>
  <si>
    <t>LV-089</t>
  </si>
  <si>
    <t>LV-TAR</t>
  </si>
  <si>
    <t>CSU-17200</t>
  </si>
  <si>
    <t>LV-020</t>
  </si>
  <si>
    <t>CSU-17201</t>
  </si>
  <si>
    <t>LV-PIP</t>
  </si>
  <si>
    <t>CSU-17202</t>
  </si>
  <si>
    <t>FC-061</t>
  </si>
  <si>
    <t>CSU-17203</t>
  </si>
  <si>
    <t>FC-073</t>
  </si>
  <si>
    <t>CSU-17204</t>
  </si>
  <si>
    <t>NW-PIP</t>
  </si>
  <si>
    <t>CSU-17205</t>
  </si>
  <si>
    <t>FC-090gr</t>
  </si>
  <si>
    <t>CSU-17206</t>
  </si>
  <si>
    <t>FC-011</t>
  </si>
  <si>
    <t>CSU-17207</t>
  </si>
  <si>
    <t>FC-060</t>
  </si>
  <si>
    <t>CSU-17208</t>
  </si>
  <si>
    <t>FC-063</t>
  </si>
  <si>
    <t>CSU-17209</t>
  </si>
  <si>
    <t>FC-063gr</t>
  </si>
  <si>
    <t>CSU-17210</t>
  </si>
  <si>
    <t>FC-015</t>
  </si>
  <si>
    <t>CSU-17211</t>
  </si>
  <si>
    <t>FC-058</t>
  </si>
  <si>
    <t>SW</t>
  </si>
  <si>
    <t>SW-TAR</t>
  </si>
  <si>
    <t>CSU-17212</t>
  </si>
  <si>
    <t>FC-001</t>
  </si>
  <si>
    <t>CSU-17213</t>
  </si>
  <si>
    <t>SW-PIP</t>
  </si>
  <si>
    <t>CSU-17214</t>
  </si>
  <si>
    <t>FC-068</t>
  </si>
  <si>
    <t>CSU-17215</t>
  </si>
  <si>
    <t>CSU-17216</t>
  </si>
  <si>
    <t>FC-029gr</t>
  </si>
  <si>
    <t>CSU-17217</t>
  </si>
  <si>
    <t>FC-062</t>
  </si>
  <si>
    <t>CSU-17218</t>
  </si>
  <si>
    <t>FC-093</t>
  </si>
  <si>
    <t>CSU-17219</t>
  </si>
  <si>
    <t>CSU-17220</t>
  </si>
  <si>
    <t>FC-071</t>
  </si>
  <si>
    <t>CSU-17221</t>
  </si>
  <si>
    <t>FC-089gr</t>
  </si>
  <si>
    <t>CSU-17222</t>
  </si>
  <si>
    <t>FC-037</t>
  </si>
  <si>
    <t>CSU-17223</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</si>
  <si>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</si>
  <si>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</si>
  <si>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</si>
  <si>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</si>
  <si>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</si>
  <si>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</si>
  <si>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</si>
  <si>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</si>
  <si>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</si>
  <si>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</si>
  <si>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</si>
  <si>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</si>
  <si>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</si>
  <si>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</si>
  <si>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</si>
  <si>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</si>
  <si>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</si>
  <si>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</si>
  <si>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</si>
  <si>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</si>
  <si>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</si>
  <si>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Boulder</t>
  </si>
  <si>
    <t>Goose Creek</t>
  </si>
  <si>
    <t>Culex tarsalis</t>
  </si>
  <si>
    <t>CDC Light Trap</t>
  </si>
  <si>
    <t>S. Boulder Rec Center</t>
  </si>
  <si>
    <t>Sombrero Marsh</t>
  </si>
  <si>
    <t>Stazio Ball Fields</t>
  </si>
  <si>
    <t>Tom Watson</t>
  </si>
  <si>
    <t>Fort Collins</t>
  </si>
  <si>
    <t>422 Lake Dr</t>
  </si>
  <si>
    <t>Country Club</t>
  </si>
  <si>
    <t>Edora Park</t>
  </si>
  <si>
    <t>Culex pipiens</t>
  </si>
  <si>
    <t>FC Visitor Center</t>
  </si>
  <si>
    <t>Linden Lake Rd</t>
  </si>
  <si>
    <t>Lochside Lane</t>
  </si>
  <si>
    <t>Prospect Ponds</t>
  </si>
  <si>
    <t>Redwood</t>
  </si>
  <si>
    <t xml:space="preserve">118 S Grant </t>
  </si>
  <si>
    <t>808 Ponderosa</t>
  </si>
  <si>
    <t>Golden Current</t>
  </si>
  <si>
    <t>Hemlock</t>
  </si>
  <si>
    <t xml:space="preserve">FC-036 </t>
  </si>
  <si>
    <t>Holley Plant Research Center</t>
  </si>
  <si>
    <t>Red Fox Meadows</t>
  </si>
  <si>
    <t>Stuart and Dorset</t>
  </si>
  <si>
    <t>Big Horn</t>
  </si>
  <si>
    <t>Golden Meadows Ditch</t>
  </si>
  <si>
    <t>Rock Creek</t>
  </si>
  <si>
    <t>Sage Creek North</t>
  </si>
  <si>
    <t>Springwood and Lochwood</t>
  </si>
  <si>
    <t>West Chase</t>
  </si>
  <si>
    <t>Westshore Ct</t>
  </si>
  <si>
    <t>Willow Springs</t>
  </si>
  <si>
    <t>5029 Crest Dr</t>
  </si>
  <si>
    <t>Chelsea Ridge</t>
  </si>
  <si>
    <t>Lopez Elementary</t>
  </si>
  <si>
    <t>Magic Carpet</t>
  </si>
  <si>
    <t>Silvergate Rd</t>
  </si>
  <si>
    <t>Spring Creek Trail-- Michener Dr</t>
  </si>
  <si>
    <t>Water's Edge at Blue Mesa</t>
  </si>
  <si>
    <t>Loveland</t>
  </si>
  <si>
    <t>Cattail Pond</t>
  </si>
  <si>
    <t>7 Lakes Park</t>
  </si>
  <si>
    <t>LV-078</t>
  </si>
  <si>
    <t>9th and DesMoines</t>
  </si>
  <si>
    <t>915 S Boise</t>
  </si>
  <si>
    <t>LV-112</t>
  </si>
  <si>
    <t>Jill Drive Pond</t>
  </si>
  <si>
    <t>LV-114</t>
  </si>
  <si>
    <t>FROM 009 FILE</t>
  </si>
  <si>
    <t>Corresponds to 2a</t>
  </si>
  <si>
    <t>(All)</t>
  </si>
  <si>
    <t>Row Labels</t>
  </si>
  <si>
    <t>Sum of Cx pipiens</t>
  </si>
  <si>
    <t>Sum of Cx tarsalis</t>
  </si>
  <si>
    <t>Sum of Total CX</t>
  </si>
  <si>
    <t>BE</t>
  </si>
  <si>
    <t>Grand Total</t>
  </si>
  <si>
    <t>FROM WEEKLY DATA INPUT</t>
  </si>
  <si>
    <t>Corresponds to 3a</t>
  </si>
  <si>
    <t>Sum of Total</t>
  </si>
  <si>
    <t>Column Labels</t>
  </si>
  <si>
    <t>TARSALIS</t>
  </si>
  <si>
    <t>PIPIENS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</si>
  <si>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</si>
  <si>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</si>
  <si>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</si>
  <si>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</si>
  <si>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</si>
  <si>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</si>
  <si>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</si>
  <si>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</si>
  <si>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</si>
  <si>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</si>
  <si>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</si>
  <si>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</si>
  <si>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</si>
  <si>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</si>
  <si>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</si>
  <si>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Week: </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</si>
  <si>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</si>
  <si>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</si>
  <si>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</si>
  <si>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</si>
  <si>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</si>
  <si>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</si>
  <si>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</si>
  <si>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</si>
  <si>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</si>
  <si>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</si>
  <si>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</si>
  <si>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</si>
  <si>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</si>
  <si>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</si>
  <si>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</si>
  <si>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</si>
  <si>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</si>
  <si>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</si>
  <si>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</si>
  <si>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</si>
  <si>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</si>
  <si>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</si>
  <si>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</si>
  <si>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</si>
  <si>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</si>
  <si>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</si>
  <si>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</si>
  <si>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</si>
  <si>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</si>
  <si>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t>InfZone</t>
  </si>
  <si>
    <r>
      <t xml:space="preserve">All </t>
    </r>
    <r>
      <rPr>
        <i/>
        <sz val="9"/>
        <color theme="1"/>
        <rFont val="Arial"/>
        <family val="2"/>
      </rPr>
      <t>Culex</t>
    </r>
  </si>
  <si>
    <t>InfTotal</t>
  </si>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</sst>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8"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alignment horizontal="right"/>
    </xf>
    <xf numFmtId="14" fontId="0" fillId="0" borderId="0" xfId="0" applyNumberFormat="1"/>
    <xf numFmtId="167" fontId="4" fillId="7" borderId="8" xfId="0" applyNumberFormat="1" applyFont="1" applyFill="1" applyBorder="1" applyAlignment="1">
      <alignment horizontal="center" vertical="center" wrapText="1"/>
    </xf>
    <xf numFmtId="2" fontId="8" fillId="7" borderId="8" xfId="0" applyNumberFormat="1" applyFont="1" applyFill="1" applyBorder="1" applyAlignment="1">
      <alignment horizontal="right" vertical="center" wrapText="1"/>
    </xf>
    <xf numFmtId="0" fontId="14" fillId="7" borderId="13" xfId="0" applyFont="1" applyFill="1" applyBorder="1" applyAlignment="1">
      <alignment vertical="center"/>
    </xf>
    <xf numFmtId="0" fontId="14" fillId="7" borderId="13" xfId="0" applyFont="1" applyFill="1" applyBorder="1" applyAlignment="1">
      <alignment horizontal="left" vertical="center"/>
    </xf>
    <xf numFmtId="0" fontId="17" fillId="7" borderId="13" xfId="0" applyFont="1" applyFill="1" applyBorder="1" applyAlignment="1">
      <alignment horizontal="right"/>
    </xf>
    <xf numFmtId="0" fontId="14" fillId="7" borderId="13" xfId="0" applyFont="1" applyFill="1" applyBorder="1" applyAlignment="1">
      <alignment horizontal="right" vertical="center"/>
    </xf>
    <xf numFmtId="164" fontId="17" fillId="7" borderId="13" xfId="0" applyNumberFormat="1" applyFont="1" applyFill="1" applyBorder="1"/>
    <xf numFmtId="0" fontId="17" fillId="7" borderId="13" xfId="0" applyFont="1" applyFill="1" applyBorder="1"/>
    <xf numFmtId="2" fontId="2" fillId="5" borderId="8" xfId="0" applyNumberFormat="1" applyFont="1" applyFill="1" applyBorder="1" applyAlignment="1">
      <alignment horizontal="center" vertical="center" wrapText="1"/>
    </xf>
    <xf numFmtId="2" fontId="8" fillId="5" borderId="8" xfId="0" applyNumberFormat="1" applyFont="1" applyFill="1" applyBorder="1" applyAlignment="1">
      <alignment horizontal="right" vertical="center" wrapText="1"/>
    </xf>
    <xf numFmtId="0" fontId="17" fillId="3" borderId="15" xfId="0" applyFont="1" applyFill="1" applyBorder="1"/>
    <xf numFmtId="0" fontId="17" fillId="5" borderId="15" xfId="0" applyFont="1" applyFill="1" applyBorder="1"/>
    <xf numFmtId="0" fontId="0" fillId="8" borderId="0" xfId="0" applyFill="1"/>
    <xf numFmtId="14" fontId="0" fillId="8" borderId="0" xfId="0" applyNumberFormat="1" applyFill="1" applyAlignment="1">
      <alignment horizontal="right"/>
    </xf>
    <xf numFmtId="0" fontId="17" fillId="8" borderId="13" xfId="0" applyFont="1" applyFill="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51.677041087962" createdVersion="6" refreshedVersion="6" minRefreshableVersion="3" recordCount="53" xr:uid="{73F10831-B479-4FD1-BD88-72719376594B}">
  <cacheSource type="worksheet">
    <worksheetSource ref="A1:K54" sheet="Weekly 009 input"/>
  </cacheSource>
  <cacheFields count="11">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21-09-06T00:00:00" maxDate="2021-09-09T00:00:00"/>
    </cacheField>
    <cacheField name="Contract" numFmtId="0">
      <sharedItems/>
    </cacheField>
    <cacheField name="Location" numFmtId="0">
      <sharedItems/>
    </cacheField>
    <cacheField name="Zone" numFmtId="0">
      <sharedItems count="6">
        <s v="BC"/>
        <s v="NE"/>
        <s v="NW"/>
        <s v="SE"/>
        <s v="SW"/>
        <s v="LV"/>
      </sharedItems>
    </cacheField>
    <cacheField name="Species" numFmtId="0">
      <sharedItems/>
    </cacheField>
    <cacheField name="Total CX" numFmtId="0">
      <sharedItems containsSemiMixedTypes="0" containsString="0" containsNumber="1" containsInteger="1" minValue="1" maxValue="576"/>
    </cacheField>
    <cacheField name="Type" numFmtId="0">
      <sharedItems/>
    </cacheField>
    <cacheField name="Trap Number" numFmtId="0">
      <sharedItems/>
    </cacheField>
    <cacheField name="Cx tarsalis" numFmtId="0">
      <sharedItems containsSemiMixedTypes="0" containsString="0" containsNumber="1" containsInteger="1" minValue="0" maxValue="12"/>
    </cacheField>
    <cacheField name="Cx pipiens" numFmtId="0">
      <sharedItems containsSemiMixedTypes="0" containsString="0" containsNumber="1" containsInteger="1" minValue="0" maxValue="57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51.682032638892" createdVersion="6" refreshedVersion="6" minRefreshableVersion="3" recordCount="76" xr:uid="{A5A0458A-5C2A-4407-9DD3-0FF618E73DCE}">
  <cacheSource type="worksheet">
    <worksheetSource ref="A1:R77"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759" maxValue="26829"/>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21-09-06T00:00:00" maxDate="2021-09-09T00:00:00" count="3">
        <d v="2021-09-06T00:00:00"/>
        <d v="2021-09-07T00:00:00"/>
        <d v="2021-09-08T00:00:00"/>
      </sharedItems>
    </cacheField>
    <cacheField name="County" numFmtId="0">
      <sharedItems/>
    </cacheField>
    <cacheField name="Account" numFmtId="0">
      <sharedItems/>
    </cacheField>
    <cacheField name="Collection Site (Trap ID)" numFmtId="0">
      <sharedItems/>
    </cacheField>
    <cacheField name="Zone" numFmtId="0">
      <sharedItems count="6">
        <s v="BC"/>
        <s v="SE"/>
        <s v="NE"/>
        <s v="LV"/>
        <s v="NW"/>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47"/>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d v="2021-09-06T00:00:00"/>
    <s v="Boulder"/>
    <s v="Goose Creek"/>
    <x v="0"/>
    <s v="Culex tarsalis"/>
    <n v="3"/>
    <s v="CDC Light Trap"/>
    <s v="BC-04"/>
    <n v="3"/>
    <n v="0"/>
  </r>
  <r>
    <x v="0"/>
    <d v="2021-09-06T00:00:00"/>
    <s v="Boulder"/>
    <s v="S. Boulder Rec Center"/>
    <x v="0"/>
    <s v="Culex tarsalis"/>
    <n v="5"/>
    <s v="CDC Light Trap"/>
    <s v="BC-09"/>
    <n v="5"/>
    <n v="0"/>
  </r>
  <r>
    <x v="0"/>
    <d v="2021-09-06T00:00:00"/>
    <s v="Boulder"/>
    <s v="Sombrero Marsh"/>
    <x v="0"/>
    <s v="Culex tarsalis"/>
    <n v="7"/>
    <s v="CDC Light Trap"/>
    <s v="BC-15"/>
    <n v="7"/>
    <n v="0"/>
  </r>
  <r>
    <x v="0"/>
    <d v="2021-09-06T00:00:00"/>
    <s v="Boulder"/>
    <s v="Stazio Ball Fields"/>
    <x v="0"/>
    <s v="Culex tarsalis"/>
    <n v="3"/>
    <s v="CDC Light Trap"/>
    <s v="BC-17"/>
    <n v="3"/>
    <n v="0"/>
  </r>
  <r>
    <x v="0"/>
    <d v="2021-09-06T00:00:00"/>
    <s v="Boulder"/>
    <s v="Tom Watson"/>
    <x v="0"/>
    <s v="Culex tarsalis"/>
    <n v="8"/>
    <s v="CDC Light Trap"/>
    <s v="BC-19"/>
    <n v="8"/>
    <n v="0"/>
  </r>
  <r>
    <x v="0"/>
    <d v="2021-09-06T00:00:00"/>
    <s v="Fort Collins"/>
    <s v="422 Lake Dr"/>
    <x v="1"/>
    <s v="Culex tarsalis"/>
    <n v="2"/>
    <s v="CDC Light Trap"/>
    <s v="FC-072"/>
    <n v="2"/>
    <n v="0"/>
  </r>
  <r>
    <x v="0"/>
    <d v="2021-09-06T00:00:00"/>
    <s v="Fort Collins"/>
    <s v="Country Club"/>
    <x v="1"/>
    <s v="Culex tarsalis"/>
    <n v="2"/>
    <s v="CDC Light Trap"/>
    <s v="FC-034"/>
    <n v="2"/>
    <n v="0"/>
  </r>
  <r>
    <x v="0"/>
    <d v="2021-09-06T00:00:00"/>
    <s v="Fort Collins"/>
    <s v="Edora Park"/>
    <x v="1"/>
    <s v="Culex tarsalis"/>
    <n v="1"/>
    <s v="CDC Light Trap"/>
    <s v="FC-019"/>
    <n v="1"/>
    <n v="0"/>
  </r>
  <r>
    <x v="0"/>
    <d v="2021-09-06T00:00:00"/>
    <s v="Fort Collins"/>
    <s v="Edora Park"/>
    <x v="1"/>
    <s v="Culex pipiens"/>
    <n v="2"/>
    <s v="CDC Light Trap"/>
    <s v="FC-019"/>
    <n v="0"/>
    <n v="2"/>
  </r>
  <r>
    <x v="0"/>
    <d v="2021-09-06T00:00:00"/>
    <s v="Fort Collins"/>
    <s v="FC Visitor Center"/>
    <x v="1"/>
    <s v="Culex tarsalis"/>
    <n v="4"/>
    <s v="CDC Light Trap"/>
    <s v="FC-014"/>
    <n v="4"/>
    <n v="0"/>
  </r>
  <r>
    <x v="0"/>
    <d v="2021-09-06T00:00:00"/>
    <s v="Fort Collins"/>
    <s v="FC Visitor Center"/>
    <x v="1"/>
    <s v="Culex pipiens"/>
    <n v="81"/>
    <s v="CDC Light Trap"/>
    <s v="FC-014"/>
    <n v="0"/>
    <n v="81"/>
  </r>
  <r>
    <x v="0"/>
    <d v="2021-09-06T00:00:00"/>
    <s v="Fort Collins"/>
    <s v="Linden Lake Rd"/>
    <x v="1"/>
    <s v="Culex tarsalis"/>
    <n v="3"/>
    <s v="CDC Light Trap"/>
    <s v="FC-069"/>
    <n v="3"/>
    <n v="0"/>
  </r>
  <r>
    <x v="0"/>
    <d v="2021-09-06T00:00:00"/>
    <s v="Fort Collins"/>
    <s v="Lochside Lane"/>
    <x v="1"/>
    <s v="Culex tarsalis"/>
    <n v="2"/>
    <s v="CDC Light Trap"/>
    <s v="FC-038"/>
    <n v="2"/>
    <n v="0"/>
  </r>
  <r>
    <x v="0"/>
    <d v="2021-09-06T00:00:00"/>
    <s v="Fort Collins"/>
    <s v="Lochside Lane"/>
    <x v="1"/>
    <s v="Culex pipiens"/>
    <n v="4"/>
    <s v="CDC Light Trap"/>
    <s v="FC-038"/>
    <n v="0"/>
    <n v="4"/>
  </r>
  <r>
    <x v="0"/>
    <d v="2021-09-06T00:00:00"/>
    <s v="Fort Collins"/>
    <s v="Prospect Ponds"/>
    <x v="1"/>
    <s v="Culex pipiens"/>
    <n v="576"/>
    <s v="CDC Light Trap"/>
    <s v="FC-066"/>
    <n v="0"/>
    <n v="576"/>
  </r>
  <r>
    <x v="0"/>
    <d v="2021-09-06T00:00:00"/>
    <s v="Fort Collins"/>
    <s v="Redwood"/>
    <x v="1"/>
    <s v="Culex pipiens"/>
    <n v="2"/>
    <s v="CDC Light Trap"/>
    <s v="FC-040"/>
    <n v="0"/>
    <n v="2"/>
  </r>
  <r>
    <x v="0"/>
    <d v="2021-09-07T00:00:00"/>
    <s v="Fort Collins"/>
    <s v="118 S Grant "/>
    <x v="2"/>
    <s v="Culex tarsalis"/>
    <n v="1"/>
    <s v="CDC Light Trap"/>
    <s v="FC-073"/>
    <n v="1"/>
    <n v="0"/>
  </r>
  <r>
    <x v="0"/>
    <d v="2021-09-07T00:00:00"/>
    <s v="Fort Collins"/>
    <s v="118 S Grant "/>
    <x v="2"/>
    <s v="Culex pipiens"/>
    <n v="10"/>
    <s v="CDC Light Trap"/>
    <s v="FC-073"/>
    <n v="0"/>
    <n v="10"/>
  </r>
  <r>
    <x v="0"/>
    <d v="2021-09-07T00:00:00"/>
    <s v="Fort Collins"/>
    <s v="808 Ponderosa"/>
    <x v="2"/>
    <s v="Culex pipiens"/>
    <n v="3"/>
    <s v="CDC Light Trap"/>
    <s v="FC-060"/>
    <n v="0"/>
    <n v="3"/>
  </r>
  <r>
    <x v="0"/>
    <d v="2021-09-07T00:00:00"/>
    <s v="Fort Collins"/>
    <s v="Golden Current"/>
    <x v="2"/>
    <s v="Culex pipiens"/>
    <n v="1"/>
    <s v="CDC Light Trap"/>
    <s v="FC-011"/>
    <n v="0"/>
    <n v="1"/>
  </r>
  <r>
    <x v="0"/>
    <d v="2021-09-06T00:00:00"/>
    <s v="Fort Collins"/>
    <s v="Hemlock"/>
    <x v="2"/>
    <s v="Culex tarsalis"/>
    <n v="1"/>
    <s v="CDC Light Trap"/>
    <s v="FC-036 "/>
    <n v="1"/>
    <n v="0"/>
  </r>
  <r>
    <x v="0"/>
    <d v="2021-09-07T00:00:00"/>
    <s v="Fort Collins"/>
    <s v="Holley Plant Research Center"/>
    <x v="2"/>
    <s v="Culex tarsalis"/>
    <n v="3"/>
    <s v="CDC Light Trap"/>
    <s v="FC-061"/>
    <n v="3"/>
    <n v="0"/>
  </r>
  <r>
    <x v="0"/>
    <d v="2021-09-07T00:00:00"/>
    <s v="Fort Collins"/>
    <s v="Red Fox Meadows"/>
    <x v="2"/>
    <s v="Culex pipiens"/>
    <n v="2"/>
    <s v="CDC Light Trap"/>
    <s v="FC-063"/>
    <n v="0"/>
    <n v="2"/>
  </r>
  <r>
    <x v="0"/>
    <d v="2021-09-07T00:00:00"/>
    <s v="Fort Collins"/>
    <s v="Stuart and Dorset"/>
    <x v="2"/>
    <s v="Culex pipiens"/>
    <n v="2"/>
    <s v="CDC Light Trap"/>
    <s v="FC-015"/>
    <n v="0"/>
    <n v="2"/>
  </r>
  <r>
    <x v="0"/>
    <d v="2021-09-06T00:00:00"/>
    <s v="Fort Collins"/>
    <s v="Big Horn"/>
    <x v="3"/>
    <s v="Culex pipiens"/>
    <n v="14"/>
    <s v="CDC Light Trap"/>
    <s v="FC-004"/>
    <n v="0"/>
    <n v="14"/>
  </r>
  <r>
    <x v="0"/>
    <d v="2021-09-06T00:00:00"/>
    <s v="Fort Collins"/>
    <s v="Golden Meadows Ditch"/>
    <x v="3"/>
    <s v="Culex tarsalis"/>
    <n v="1"/>
    <s v="CDC Light Trap"/>
    <s v="FC-050"/>
    <n v="1"/>
    <n v="0"/>
  </r>
  <r>
    <x v="0"/>
    <d v="2021-09-06T00:00:00"/>
    <s v="Fort Collins"/>
    <s v="Golden Meadows Ditch"/>
    <x v="3"/>
    <s v="Culex pipiens"/>
    <n v="272"/>
    <s v="CDC Light Trap"/>
    <s v="FC-050"/>
    <n v="0"/>
    <n v="272"/>
  </r>
  <r>
    <x v="0"/>
    <d v="2021-09-06T00:00:00"/>
    <s v="Fort Collins"/>
    <s v="Rock Creek"/>
    <x v="3"/>
    <s v="Culex pipiens"/>
    <n v="3"/>
    <s v="CDC Light Trap"/>
    <s v="FC-074"/>
    <n v="0"/>
    <n v="3"/>
  </r>
  <r>
    <x v="0"/>
    <d v="2021-09-06T00:00:00"/>
    <s v="Fort Collins"/>
    <s v="Sage Creek North"/>
    <x v="3"/>
    <s v="Culex tarsalis"/>
    <n v="3"/>
    <s v="CDC Light Trap"/>
    <s v="FC-075"/>
    <n v="3"/>
    <n v="0"/>
  </r>
  <r>
    <x v="0"/>
    <d v="2021-09-06T00:00:00"/>
    <s v="Fort Collins"/>
    <s v="Sage Creek North"/>
    <x v="3"/>
    <s v="Culex pipiens"/>
    <n v="20"/>
    <s v="CDC Light Trap"/>
    <s v="FC-075"/>
    <n v="0"/>
    <n v="20"/>
  </r>
  <r>
    <x v="0"/>
    <d v="2021-09-06T00:00:00"/>
    <s v="Fort Collins"/>
    <s v="Springwood and Lochwood"/>
    <x v="3"/>
    <s v="Culex pipiens"/>
    <n v="29"/>
    <s v="CDC Light Trap"/>
    <s v="FC-059"/>
    <n v="0"/>
    <n v="29"/>
  </r>
  <r>
    <x v="0"/>
    <d v="2021-09-06T00:00:00"/>
    <s v="Fort Collins"/>
    <s v="West Chase"/>
    <x v="3"/>
    <s v="Culex pipiens"/>
    <n v="2"/>
    <s v="CDC Light Trap"/>
    <s v="FC-064"/>
    <n v="0"/>
    <n v="2"/>
  </r>
  <r>
    <x v="0"/>
    <d v="2021-09-06T00:00:00"/>
    <s v="Fort Collins"/>
    <s v="Westshore Ct"/>
    <x v="3"/>
    <s v="Culex tarsalis"/>
    <n v="3"/>
    <s v="CDC Light Trap"/>
    <s v="FC-046"/>
    <n v="3"/>
    <n v="0"/>
  </r>
  <r>
    <x v="0"/>
    <d v="2021-09-06T00:00:00"/>
    <s v="Fort Collins"/>
    <s v="Willow Springs"/>
    <x v="3"/>
    <s v="Culex tarsalis"/>
    <n v="3"/>
    <s v="CDC Light Trap"/>
    <s v="FC-031"/>
    <n v="3"/>
    <n v="0"/>
  </r>
  <r>
    <x v="0"/>
    <d v="2021-09-08T00:00:00"/>
    <s v="Fort Collins"/>
    <s v="5029 Crest Dr"/>
    <x v="4"/>
    <s v="Culex tarsalis"/>
    <n v="2"/>
    <s v="CDC Light Trap"/>
    <s v="FC-068"/>
    <n v="2"/>
    <n v="0"/>
  </r>
  <r>
    <x v="0"/>
    <d v="2021-09-08T00:00:00"/>
    <s v="Fort Collins"/>
    <s v="5029 Crest Dr"/>
    <x v="4"/>
    <s v="Culex pipiens"/>
    <n v="1"/>
    <s v="CDC Light Trap"/>
    <s v="FC-068"/>
    <n v="0"/>
    <n v="1"/>
  </r>
  <r>
    <x v="0"/>
    <d v="2021-09-08T00:00:00"/>
    <s v="Fort Collins"/>
    <s v="Chelsea Ridge"/>
    <x v="4"/>
    <s v="Culex tarsalis"/>
    <n v="1"/>
    <s v="CDC Light Trap"/>
    <s v="FC-037"/>
    <n v="1"/>
    <n v="0"/>
  </r>
  <r>
    <x v="0"/>
    <d v="2021-09-08T00:00:00"/>
    <s v="Fort Collins"/>
    <s v="Chelsea Ridge"/>
    <x v="4"/>
    <s v="Culex pipiens"/>
    <n v="1"/>
    <s v="CDC Light Trap"/>
    <s v="FC-037"/>
    <n v="0"/>
    <n v="1"/>
  </r>
  <r>
    <x v="0"/>
    <d v="2021-09-08T00:00:00"/>
    <s v="Fort Collins"/>
    <s v="Lopez Elementary"/>
    <x v="4"/>
    <s v="Culex tarsalis"/>
    <n v="1"/>
    <s v="CDC Light Trap"/>
    <s v="FC-093"/>
    <n v="1"/>
    <n v="0"/>
  </r>
  <r>
    <x v="0"/>
    <d v="2021-09-08T00:00:00"/>
    <s v="Fort Collins"/>
    <s v="Lopez Elementary"/>
    <x v="4"/>
    <s v="Culex pipiens"/>
    <n v="1"/>
    <s v="CDC Light Trap"/>
    <s v="FC-093"/>
    <n v="0"/>
    <n v="1"/>
  </r>
  <r>
    <x v="0"/>
    <d v="2021-09-08T00:00:00"/>
    <s v="Fort Collins"/>
    <s v="Magic Carpet"/>
    <x v="4"/>
    <s v="Culex pipiens"/>
    <n v="7"/>
    <s v="CDC Light Trap"/>
    <s v="FC-001"/>
    <n v="0"/>
    <n v="7"/>
  </r>
  <r>
    <x v="0"/>
    <d v="2021-09-08T00:00:00"/>
    <s v="Fort Collins"/>
    <s v="Magic Carpet"/>
    <x v="4"/>
    <s v="Culex tarsalis"/>
    <n v="1"/>
    <s v="CDC Light Trap"/>
    <s v="FC-001"/>
    <n v="1"/>
    <n v="0"/>
  </r>
  <r>
    <x v="0"/>
    <d v="2021-09-08T00:00:00"/>
    <s v="Fort Collins"/>
    <s v="Silvergate Rd"/>
    <x v="4"/>
    <s v="Culex pipiens"/>
    <n v="3"/>
    <s v="CDC Light Trap"/>
    <s v="FC-071"/>
    <n v="0"/>
    <n v="3"/>
  </r>
  <r>
    <x v="0"/>
    <d v="2021-09-07T00:00:00"/>
    <s v="Fort Collins"/>
    <s v="Spring Creek Trail-- Michener Dr"/>
    <x v="4"/>
    <s v="Culex tarsalis"/>
    <n v="2"/>
    <s v="CDC Light Trap"/>
    <s v="FC-058"/>
    <n v="2"/>
    <n v="0"/>
  </r>
  <r>
    <x v="0"/>
    <d v="2021-09-08T00:00:00"/>
    <s v="Fort Collins"/>
    <s v="Water's Edge at Blue Mesa"/>
    <x v="4"/>
    <s v="Culex pipiens"/>
    <n v="2"/>
    <s v="CDC Light Trap"/>
    <s v="FC-062"/>
    <n v="0"/>
    <n v="2"/>
  </r>
  <r>
    <x v="0"/>
    <d v="2021-09-07T00:00:00"/>
    <s v="Loveland"/>
    <s v="Cattail Pond"/>
    <x v="5"/>
    <s v="Culex tarsalis"/>
    <n v="3"/>
    <s v="CDC Light Trap"/>
    <s v="LV-020"/>
    <n v="3"/>
    <n v="0"/>
  </r>
  <r>
    <x v="0"/>
    <d v="2021-09-07T00:00:00"/>
    <s v="Loveland"/>
    <s v="Cattail Pond"/>
    <x v="5"/>
    <s v="Culex pipiens"/>
    <n v="1"/>
    <s v="CDC Light Trap"/>
    <s v="LV-020"/>
    <n v="0"/>
    <n v="1"/>
  </r>
  <r>
    <x v="0"/>
    <d v="2021-09-07T00:00:00"/>
    <s v="Loveland"/>
    <s v="7 Lakes Park"/>
    <x v="5"/>
    <s v="Culex tarsalis"/>
    <n v="1"/>
    <s v="CDC Light Trap"/>
    <s v="LV-078"/>
    <n v="1"/>
    <n v="0"/>
  </r>
  <r>
    <x v="0"/>
    <d v="2021-09-07T00:00:00"/>
    <s v="Loveland"/>
    <s v="9th and DesMoines"/>
    <x v="5"/>
    <s v="Culex tarsalis"/>
    <n v="5"/>
    <s v="CDC Light Trap"/>
    <s v="LV-089"/>
    <n v="5"/>
    <n v="0"/>
  </r>
  <r>
    <x v="0"/>
    <d v="2021-09-07T00:00:00"/>
    <s v="Loveland"/>
    <s v="915 S Boise"/>
    <x v="5"/>
    <s v="Culex pipiens"/>
    <n v="17"/>
    <s v="CDC Light Trap"/>
    <s v="LV-112"/>
    <n v="0"/>
    <n v="17"/>
  </r>
  <r>
    <x v="0"/>
    <d v="2021-09-07T00:00:00"/>
    <s v="Loveland"/>
    <s v="915 S Boise"/>
    <x v="5"/>
    <s v="Culex tarsalis"/>
    <n v="12"/>
    <s v="CDC Light Trap"/>
    <s v="LV-112"/>
    <n v="12"/>
    <n v="0"/>
  </r>
  <r>
    <x v="0"/>
    <d v="2021-09-07T00:00:00"/>
    <s v="Loveland"/>
    <s v="Jill Drive Pond"/>
    <x v="5"/>
    <s v="Culex pipiens"/>
    <n v="1"/>
    <s v="CDC Light Trap"/>
    <s v="LV-114"/>
    <n v="0"/>
    <n v="1"/>
  </r>
  <r>
    <x v="0"/>
    <d v="2021-09-07T00:00:00"/>
    <s v="Loveland"/>
    <s v="Jill Drive Pond"/>
    <x v="5"/>
    <s v="Culex tarsalis"/>
    <n v="3"/>
    <s v="CDC Light Trap"/>
    <s v="LV-114"/>
    <n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2021"/>
    <s v="BOU-00064"/>
    <s v="N/A"/>
    <x v="0"/>
    <x v="0"/>
    <s v="BC"/>
    <s v="BC"/>
    <s v="BC-19"/>
    <x v="0"/>
    <s v="L"/>
    <s v="Cx."/>
    <x v="0"/>
    <s v="F"/>
    <n v="0"/>
    <n v="8"/>
    <n v="8"/>
    <n v="0"/>
    <s v="Negative"/>
  </r>
  <r>
    <n v="2021"/>
    <s v="BOU-00065"/>
    <s v="N/A"/>
    <x v="0"/>
    <x v="0"/>
    <s v="BC"/>
    <s v="BC"/>
    <s v="BC-15"/>
    <x v="0"/>
    <s v="L"/>
    <s v="Cx."/>
    <x v="0"/>
    <s v="F"/>
    <n v="0"/>
    <n v="7"/>
    <n v="7"/>
    <n v="0"/>
    <s v="Negative"/>
  </r>
  <r>
    <n v="2021"/>
    <s v="BOU-00066"/>
    <s v="N/A"/>
    <x v="0"/>
    <x v="0"/>
    <s v="BC"/>
    <s v="BC"/>
    <s v="BC-17"/>
    <x v="0"/>
    <s v="L"/>
    <s v="Cx."/>
    <x v="0"/>
    <s v="F"/>
    <n v="0"/>
    <n v="3"/>
    <n v="3"/>
    <n v="0"/>
    <s v="Negative"/>
  </r>
  <r>
    <n v="2021"/>
    <s v="BOU-00067"/>
    <s v="N/A"/>
    <x v="0"/>
    <x v="0"/>
    <s v="BC"/>
    <s v="BC"/>
    <s v="BC-09"/>
    <x v="0"/>
    <s v="L"/>
    <s v="Cx."/>
    <x v="0"/>
    <s v="F"/>
    <n v="0"/>
    <n v="5"/>
    <n v="5"/>
    <n v="0"/>
    <s v="Negative"/>
  </r>
  <r>
    <n v="2021"/>
    <s v="BOU-00068"/>
    <s v="N/A"/>
    <x v="0"/>
    <x v="0"/>
    <s v="BC"/>
    <s v="BC"/>
    <s v="BC-04"/>
    <x v="0"/>
    <s v="L"/>
    <s v="Cx."/>
    <x v="0"/>
    <s v="F"/>
    <n v="0"/>
    <n v="3"/>
    <n v="3"/>
    <n v="0"/>
    <s v="Negative"/>
  </r>
  <r>
    <n v="2021"/>
    <s v="CSU-17153"/>
    <n v="26759"/>
    <x v="0"/>
    <x v="0"/>
    <s v="LC"/>
    <s v="FC"/>
    <s v="FC-088gr"/>
    <x v="1"/>
    <s v="G"/>
    <s v="Cx."/>
    <x v="1"/>
    <s v="F"/>
    <n v="26"/>
    <m/>
    <n v="26"/>
    <n v="1"/>
    <s v="Positive"/>
  </r>
  <r>
    <n v="2021"/>
    <s v="CSU-17155"/>
    <n v="26761"/>
    <x v="0"/>
    <x v="0"/>
    <s v="LC"/>
    <s v="FC"/>
    <s v="FC-075gr"/>
    <x v="1"/>
    <s v="G"/>
    <s v="Cx."/>
    <x v="1"/>
    <s v="F"/>
    <n v="19"/>
    <m/>
    <n v="19"/>
    <n v="0"/>
    <s v="Negative"/>
  </r>
  <r>
    <n v="2021"/>
    <s v="CSU-17157"/>
    <n v="26763"/>
    <x v="0"/>
    <x v="0"/>
    <s v="LC"/>
    <s v="FC"/>
    <s v="FC-075"/>
    <x v="1"/>
    <s v="L"/>
    <s v="Cx."/>
    <x v="1"/>
    <s v="F"/>
    <m/>
    <n v="20"/>
    <n v="20"/>
    <n v="0"/>
    <s v="Negative"/>
  </r>
  <r>
    <n v="2021"/>
    <s v="CSU-17159"/>
    <n v="26765"/>
    <x v="0"/>
    <x v="0"/>
    <s v="LC"/>
    <s v="FC"/>
    <s v="FC-064"/>
    <x v="1"/>
    <s v="L"/>
    <s v="Cx."/>
    <x v="1"/>
    <s v="F"/>
    <m/>
    <n v="2"/>
    <n v="2"/>
    <n v="0"/>
    <s v="Negative"/>
  </r>
  <r>
    <n v="2021"/>
    <s v="CSU-17160"/>
    <n v="26766"/>
    <x v="0"/>
    <x v="0"/>
    <s v="LC"/>
    <s v="FC"/>
    <s v="FC-059"/>
    <x v="1"/>
    <s v="L"/>
    <s v="Cx."/>
    <x v="1"/>
    <s v="F"/>
    <m/>
    <n v="29"/>
    <n v="29"/>
    <n v="0"/>
    <s v="Negative"/>
  </r>
  <r>
    <n v="2021"/>
    <s v="CSU-17161"/>
    <n v="26767"/>
    <x v="0"/>
    <x v="0"/>
    <s v="LC"/>
    <s v="FC"/>
    <s v="FC-074"/>
    <x v="1"/>
    <s v="L"/>
    <s v="Cx."/>
    <x v="1"/>
    <s v="F"/>
    <m/>
    <n v="3"/>
    <n v="3"/>
    <n v="0"/>
    <s v="Negative"/>
  </r>
  <r>
    <n v="2021"/>
    <s v="CSU-17163"/>
    <n v="26769"/>
    <x v="0"/>
    <x v="0"/>
    <s v="LC"/>
    <s v="FC"/>
    <s v="FC-050"/>
    <x v="1"/>
    <s v="L"/>
    <s v="Cx."/>
    <x v="1"/>
    <s v="F"/>
    <m/>
    <n v="50"/>
    <n v="50"/>
    <n v="0"/>
    <s v="Negative"/>
  </r>
  <r>
    <n v="2021"/>
    <s v="CSU-17164"/>
    <n v="26770"/>
    <x v="0"/>
    <x v="0"/>
    <s v="LC"/>
    <s v="FC"/>
    <s v="FC-050"/>
    <x v="1"/>
    <s v="L"/>
    <s v="Cx."/>
    <x v="1"/>
    <s v="F"/>
    <m/>
    <n v="50"/>
    <n v="50"/>
    <n v="0"/>
    <s v="Negative"/>
  </r>
  <r>
    <n v="2021"/>
    <s v="CSU-17165"/>
    <n v="26771"/>
    <x v="0"/>
    <x v="0"/>
    <s v="LC"/>
    <s v="FC"/>
    <s v="FC-050"/>
    <x v="1"/>
    <s v="L"/>
    <s v="Cx."/>
    <x v="1"/>
    <s v="F"/>
    <m/>
    <n v="50"/>
    <n v="50"/>
    <n v="0"/>
    <s v="Negative"/>
  </r>
  <r>
    <n v="2021"/>
    <s v="CSU-17166"/>
    <n v="26772"/>
    <x v="0"/>
    <x v="0"/>
    <s v="LC"/>
    <s v="FC"/>
    <s v="FC-050"/>
    <x v="1"/>
    <s v="L"/>
    <s v="Cx."/>
    <x v="1"/>
    <s v="F"/>
    <m/>
    <n v="50"/>
    <n v="50"/>
    <n v="0"/>
    <s v="Negative"/>
  </r>
  <r>
    <n v="2021"/>
    <s v="CSU-17167"/>
    <n v="26773"/>
    <x v="0"/>
    <x v="0"/>
    <s v="LC"/>
    <s v="FC"/>
    <s v="FC-050"/>
    <x v="1"/>
    <s v="L"/>
    <s v="Cx."/>
    <x v="1"/>
    <s v="F"/>
    <m/>
    <n v="50"/>
    <n v="50"/>
    <n v="0"/>
    <s v="Negative"/>
  </r>
  <r>
    <n v="2021"/>
    <s v="CSU-17168"/>
    <n v="26774"/>
    <x v="0"/>
    <x v="0"/>
    <s v="LC"/>
    <s v="FC"/>
    <s v="FC-050"/>
    <x v="1"/>
    <s v="L"/>
    <s v="Cx."/>
    <x v="1"/>
    <s v="F"/>
    <m/>
    <n v="22"/>
    <n v="22"/>
    <n v="1"/>
    <s v="Positive"/>
  </r>
  <r>
    <n v="2021"/>
    <s v="CSU-17169"/>
    <n v="26775"/>
    <x v="0"/>
    <x v="0"/>
    <s v="LC"/>
    <s v="FC"/>
    <s v="FC-004"/>
    <x v="1"/>
    <s v="L"/>
    <s v="Cx."/>
    <x v="1"/>
    <s v="F"/>
    <m/>
    <n v="14"/>
    <n v="14"/>
    <n v="0"/>
    <s v="Negative"/>
  </r>
  <r>
    <n v="2021"/>
    <s v="CSU-17171"/>
    <n v="26777"/>
    <x v="0"/>
    <x v="0"/>
    <s v="LC"/>
    <s v="FC"/>
    <s v="FC-038"/>
    <x v="2"/>
    <s v="L"/>
    <s v="Cx."/>
    <x v="1"/>
    <s v="F"/>
    <m/>
    <n v="4"/>
    <n v="4"/>
    <n v="0"/>
    <s v="Negative"/>
  </r>
  <r>
    <n v="2021"/>
    <s v="CSU-17172"/>
    <n v="26778"/>
    <x v="0"/>
    <x v="0"/>
    <s v="LC"/>
    <s v="FC"/>
    <s v="FC-092gr"/>
    <x v="2"/>
    <s v="G"/>
    <s v="Cx."/>
    <x v="1"/>
    <s v="F"/>
    <n v="20"/>
    <m/>
    <n v="20"/>
    <n v="0"/>
    <s v="Negative"/>
  </r>
  <r>
    <n v="2021"/>
    <s v="CSU-17175"/>
    <n v="26781"/>
    <x v="0"/>
    <x v="0"/>
    <s v="LC"/>
    <s v="FC"/>
    <s v="FC-040"/>
    <x v="2"/>
    <s v="L"/>
    <s v="Cx."/>
    <x v="1"/>
    <s v="F"/>
    <m/>
    <n v="2"/>
    <n v="2"/>
    <n v="0"/>
    <s v="Negative"/>
  </r>
  <r>
    <n v="2021"/>
    <s v="CSU-17179"/>
    <n v="26785"/>
    <x v="0"/>
    <x v="0"/>
    <s v="LC"/>
    <s v="FC"/>
    <s v="FC-091gr"/>
    <x v="2"/>
    <s v="G"/>
    <s v="Cx."/>
    <x v="1"/>
    <s v="F"/>
    <n v="4"/>
    <m/>
    <n v="4"/>
    <n v="0"/>
    <s v="Negative"/>
  </r>
  <r>
    <n v="2021"/>
    <s v="CSU-17180"/>
    <n v="26786"/>
    <x v="0"/>
    <x v="0"/>
    <s v="LC"/>
    <s v="FC"/>
    <s v="FC-040gr"/>
    <x v="2"/>
    <s v="G"/>
    <s v="Cx."/>
    <x v="1"/>
    <s v="F"/>
    <n v="7"/>
    <m/>
    <n v="7"/>
    <n v="0"/>
    <s v="Negative"/>
  </r>
  <r>
    <n v="2021"/>
    <s v="CSU-17181"/>
    <n v="26787"/>
    <x v="0"/>
    <x v="0"/>
    <s v="LC"/>
    <s v="FC"/>
    <s v="FC-066gr"/>
    <x v="2"/>
    <s v="G"/>
    <s v="Cx."/>
    <x v="1"/>
    <s v="F"/>
    <n v="4"/>
    <m/>
    <n v="4"/>
    <n v="0"/>
    <s v="Negative"/>
  </r>
  <r>
    <n v="2021"/>
    <s v="CSU-17183"/>
    <n v="26789"/>
    <x v="0"/>
    <x v="0"/>
    <s v="LC"/>
    <s v="FC"/>
    <s v="FC-019"/>
    <x v="2"/>
    <s v="L"/>
    <s v="Cx."/>
    <x v="1"/>
    <s v="F"/>
    <m/>
    <n v="2"/>
    <n v="2"/>
    <n v="0"/>
    <s v="Negative"/>
  </r>
  <r>
    <n v="2021"/>
    <s v="CSU-17185"/>
    <n v="26791"/>
    <x v="0"/>
    <x v="0"/>
    <s v="LC"/>
    <s v="FC"/>
    <s v="FC-014"/>
    <x v="2"/>
    <s v="L"/>
    <s v="Cx."/>
    <x v="1"/>
    <s v="F"/>
    <m/>
    <n v="50"/>
    <n v="50"/>
    <n v="0"/>
    <s v="Negative"/>
  </r>
  <r>
    <n v="2021"/>
    <s v="CSU-17186"/>
    <n v="26792"/>
    <x v="0"/>
    <x v="0"/>
    <s v="LC"/>
    <s v="FC"/>
    <s v="FC-014"/>
    <x v="2"/>
    <s v="L"/>
    <s v="Cx."/>
    <x v="1"/>
    <s v="F"/>
    <m/>
    <n v="31"/>
    <n v="31"/>
    <n v="0"/>
    <s v="Negative"/>
  </r>
  <r>
    <n v="2021"/>
    <s v="CSU-17187"/>
    <n v="26793"/>
    <x v="0"/>
    <x v="0"/>
    <s v="LC"/>
    <s v="FC"/>
    <s v="FC-066"/>
    <x v="2"/>
    <s v="L"/>
    <s v="Cx."/>
    <x v="1"/>
    <s v="F"/>
    <m/>
    <n v="50"/>
    <n v="50"/>
    <n v="0"/>
    <s v="Negative"/>
  </r>
  <r>
    <n v="2021"/>
    <s v="CSU-17188"/>
    <n v="26794"/>
    <x v="0"/>
    <x v="0"/>
    <s v="LC"/>
    <s v="FC"/>
    <s v="FC-066"/>
    <x v="2"/>
    <s v="L"/>
    <s v="Cx."/>
    <x v="1"/>
    <s v="F"/>
    <m/>
    <n v="50"/>
    <n v="50"/>
    <n v="0"/>
    <s v="Negative"/>
  </r>
  <r>
    <n v="2021"/>
    <s v="CSU-17189"/>
    <n v="26795"/>
    <x v="0"/>
    <x v="0"/>
    <s v="LC"/>
    <s v="FC"/>
    <s v="FC-066"/>
    <x v="2"/>
    <s v="L"/>
    <s v="Cx."/>
    <x v="1"/>
    <s v="F"/>
    <m/>
    <n v="50"/>
    <n v="50"/>
    <n v="0"/>
    <s v="Negative"/>
  </r>
  <r>
    <n v="2021"/>
    <s v="CSU-17190"/>
    <n v="26796"/>
    <x v="0"/>
    <x v="0"/>
    <s v="LC"/>
    <s v="FC"/>
    <s v="FC-066"/>
    <x v="2"/>
    <s v="L"/>
    <s v="Cx."/>
    <x v="1"/>
    <s v="F"/>
    <m/>
    <n v="50"/>
    <n v="50"/>
    <n v="0"/>
    <s v="Negative"/>
  </r>
  <r>
    <n v="2021"/>
    <s v="CSU-17191"/>
    <n v="26797"/>
    <x v="0"/>
    <x v="0"/>
    <s v="LC"/>
    <s v="FC"/>
    <s v="FC-066"/>
    <x v="2"/>
    <s v="L"/>
    <s v="Cx."/>
    <x v="1"/>
    <s v="F"/>
    <m/>
    <n v="50"/>
    <n v="50"/>
    <n v="0"/>
    <s v="Negative"/>
  </r>
  <r>
    <n v="2021"/>
    <s v="CSU-17192"/>
    <n v="26798"/>
    <x v="0"/>
    <x v="0"/>
    <s v="LC"/>
    <s v="FC"/>
    <s v="FC-066"/>
    <x v="2"/>
    <s v="L"/>
    <s v="Cx."/>
    <x v="1"/>
    <s v="F"/>
    <m/>
    <n v="50"/>
    <n v="50"/>
    <n v="0"/>
    <s v="Negative"/>
  </r>
  <r>
    <n v="2021"/>
    <s v="CSU-17193"/>
    <n v="26799"/>
    <x v="0"/>
    <x v="0"/>
    <s v="LC"/>
    <s v="FC"/>
    <s v="FC-066"/>
    <x v="2"/>
    <s v="L"/>
    <s v="Cx."/>
    <x v="1"/>
    <s v="F"/>
    <m/>
    <n v="50"/>
    <n v="50"/>
    <n v="0"/>
    <s v="Negative"/>
  </r>
  <r>
    <n v="2021"/>
    <s v="CSU-17194"/>
    <n v="26800"/>
    <x v="0"/>
    <x v="0"/>
    <s v="LC"/>
    <s v="FC"/>
    <s v="FC-066"/>
    <x v="2"/>
    <s v="L"/>
    <s v="Cx."/>
    <x v="1"/>
    <s v="F"/>
    <m/>
    <n v="50"/>
    <n v="50"/>
    <n v="0"/>
    <s v="Negative"/>
  </r>
  <r>
    <n v="2021"/>
    <s v="CSU-17195"/>
    <n v="26801"/>
    <x v="0"/>
    <x v="0"/>
    <s v="LC"/>
    <s v="FC"/>
    <s v="FC-066"/>
    <x v="2"/>
    <s v="L"/>
    <s v="Cx."/>
    <x v="1"/>
    <s v="F"/>
    <m/>
    <n v="50"/>
    <n v="50"/>
    <n v="0"/>
    <s v="Negative"/>
  </r>
  <r>
    <n v="2021"/>
    <s v="CSU-17196"/>
    <n v="26802"/>
    <x v="0"/>
    <x v="0"/>
    <s v="LC"/>
    <s v="FC"/>
    <s v="FC-066"/>
    <x v="2"/>
    <s v="L"/>
    <s v="Cx."/>
    <x v="1"/>
    <s v="F"/>
    <m/>
    <n v="50"/>
    <n v="50"/>
    <n v="0"/>
    <s v="Negative"/>
  </r>
  <r>
    <n v="2021"/>
    <s v="CSU-17197"/>
    <n v="26803"/>
    <x v="0"/>
    <x v="0"/>
    <s v="LC"/>
    <s v="FC"/>
    <s v="FC-066"/>
    <x v="2"/>
    <s v="L"/>
    <s v="Cx."/>
    <x v="1"/>
    <s v="F"/>
    <m/>
    <n v="50"/>
    <n v="50"/>
    <n v="0"/>
    <s v="Negative"/>
  </r>
  <r>
    <n v="2021"/>
    <s v="CSU-17198"/>
    <n v="26804"/>
    <x v="0"/>
    <x v="0"/>
    <s v="LC"/>
    <s v="FC"/>
    <s v="FC-066"/>
    <x v="2"/>
    <s v="L"/>
    <s v="Cx."/>
    <x v="1"/>
    <s v="F"/>
    <m/>
    <n v="26"/>
    <n v="26"/>
    <n v="0"/>
    <s v="Negative"/>
  </r>
  <r>
    <n v="2021"/>
    <s v="CSU-17201"/>
    <n v="26807"/>
    <x v="0"/>
    <x v="1"/>
    <s v="LC"/>
    <s v="FC"/>
    <s v="LV-020"/>
    <x v="3"/>
    <s v="L"/>
    <s v="Cx."/>
    <x v="1"/>
    <s v="F"/>
    <m/>
    <n v="1"/>
    <n v="1"/>
    <n v="0"/>
    <s v="Negative"/>
  </r>
  <r>
    <n v="2021"/>
    <s v="CSU-17204"/>
    <n v="26810"/>
    <x v="0"/>
    <x v="1"/>
    <s v="LC"/>
    <s v="FC"/>
    <s v="FC-073"/>
    <x v="4"/>
    <s v="L"/>
    <s v="Cx."/>
    <x v="1"/>
    <s v="F"/>
    <m/>
    <n v="10"/>
    <n v="10"/>
    <n v="0"/>
    <s v="Negative"/>
  </r>
  <r>
    <n v="2021"/>
    <s v="CSU-17205"/>
    <n v="26811"/>
    <x v="0"/>
    <x v="1"/>
    <s v="LC"/>
    <s v="FC"/>
    <s v="FC-090gr"/>
    <x v="4"/>
    <s v="G"/>
    <s v="Cx."/>
    <x v="1"/>
    <s v="F"/>
    <n v="17"/>
    <m/>
    <n v="17"/>
    <n v="0"/>
    <s v="Negative"/>
  </r>
  <r>
    <n v="2021"/>
    <s v="CSU-17206"/>
    <n v="26812"/>
    <x v="0"/>
    <x v="1"/>
    <s v="LC"/>
    <s v="FC"/>
    <s v="FC-011"/>
    <x v="4"/>
    <s v="L"/>
    <s v="Cx."/>
    <x v="1"/>
    <s v="F"/>
    <m/>
    <n v="1"/>
    <n v="1"/>
    <n v="0"/>
    <s v="Negative"/>
  </r>
  <r>
    <n v="2021"/>
    <s v="CSU-17207"/>
    <n v="26813"/>
    <x v="0"/>
    <x v="1"/>
    <s v="LC"/>
    <s v="FC"/>
    <s v="FC-060"/>
    <x v="4"/>
    <s v="L"/>
    <s v="Cx."/>
    <x v="1"/>
    <s v="F"/>
    <m/>
    <n v="3"/>
    <n v="3"/>
    <n v="0"/>
    <s v="Negative"/>
  </r>
  <r>
    <n v="2021"/>
    <s v="CSU-17208"/>
    <n v="26814"/>
    <x v="0"/>
    <x v="1"/>
    <s v="LC"/>
    <s v="FC"/>
    <s v="FC-063"/>
    <x v="4"/>
    <s v="L"/>
    <s v="Cx."/>
    <x v="1"/>
    <s v="F"/>
    <m/>
    <n v="2"/>
    <n v="2"/>
    <n v="0"/>
    <s v="Negative"/>
  </r>
  <r>
    <n v="2021"/>
    <s v="CSU-17209"/>
    <n v="26815"/>
    <x v="0"/>
    <x v="1"/>
    <s v="LC"/>
    <s v="FC"/>
    <s v="FC-063gr"/>
    <x v="4"/>
    <s v="G"/>
    <s v="Cx."/>
    <x v="1"/>
    <s v="F"/>
    <n v="35"/>
    <m/>
    <n v="35"/>
    <n v="1"/>
    <s v="Positive"/>
  </r>
  <r>
    <n v="2021"/>
    <s v="CSU-17210"/>
    <n v="26816"/>
    <x v="0"/>
    <x v="1"/>
    <s v="LC"/>
    <s v="FC"/>
    <s v="FC-015"/>
    <x v="4"/>
    <s v="L"/>
    <s v="Cx."/>
    <x v="1"/>
    <s v="F"/>
    <m/>
    <n v="2"/>
    <n v="2"/>
    <n v="0"/>
    <s v="Negative"/>
  </r>
  <r>
    <n v="2021"/>
    <s v="CSU-17213"/>
    <n v="26819"/>
    <x v="0"/>
    <x v="2"/>
    <s v="LC"/>
    <s v="FC"/>
    <s v="FC-001"/>
    <x v="5"/>
    <s v="L"/>
    <s v="Cx."/>
    <x v="1"/>
    <s v="F"/>
    <m/>
    <n v="7"/>
    <n v="7"/>
    <n v="0"/>
    <s v="Negative"/>
  </r>
  <r>
    <n v="2021"/>
    <s v="CSU-17215"/>
    <n v="26821"/>
    <x v="0"/>
    <x v="2"/>
    <s v="LC"/>
    <s v="FC"/>
    <s v="FC-068"/>
    <x v="5"/>
    <s v="L"/>
    <s v="Cx."/>
    <x v="1"/>
    <s v="F"/>
    <m/>
    <n v="1"/>
    <n v="1"/>
    <n v="0"/>
    <s v="Negative"/>
  </r>
  <r>
    <n v="2021"/>
    <s v="CSU-17216"/>
    <n v="26822"/>
    <x v="0"/>
    <x v="2"/>
    <s v="LC"/>
    <s v="FC"/>
    <s v="FC-029gr"/>
    <x v="1"/>
    <s v="G"/>
    <s v="Cx."/>
    <x v="1"/>
    <s v="F"/>
    <n v="47"/>
    <m/>
    <n v="47"/>
    <n v="1"/>
    <s v="Positive"/>
  </r>
  <r>
    <n v="2021"/>
    <s v="CSU-17217"/>
    <n v="26823"/>
    <x v="0"/>
    <x v="2"/>
    <s v="LC"/>
    <s v="FC"/>
    <s v="FC-062"/>
    <x v="5"/>
    <s v="L"/>
    <s v="Cx."/>
    <x v="1"/>
    <s v="F"/>
    <m/>
    <n v="2"/>
    <n v="2"/>
    <n v="0"/>
    <s v="Negative"/>
  </r>
  <r>
    <n v="2021"/>
    <s v="CSU-17219"/>
    <n v="26825"/>
    <x v="0"/>
    <x v="2"/>
    <s v="LC"/>
    <s v="FC"/>
    <s v="FC-093"/>
    <x v="5"/>
    <s v="L"/>
    <s v="Cx."/>
    <x v="1"/>
    <s v="F"/>
    <m/>
    <n v="1"/>
    <n v="1"/>
    <n v="0"/>
    <s v="Negative"/>
  </r>
  <r>
    <n v="2021"/>
    <s v="CSU-17220"/>
    <n v="26826"/>
    <x v="0"/>
    <x v="2"/>
    <s v="LC"/>
    <s v="FC"/>
    <s v="FC-071"/>
    <x v="5"/>
    <s v="L"/>
    <s v="Cx."/>
    <x v="1"/>
    <s v="F"/>
    <m/>
    <n v="3"/>
    <n v="3"/>
    <n v="0"/>
    <s v="Negative"/>
  </r>
  <r>
    <n v="2021"/>
    <s v="CSU-17221"/>
    <n v="26827"/>
    <x v="0"/>
    <x v="2"/>
    <s v="LC"/>
    <s v="FC"/>
    <s v="FC-089gr"/>
    <x v="5"/>
    <s v="G"/>
    <s v="Cx."/>
    <x v="1"/>
    <s v="F"/>
    <n v="29"/>
    <m/>
    <n v="29"/>
    <n v="1"/>
    <s v="Positive"/>
  </r>
  <r>
    <n v="2021"/>
    <s v="CSU-17223"/>
    <n v="26829"/>
    <x v="0"/>
    <x v="2"/>
    <s v="LC"/>
    <s v="FC"/>
    <s v="FC-037"/>
    <x v="5"/>
    <s v="L"/>
    <s v="Cx."/>
    <x v="1"/>
    <s v="F"/>
    <m/>
    <n v="1"/>
    <n v="1"/>
    <n v="0"/>
    <s v="Negative"/>
  </r>
  <r>
    <n v="2021"/>
    <s v="CSU-17154"/>
    <n v="26760"/>
    <x v="0"/>
    <x v="0"/>
    <s v="LC"/>
    <s v="FC"/>
    <s v="FC-046"/>
    <x v="1"/>
    <s v="L"/>
    <s v="Cx."/>
    <x v="0"/>
    <s v="F"/>
    <m/>
    <n v="3"/>
    <n v="3"/>
    <n v="0"/>
    <s v="Negative"/>
  </r>
  <r>
    <n v="2021"/>
    <s v="CSU-17156"/>
    <n v="26762"/>
    <x v="0"/>
    <x v="0"/>
    <s v="LC"/>
    <s v="FC"/>
    <s v="FC-075"/>
    <x v="1"/>
    <s v="L"/>
    <s v="Cx."/>
    <x v="0"/>
    <s v="F"/>
    <m/>
    <n v="3"/>
    <n v="3"/>
    <n v="0"/>
    <s v="Negative"/>
  </r>
  <r>
    <n v="2021"/>
    <s v="CSU-17158"/>
    <n v="26764"/>
    <x v="0"/>
    <x v="0"/>
    <s v="LC"/>
    <s v="FC"/>
    <s v="FC-031"/>
    <x v="1"/>
    <s v="L"/>
    <s v="Cx."/>
    <x v="0"/>
    <s v="F"/>
    <m/>
    <n v="3"/>
    <n v="3"/>
    <n v="0"/>
    <s v="Negative"/>
  </r>
  <r>
    <n v="2021"/>
    <s v="CSU-17162"/>
    <n v="26768"/>
    <x v="0"/>
    <x v="0"/>
    <s v="LC"/>
    <s v="FC"/>
    <s v="FC-050"/>
    <x v="1"/>
    <s v="L"/>
    <s v="Cx."/>
    <x v="0"/>
    <s v="F"/>
    <m/>
    <n v="1"/>
    <n v="1"/>
    <n v="0"/>
    <s v="Negative"/>
  </r>
  <r>
    <n v="2021"/>
    <s v="CSU-17170"/>
    <n v="26776"/>
    <x v="0"/>
    <x v="0"/>
    <s v="LC"/>
    <s v="FC"/>
    <s v="FC-038"/>
    <x v="2"/>
    <s v="L"/>
    <s v="Cx."/>
    <x v="0"/>
    <s v="F"/>
    <m/>
    <n v="2"/>
    <n v="2"/>
    <n v="0"/>
    <s v="Negative"/>
  </r>
  <r>
    <n v="2021"/>
    <s v="CSU-17173"/>
    <n v="26779"/>
    <x v="0"/>
    <x v="0"/>
    <s v="LC"/>
    <s v="FC"/>
    <s v="FC-069"/>
    <x v="2"/>
    <s v="L"/>
    <s v="Cx."/>
    <x v="0"/>
    <s v="F"/>
    <m/>
    <n v="3"/>
    <n v="3"/>
    <n v="0"/>
    <s v="Negative"/>
  </r>
  <r>
    <n v="2021"/>
    <s v="CSU-17174"/>
    <n v="26780"/>
    <x v="0"/>
    <x v="0"/>
    <s v="LC"/>
    <s v="FC"/>
    <s v="FC-034"/>
    <x v="2"/>
    <s v="L"/>
    <s v="Cx."/>
    <x v="0"/>
    <s v="F"/>
    <m/>
    <n v="2"/>
    <n v="2"/>
    <n v="0"/>
    <s v="Negative"/>
  </r>
  <r>
    <n v="2021"/>
    <s v="CSU-17176"/>
    <n v="26782"/>
    <x v="0"/>
    <x v="0"/>
    <s v="LC"/>
    <s v="FC"/>
    <s v="FC-036"/>
    <x v="4"/>
    <s v="L"/>
    <s v="Cx."/>
    <x v="0"/>
    <s v="F"/>
    <m/>
    <n v="1"/>
    <n v="1"/>
    <n v="0"/>
    <s v="Negative"/>
  </r>
  <r>
    <n v="2021"/>
    <s v="CSU-17177"/>
    <n v="26783"/>
    <x v="0"/>
    <x v="0"/>
    <s v="LC"/>
    <s v="FC"/>
    <s v="FC-072"/>
    <x v="2"/>
    <s v="L"/>
    <s v="Cx."/>
    <x v="0"/>
    <s v="F"/>
    <m/>
    <n v="2"/>
    <n v="2"/>
    <n v="0"/>
    <s v="Negative"/>
  </r>
  <r>
    <n v="2021"/>
    <s v="CSU-17178"/>
    <n v="26784"/>
    <x v="0"/>
    <x v="0"/>
    <s v="LC"/>
    <s v="FC"/>
    <s v="FC-091gr"/>
    <x v="2"/>
    <s v="G"/>
    <s v="Cx."/>
    <x v="0"/>
    <s v="F"/>
    <n v="1"/>
    <m/>
    <n v="1"/>
    <n v="0"/>
    <s v="Negative"/>
  </r>
  <r>
    <n v="2021"/>
    <s v="CSU-17182"/>
    <n v="26788"/>
    <x v="0"/>
    <x v="0"/>
    <s v="LC"/>
    <s v="FC"/>
    <s v="FC-019"/>
    <x v="2"/>
    <s v="L"/>
    <s v="Cx."/>
    <x v="0"/>
    <s v="F"/>
    <m/>
    <n v="1"/>
    <n v="1"/>
    <n v="0"/>
    <s v="Negative"/>
  </r>
  <r>
    <n v="2021"/>
    <s v="CSU-17184"/>
    <n v="26790"/>
    <x v="0"/>
    <x v="0"/>
    <s v="LC"/>
    <s v="FC"/>
    <s v="FC-014"/>
    <x v="2"/>
    <s v="L"/>
    <s v="Cx."/>
    <x v="0"/>
    <s v="F"/>
    <m/>
    <n v="4"/>
    <n v="4"/>
    <n v="0"/>
    <s v="Negative"/>
  </r>
  <r>
    <n v="2021"/>
    <s v="CSU-17202"/>
    <n v="26808"/>
    <x v="0"/>
    <x v="1"/>
    <s v="LC"/>
    <s v="FC"/>
    <s v="FC-061"/>
    <x v="4"/>
    <s v="L"/>
    <s v="Cx."/>
    <x v="0"/>
    <s v="F"/>
    <m/>
    <n v="3"/>
    <n v="3"/>
    <n v="0"/>
    <s v="Negative"/>
  </r>
  <r>
    <n v="2021"/>
    <s v="CSU-17203"/>
    <n v="26809"/>
    <x v="0"/>
    <x v="1"/>
    <s v="LC"/>
    <s v="FC"/>
    <s v="FC-073"/>
    <x v="4"/>
    <s v="L"/>
    <s v="Cx."/>
    <x v="0"/>
    <s v="F"/>
    <m/>
    <n v="1"/>
    <n v="1"/>
    <n v="0"/>
    <s v="Negative"/>
  </r>
  <r>
    <n v="2021"/>
    <s v="CSU-17211"/>
    <n v="26817"/>
    <x v="0"/>
    <x v="1"/>
    <s v="LC"/>
    <s v="FC"/>
    <s v="FC-058"/>
    <x v="5"/>
    <s v="L"/>
    <s v="Cx."/>
    <x v="0"/>
    <s v="F"/>
    <m/>
    <n v="2"/>
    <n v="2"/>
    <n v="0"/>
    <s v="Negative"/>
  </r>
  <r>
    <n v="2021"/>
    <s v="CSU-17212"/>
    <n v="26818"/>
    <x v="0"/>
    <x v="2"/>
    <s v="LC"/>
    <s v="FC"/>
    <s v="FC-001"/>
    <x v="5"/>
    <s v="L"/>
    <s v="Cx."/>
    <x v="0"/>
    <s v="F"/>
    <m/>
    <n v="1"/>
    <n v="1"/>
    <n v="0"/>
    <s v="Negative"/>
  </r>
  <r>
    <n v="2021"/>
    <s v="CSU-17214"/>
    <n v="26820"/>
    <x v="0"/>
    <x v="2"/>
    <s v="LC"/>
    <s v="FC"/>
    <s v="FC-068"/>
    <x v="5"/>
    <s v="L"/>
    <s v="Cx."/>
    <x v="0"/>
    <s v="F"/>
    <m/>
    <n v="2"/>
    <n v="2"/>
    <n v="0"/>
    <s v="Negative"/>
  </r>
  <r>
    <n v="2021"/>
    <s v="CSU-17218"/>
    <n v="26824"/>
    <x v="0"/>
    <x v="2"/>
    <s v="LC"/>
    <s v="FC"/>
    <s v="FC-093"/>
    <x v="5"/>
    <s v="L"/>
    <s v="Cx."/>
    <x v="0"/>
    <s v="F"/>
    <m/>
    <n v="1"/>
    <n v="1"/>
    <n v="0"/>
    <s v="Negative"/>
  </r>
  <r>
    <n v="2021"/>
    <s v="CSU-17222"/>
    <n v="26828"/>
    <x v="0"/>
    <x v="2"/>
    <s v="LC"/>
    <s v="FC"/>
    <s v="FC-037"/>
    <x v="5"/>
    <s v="L"/>
    <s v="Cx."/>
    <x v="0"/>
    <s v="F"/>
    <m/>
    <n v="1"/>
    <n v="1"/>
    <n v="0"/>
    <s v="Negative"/>
  </r>
  <r>
    <n v="2021"/>
    <s v="CSU-17199"/>
    <n v="26805"/>
    <x v="0"/>
    <x v="1"/>
    <s v="LC"/>
    <s v="LV"/>
    <s v="LV-089"/>
    <x v="3"/>
    <s v="L"/>
    <s v="Cx."/>
    <x v="0"/>
    <s v="F"/>
    <m/>
    <n v="5"/>
    <n v="5"/>
    <n v="1"/>
    <s v="Positive"/>
  </r>
  <r>
    <n v="2021"/>
    <s v="CSU-17200"/>
    <n v="26806"/>
    <x v="0"/>
    <x v="1"/>
    <s v="LC"/>
    <s v="LV"/>
    <s v="LV-020"/>
    <x v="3"/>
    <s v="L"/>
    <s v="Cx."/>
    <x v="0"/>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75B00-AF64-4A2D-9622-251A4B8B0011}" name="PivotTable3" cacheId="55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7">
        <item x="0"/>
        <item x="1"/>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4D55E-90BE-44A1-9E39-ED1D7DD60348}" name="PivotTable1" cacheId="55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3"/>
        <item x="0"/>
        <item x="2"/>
        <item x="4"/>
        <item x="1"/>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A2743-A828-44AA-B643-9E5E2FA1BC8E}" name="PivotTable4" cacheId="55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3"/>
        <item x="0"/>
        <item x="2"/>
        <item x="4"/>
        <item x="1"/>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02655B-240F-4F22-AD32-382EE00ACAA0}" name="PivotTable1" cacheId="55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7">
        <item x="3"/>
        <item x="0"/>
        <item x="2"/>
        <item x="4"/>
        <item x="1"/>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A9" sqref="A9"/>
    </sheetView>
  </sheetViews>
  <sheetFormatPr defaultRowHeight="1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c r="A1" s="32" t="s">
        <v>264</v>
      </c>
      <c r="G1" s="98" t="s">
        <v>265</v>
      </c>
      <c r="H1" s="98"/>
    </row>
    <row r="2" spans="1:10">
      <c r="A2" s="2" t="s">
        <v>13</v>
      </c>
      <c r="B2" t="s">
        <v>257</v>
      </c>
    </row>
    <row r="4" spans="1:10">
      <c r="A4" s="2" t="s">
        <v>272</v>
      </c>
      <c r="B4" s="2" t="s">
        <v>267</v>
      </c>
      <c r="G4" s="23" t="s">
        <v>272</v>
      </c>
      <c r="H4" s="23" t="s">
        <v>267</v>
      </c>
      <c r="I4" s="23"/>
      <c r="J4" s="23"/>
    </row>
    <row r="5" spans="1:10">
      <c r="A5" s="2" t="s">
        <v>258</v>
      </c>
      <c r="B5" t="s">
        <v>268</v>
      </c>
      <c r="C5" t="s">
        <v>269</v>
      </c>
      <c r="D5" t="s">
        <v>263</v>
      </c>
      <c r="G5" s="24" t="s">
        <v>258</v>
      </c>
      <c r="H5" s="24" t="s">
        <v>270</v>
      </c>
      <c r="I5" s="24" t="s">
        <v>271</v>
      </c>
      <c r="J5" s="24" t="s">
        <v>263</v>
      </c>
    </row>
    <row r="6" spans="1:10">
      <c r="A6" s="1" t="s">
        <v>134</v>
      </c>
      <c r="B6">
        <v>2</v>
      </c>
      <c r="C6">
        <v>1</v>
      </c>
      <c r="D6">
        <v>3</v>
      </c>
      <c r="G6" s="1" t="s">
        <v>134</v>
      </c>
      <c r="H6">
        <f>GETPIVOTDATA("CSU Pool Number     (CMC enters)",$A$4,"Zone","LV","Spp","pipiens")</f>
        <v>1</v>
      </c>
      <c r="I6">
        <f>GETPIVOTDATA("CSU Pool Number     (CMC enters)",$A$4,"Zone","LV","Spp","tarsalis")</f>
        <v>2</v>
      </c>
      <c r="J6">
        <f>GETPIVOTDATA("CSU Pool Number     (CMC enters)",$A$4,"Zone","LV")</f>
        <v>3</v>
      </c>
    </row>
    <row r="7" spans="1:10">
      <c r="A7" s="1" t="s">
        <v>33</v>
      </c>
      <c r="B7">
        <v>5</v>
      </c>
      <c r="D7">
        <v>5</v>
      </c>
      <c r="G7" s="1" t="s">
        <v>88</v>
      </c>
      <c r="H7">
        <f>GETPIVOTDATA("CSU Pool Number     (CMC enters)",$A$4,"Zone","NE","Spp","pipiens")</f>
        <v>21</v>
      </c>
      <c r="I7">
        <f>GETPIVOTDATA("CSU Pool Number     (CMC enters)",$A$4,"Zone","NE","Spp","tarsalis")</f>
        <v>7</v>
      </c>
      <c r="J7">
        <f>GETPIVOTDATA("CSU Pool Number     (CMC enters)",$A$4,"Zone","NE")</f>
        <v>28</v>
      </c>
    </row>
    <row r="8" spans="1:10">
      <c r="A8" s="1" t="s">
        <v>88</v>
      </c>
      <c r="B8">
        <v>7</v>
      </c>
      <c r="C8">
        <v>21</v>
      </c>
      <c r="D8">
        <v>28</v>
      </c>
      <c r="G8" s="1" t="s">
        <v>102</v>
      </c>
      <c r="H8">
        <f>GETPIVOTDATA("CSU Pool Number     (CMC enters)",$A$4,"Zone","NW","Spp","pipiens")</f>
        <v>7</v>
      </c>
      <c r="I8">
        <f>GETPIVOTDATA("CSU Pool Number     (CMC enters)",$A$4,"Zone","NW","Spp","tarsalis")</f>
        <v>3</v>
      </c>
      <c r="J8">
        <f>GETPIVOTDATA("CSU Pool Number     (CMC enters)",$A$4,"Zone","NW")</f>
        <v>10</v>
      </c>
    </row>
    <row r="9" spans="1:10">
      <c r="A9" s="1" t="s">
        <v>102</v>
      </c>
      <c r="B9">
        <v>3</v>
      </c>
      <c r="C9">
        <v>7</v>
      </c>
      <c r="D9">
        <v>10</v>
      </c>
      <c r="G9" s="1" t="s">
        <v>53</v>
      </c>
      <c r="H9">
        <f>GETPIVOTDATA("CSU Pool Number     (CMC enters)",$A$4,"Zone","SE","Spp","pipiens")</f>
        <v>14</v>
      </c>
      <c r="I9">
        <f>GETPIVOTDATA("CSU Pool Number     (CMC enters)",$A$4,"Zone","SE","Spp","tarsalis")</f>
        <v>4</v>
      </c>
      <c r="J9">
        <f>GETPIVOTDATA("CSU Pool Number     (CMC enters)",$A$4,"Zone","SE")</f>
        <v>18</v>
      </c>
    </row>
    <row r="10" spans="1:10">
      <c r="A10" s="1" t="s">
        <v>53</v>
      </c>
      <c r="B10">
        <v>4</v>
      </c>
      <c r="C10">
        <v>14</v>
      </c>
      <c r="D10">
        <v>18</v>
      </c>
      <c r="G10" s="1" t="s">
        <v>161</v>
      </c>
      <c r="H10">
        <f>GETPIVOTDATA("CSU Pool Number     (CMC enters)",$A$4,"Zone","SW","Spp","pipiens")</f>
        <v>7</v>
      </c>
      <c r="I10">
        <f>GETPIVOTDATA("CSU Pool Number     (CMC enters)",$A$4,"Zone","SW","Spp","tarsalis")</f>
        <v>5</v>
      </c>
      <c r="J10">
        <f>GETPIVOTDATA("CSU Pool Number     (CMC enters)",$A$4,"Zone","SW")</f>
        <v>12</v>
      </c>
    </row>
    <row r="11" spans="1:10">
      <c r="A11" s="1" t="s">
        <v>161</v>
      </c>
      <c r="B11">
        <v>5</v>
      </c>
      <c r="C11">
        <v>7</v>
      </c>
      <c r="D11">
        <v>12</v>
      </c>
      <c r="G11" s="1" t="s">
        <v>262</v>
      </c>
      <c r="H11" t="e">
        <f>GETPIVOTDATA("CSU Pool Number     (CMC enters)",$A$4,"Zone","BE","Spp","pipiens")</f>
        <v>#REF!</v>
      </c>
      <c r="I11" t="e">
        <f>GETPIVOTDATA("CSU Pool Number     (CMC enters)",$A$4,"Zone","BE","Spp","tarsalis")</f>
        <v>#REF!</v>
      </c>
      <c r="J11" t="e">
        <f>GETPIVOTDATA("CSU Pool Number     (CMC enters)",$A$4,"Zone","BE")</f>
        <v>#REF!</v>
      </c>
    </row>
    <row r="12" spans="1:10">
      <c r="A12" s="1" t="s">
        <v>263</v>
      </c>
      <c r="B12">
        <v>26</v>
      </c>
      <c r="C12">
        <v>50</v>
      </c>
      <c r="D12">
        <v>76</v>
      </c>
      <c r="G12" s="1" t="s">
        <v>33</v>
      </c>
      <c r="H12">
        <f>GETPIVOTDATA("CSU Pool Number     (CMC enters)",$A$4,"Zone","BC","Spp","pipiens")</f>
        <v>0</v>
      </c>
      <c r="I12">
        <f>GETPIVOTDATA("CSU Pool Number     (CMC enters)",$A$4,"Zone","BC","Spp","tarsalis")</f>
        <v>5</v>
      </c>
      <c r="J12">
        <f>GETPIVOTDATA("CSU Pool Number     (CMC enters)",$A$4,"Zone","BC")</f>
        <v>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D11" sqref="D11"/>
    </sheetView>
  </sheetViews>
  <sheetFormatPr defaultRowHeight="1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c r="A1" s="98" t="s">
        <v>264</v>
      </c>
      <c r="B1" s="98"/>
      <c r="C1" s="98"/>
      <c r="F1" s="32" t="s">
        <v>265</v>
      </c>
    </row>
    <row r="3" spans="1:9">
      <c r="A3" s="2" t="s">
        <v>14</v>
      </c>
      <c r="B3" t="s">
        <v>257</v>
      </c>
    </row>
    <row r="5" spans="1:9">
      <c r="A5" s="2" t="s">
        <v>273</v>
      </c>
      <c r="B5" s="2" t="s">
        <v>267</v>
      </c>
      <c r="F5" s="23" t="s">
        <v>274</v>
      </c>
      <c r="G5" s="23" t="s">
        <v>267</v>
      </c>
      <c r="H5" s="23"/>
      <c r="I5" s="23"/>
    </row>
    <row r="6" spans="1:9">
      <c r="A6" s="2" t="s">
        <v>258</v>
      </c>
      <c r="B6" t="s">
        <v>268</v>
      </c>
      <c r="C6" t="s">
        <v>269</v>
      </c>
      <c r="D6" t="s">
        <v>263</v>
      </c>
      <c r="F6" s="24" t="s">
        <v>258</v>
      </c>
      <c r="G6" s="24" t="s">
        <v>270</v>
      </c>
      <c r="H6" s="24" t="s">
        <v>271</v>
      </c>
      <c r="I6" s="24" t="s">
        <v>263</v>
      </c>
    </row>
    <row r="7" spans="1:9">
      <c r="A7" s="1" t="s">
        <v>134</v>
      </c>
      <c r="B7">
        <v>1</v>
      </c>
      <c r="C7">
        <v>0</v>
      </c>
      <c r="D7">
        <v>1</v>
      </c>
      <c r="F7" s="1" t="s">
        <v>102</v>
      </c>
      <c r="G7">
        <f>GETPIVOTDATA("Test code (CSU enters)",$A$5,"Zone","NW","Spp","pipiens")</f>
        <v>1</v>
      </c>
      <c r="H7">
        <f>GETPIVOTDATA("Test code (CSU enters)",$A$5,"Zone","NW","Spp","tarsalis")</f>
        <v>0</v>
      </c>
      <c r="I7">
        <f>GETPIVOTDATA("Test code (CSU enters)",$A$5,"Zone","NW")</f>
        <v>1</v>
      </c>
    </row>
    <row r="8" spans="1:9">
      <c r="A8" s="1" t="s">
        <v>33</v>
      </c>
      <c r="B8">
        <v>0</v>
      </c>
      <c r="D8">
        <v>0</v>
      </c>
      <c r="F8" s="1" t="s">
        <v>88</v>
      </c>
      <c r="G8">
        <f>GETPIVOTDATA("Test code (CSU enters)",$A$5,"Zone","NE","Spp","pipiens")</f>
        <v>0</v>
      </c>
      <c r="H8">
        <f>GETPIVOTDATA("Test code (CSU enters)",$A$5,"Zone","NE","Spp","tarsalis")</f>
        <v>0</v>
      </c>
      <c r="I8">
        <f>GETPIVOTDATA("Test code (CSU enters)",$A$5,"Zone","NE")</f>
        <v>0</v>
      </c>
    </row>
    <row r="9" spans="1:9">
      <c r="A9" s="1" t="s">
        <v>88</v>
      </c>
      <c r="B9">
        <v>0</v>
      </c>
      <c r="C9">
        <v>0</v>
      </c>
      <c r="D9">
        <v>0</v>
      </c>
      <c r="F9" s="1" t="s">
        <v>53</v>
      </c>
      <c r="G9">
        <f>GETPIVOTDATA("Test code (CSU enters)",$A$5,"Zone","SE","Spp","pipiens")</f>
        <v>3</v>
      </c>
      <c r="H9">
        <f>GETPIVOTDATA("Test code (CSU enters)",$A$5,"Zone","SE","Spp","tarsalis")</f>
        <v>0</v>
      </c>
      <c r="I9">
        <f>GETPIVOTDATA("Test code (CSU enters)",$A$5,"Zone","SE")</f>
        <v>3</v>
      </c>
    </row>
    <row r="10" spans="1:9">
      <c r="A10" s="1" t="s">
        <v>102</v>
      </c>
      <c r="B10">
        <v>0</v>
      </c>
      <c r="C10">
        <v>1</v>
      </c>
      <c r="D10">
        <v>1</v>
      </c>
      <c r="F10" s="1" t="s">
        <v>161</v>
      </c>
      <c r="G10">
        <f>GETPIVOTDATA("Test code (CSU enters)",$A$5,"Zone","SW","Spp","pipiens")</f>
        <v>1</v>
      </c>
      <c r="H10">
        <f>GETPIVOTDATA("Test code (CSU enters)",$A$5,"Zone","SW","Spp","tarsalis")</f>
        <v>0</v>
      </c>
      <c r="I10">
        <f>GETPIVOTDATA("Test code (CSU enters)",$A$5,"Zone","SW")</f>
        <v>1</v>
      </c>
    </row>
    <row r="11" spans="1:9">
      <c r="A11" s="1" t="s">
        <v>53</v>
      </c>
      <c r="B11">
        <v>0</v>
      </c>
      <c r="C11">
        <v>3</v>
      </c>
      <c r="D11">
        <v>3</v>
      </c>
      <c r="F11" s="1" t="s">
        <v>134</v>
      </c>
      <c r="G11">
        <f>GETPIVOTDATA("Test code (CSU enters)",$A$5,"Zone","LV","Spp","pipiens")</f>
        <v>0</v>
      </c>
      <c r="H11">
        <f>GETPIVOTDATA("Test code (CSU enters)",$A$5,"Zone","LV","Spp","tarsalis")</f>
        <v>1</v>
      </c>
      <c r="I11">
        <f>GETPIVOTDATA("Test code (CSU enters)",$A$5,"Zone","LV")</f>
        <v>1</v>
      </c>
    </row>
    <row r="12" spans="1:9">
      <c r="A12" s="1" t="s">
        <v>161</v>
      </c>
      <c r="B12">
        <v>0</v>
      </c>
      <c r="C12">
        <v>1</v>
      </c>
      <c r="D12">
        <v>1</v>
      </c>
      <c r="F12" s="1" t="s">
        <v>262</v>
      </c>
      <c r="G12" t="e">
        <f>GETPIVOTDATA("Test code (CSU enters)",$A$5,"Zone","BE","Spp","pipiens")</f>
        <v>#REF!</v>
      </c>
      <c r="H12" t="e">
        <f>GETPIVOTDATA("Test code (CSU enters)",$A$5,"Zone","BE","Spp","tarsalis")</f>
        <v>#REF!</v>
      </c>
      <c r="I12" t="e">
        <f>GETPIVOTDATA("Test code (CSU enters)",$A$5,"Zone","BE")</f>
        <v>#REF!</v>
      </c>
    </row>
    <row r="13" spans="1:9">
      <c r="A13" s="1" t="s">
        <v>263</v>
      </c>
      <c r="B13">
        <v>1</v>
      </c>
      <c r="C13">
        <v>5</v>
      </c>
      <c r="D13">
        <v>6</v>
      </c>
      <c r="F13" s="1" t="s">
        <v>33</v>
      </c>
      <c r="G13">
        <f>GETPIVOTDATA("Test code (CSU enters)",$A$5,"Zone","BC","Spp","pipiens")</f>
        <v>0</v>
      </c>
      <c r="H13">
        <f>GETPIVOTDATA("Test code (CSU enters)",$A$5,"Zone","BC","Spp","tarsalis")</f>
        <v>0</v>
      </c>
      <c r="I13">
        <f>GETPIVOTDATA("Test code (CSU enters)",$A$5,"Zone","BC")</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5" sqref="G5:H9"/>
    </sheetView>
  </sheetViews>
  <sheetFormatPr defaultRowHeight="15"/>
  <cols>
    <col min="1" max="1" width="15.85546875" customWidth="1"/>
    <col min="2" max="2" width="12.140625" customWidth="1"/>
    <col min="3" max="3" width="14.42578125" customWidth="1"/>
  </cols>
  <sheetData>
    <row r="1" spans="1:11">
      <c r="A1" s="33" t="s">
        <v>275</v>
      </c>
      <c r="B1" s="33" t="s">
        <v>276</v>
      </c>
      <c r="C1" s="33" t="s">
        <v>193</v>
      </c>
    </row>
    <row r="2" spans="1:11">
      <c r="A2" t="s">
        <v>51</v>
      </c>
      <c r="B2" t="s">
        <v>277</v>
      </c>
      <c r="C2" s="30">
        <v>4.2079501290340184</v>
      </c>
      <c r="G2" s="30"/>
      <c r="H2" s="30"/>
    </row>
    <row r="3" spans="1:11">
      <c r="A3" t="s">
        <v>51</v>
      </c>
      <c r="B3" t="s">
        <v>278</v>
      </c>
      <c r="C3" s="30">
        <v>0</v>
      </c>
      <c r="G3" s="30"/>
      <c r="I3" s="30"/>
    </row>
    <row r="4" spans="1:11">
      <c r="A4" t="s">
        <v>134</v>
      </c>
      <c r="B4" t="s">
        <v>277</v>
      </c>
      <c r="C4" s="68">
        <v>0</v>
      </c>
      <c r="G4" s="30"/>
      <c r="I4" s="30"/>
    </row>
    <row r="5" spans="1:11">
      <c r="A5" t="s">
        <v>134</v>
      </c>
      <c r="B5" t="s">
        <v>278</v>
      </c>
      <c r="C5" s="68">
        <v>128.87737610974818</v>
      </c>
      <c r="H5" s="30"/>
    </row>
    <row r="6" spans="1:11">
      <c r="A6" t="s">
        <v>262</v>
      </c>
      <c r="B6" t="s">
        <v>277</v>
      </c>
      <c r="C6" s="68"/>
      <c r="H6" s="30"/>
      <c r="I6" s="30"/>
    </row>
    <row r="7" spans="1:11">
      <c r="A7" t="s">
        <v>262</v>
      </c>
      <c r="B7" t="s">
        <v>278</v>
      </c>
      <c r="C7" s="68"/>
      <c r="H7" s="30"/>
      <c r="I7" s="30"/>
    </row>
    <row r="8" spans="1:11">
      <c r="A8" t="s">
        <v>33</v>
      </c>
      <c r="B8" t="s">
        <v>277</v>
      </c>
      <c r="C8" s="68"/>
      <c r="H8" s="30"/>
      <c r="I8" s="30"/>
    </row>
    <row r="9" spans="1:11">
      <c r="A9" t="s">
        <v>33</v>
      </c>
      <c r="B9" t="s">
        <v>278</v>
      </c>
      <c r="C9" s="68">
        <v>0</v>
      </c>
      <c r="H9" s="30"/>
      <c r="I9" s="30"/>
      <c r="K9" s="30"/>
    </row>
    <row r="10" spans="1:11">
      <c r="H10" s="30"/>
      <c r="I10" s="30"/>
      <c r="K10" s="30"/>
    </row>
    <row r="11" spans="1:11">
      <c r="H11" s="30"/>
      <c r="I11" s="30"/>
      <c r="K11" s="30"/>
    </row>
    <row r="12" spans="1:11">
      <c r="G12" s="30"/>
      <c r="I12" s="30"/>
      <c r="K12" s="30"/>
    </row>
    <row r="13" spans="1:11">
      <c r="H13" s="30"/>
      <c r="I13" s="30"/>
      <c r="K13" s="30"/>
    </row>
    <row r="14" spans="1:11">
      <c r="H14" s="30"/>
      <c r="I14" s="48"/>
      <c r="J14" s="54"/>
    </row>
    <row r="15" spans="1:11">
      <c r="H15" s="30"/>
      <c r="J15" s="30"/>
      <c r="K15" s="30"/>
    </row>
    <row r="16" spans="1:11">
      <c r="F16" s="30"/>
      <c r="G16" s="30"/>
      <c r="J16" s="30"/>
      <c r="K16" s="54"/>
    </row>
    <row r="17" spans="6:11">
      <c r="F17" s="30"/>
      <c r="G17" s="30"/>
      <c r="H17" s="54"/>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J9" sqref="J9"/>
    </sheetView>
  </sheetViews>
  <sheetFormatPr defaultRowHeight="15"/>
  <cols>
    <col min="2" max="2" width="15.7109375" customWidth="1"/>
    <col min="3" max="3" width="13.140625" customWidth="1"/>
  </cols>
  <sheetData>
    <row r="1" spans="1:12">
      <c r="A1" s="33" t="s">
        <v>279</v>
      </c>
      <c r="B1" s="33" t="s">
        <v>276</v>
      </c>
      <c r="C1" s="33" t="s">
        <v>193</v>
      </c>
    </row>
    <row r="2" spans="1:12">
      <c r="A2" t="s">
        <v>102</v>
      </c>
      <c r="B2" t="s">
        <v>277</v>
      </c>
      <c r="C2" s="30">
        <v>15.991666696207641</v>
      </c>
      <c r="H2" s="30"/>
      <c r="I2" s="30"/>
    </row>
    <row r="3" spans="1:12">
      <c r="A3" t="s">
        <v>102</v>
      </c>
      <c r="B3" t="s">
        <v>278</v>
      </c>
      <c r="C3" s="30">
        <v>0</v>
      </c>
      <c r="H3" s="30"/>
      <c r="I3" s="30"/>
    </row>
    <row r="4" spans="1:12">
      <c r="A4" t="s">
        <v>88</v>
      </c>
      <c r="B4" t="s">
        <v>277</v>
      </c>
      <c r="C4" s="30">
        <v>0</v>
      </c>
      <c r="H4" s="30"/>
      <c r="I4" s="30"/>
    </row>
    <row r="5" spans="1:12">
      <c r="A5" t="s">
        <v>88</v>
      </c>
      <c r="B5" t="s">
        <v>278</v>
      </c>
      <c r="C5" s="30">
        <v>0</v>
      </c>
      <c r="H5" s="30"/>
      <c r="J5" s="30"/>
    </row>
    <row r="6" spans="1:12">
      <c r="A6" t="s">
        <v>53</v>
      </c>
      <c r="B6" t="s">
        <v>277</v>
      </c>
      <c r="C6" s="30">
        <v>7.4004953540624561</v>
      </c>
      <c r="H6" s="30"/>
      <c r="J6" s="30"/>
    </row>
    <row r="7" spans="1:12">
      <c r="A7" t="s">
        <v>53</v>
      </c>
      <c r="B7" t="s">
        <v>278</v>
      </c>
      <c r="C7" s="30">
        <v>0</v>
      </c>
      <c r="H7" s="30"/>
      <c r="J7" s="30"/>
    </row>
    <row r="8" spans="1:12">
      <c r="A8" t="s">
        <v>161</v>
      </c>
      <c r="B8" t="s">
        <v>277</v>
      </c>
      <c r="C8" s="30">
        <v>26.554842921472762</v>
      </c>
      <c r="H8" s="30"/>
      <c r="J8" s="30"/>
    </row>
    <row r="9" spans="1:12">
      <c r="A9" t="s">
        <v>161</v>
      </c>
      <c r="B9" t="s">
        <v>278</v>
      </c>
      <c r="C9" s="30">
        <v>0</v>
      </c>
      <c r="H9" s="30"/>
      <c r="J9" s="30"/>
      <c r="L9" s="30"/>
    </row>
    <row r="10" spans="1:12">
      <c r="C10" s="30"/>
      <c r="H10" s="30"/>
      <c r="J10" s="30"/>
      <c r="L10" s="30"/>
    </row>
    <row r="11" spans="1:12">
      <c r="H11" s="30"/>
      <c r="J11" s="30"/>
      <c r="L11" s="30"/>
    </row>
    <row r="12" spans="1:12">
      <c r="B12" s="30"/>
      <c r="H12" s="30"/>
      <c r="J12" s="30"/>
      <c r="L12" s="30"/>
    </row>
    <row r="13" spans="1:12">
      <c r="B13" s="30"/>
      <c r="H13" s="30"/>
      <c r="I13" s="30"/>
      <c r="J13" s="30"/>
      <c r="K13" s="54"/>
      <c r="L13" s="30"/>
    </row>
    <row r="14" spans="1:12">
      <c r="B14" s="30"/>
      <c r="I14" s="30"/>
      <c r="J14" s="30"/>
      <c r="K14" s="30"/>
      <c r="L14" s="30"/>
    </row>
    <row r="15" spans="1:12">
      <c r="B15" s="30"/>
      <c r="H15" s="30"/>
      <c r="J15" s="30"/>
      <c r="K15" s="30"/>
      <c r="L15" s="30"/>
    </row>
    <row r="16" spans="1:12">
      <c r="B16" s="30"/>
      <c r="H16" s="30"/>
      <c r="J16" s="30"/>
      <c r="K16" s="30"/>
      <c r="L16" s="30"/>
    </row>
    <row r="17" spans="2:12">
      <c r="B17" s="30"/>
      <c r="H17" s="30"/>
      <c r="J17" s="30"/>
      <c r="K17" s="30"/>
      <c r="L17" s="30"/>
    </row>
    <row r="18" spans="2:12">
      <c r="B18" s="30"/>
      <c r="H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6" zoomScale="80" zoomScaleNormal="80" workbookViewId="0">
      <selection activeCell="Q86" sqref="Q86"/>
    </sheetView>
  </sheetViews>
  <sheetFormatPr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c r="A1" t="s">
        <v>280</v>
      </c>
      <c r="B1" s="3"/>
      <c r="C1" s="111" t="s">
        <v>281</v>
      </c>
      <c r="D1" s="113"/>
      <c r="E1" s="111" t="s">
        <v>282</v>
      </c>
      <c r="F1" s="113"/>
      <c r="G1" s="128"/>
      <c r="H1" s="129"/>
      <c r="I1" s="130"/>
    </row>
    <row r="2" spans="1:15" ht="27" customHeight="1">
      <c r="B2" s="4"/>
      <c r="C2" s="114"/>
      <c r="D2" s="116"/>
      <c r="E2" s="114" t="s">
        <v>283</v>
      </c>
      <c r="F2" s="116"/>
      <c r="G2" s="131" t="s">
        <v>284</v>
      </c>
      <c r="H2" s="132"/>
      <c r="I2" s="133"/>
    </row>
    <row r="3" spans="1:15" ht="15.75" thickBot="1">
      <c r="B3" s="4"/>
      <c r="C3" s="117"/>
      <c r="D3" s="119"/>
      <c r="E3" s="108"/>
      <c r="F3" s="110"/>
      <c r="G3" s="108"/>
      <c r="H3" s="109"/>
      <c r="I3" s="110"/>
    </row>
    <row r="4" spans="1:15" ht="15.75" customHeight="1">
      <c r="B4" s="4" t="s">
        <v>285</v>
      </c>
      <c r="C4" s="120" t="s">
        <v>277</v>
      </c>
      <c r="D4" s="120" t="s">
        <v>278</v>
      </c>
      <c r="E4" s="6" t="s">
        <v>286</v>
      </c>
      <c r="F4" s="6" t="s">
        <v>286</v>
      </c>
      <c r="G4" s="126" t="s">
        <v>287</v>
      </c>
      <c r="H4" s="126" t="s">
        <v>288</v>
      </c>
      <c r="I4" s="8" t="s">
        <v>289</v>
      </c>
    </row>
    <row r="5" spans="1:15" ht="15.75" thickBot="1">
      <c r="B5" s="5"/>
      <c r="C5" s="121"/>
      <c r="D5" s="121"/>
      <c r="E5" s="7" t="s">
        <v>270</v>
      </c>
      <c r="F5" s="7" t="s">
        <v>271</v>
      </c>
      <c r="G5" s="127"/>
      <c r="H5" s="127"/>
      <c r="I5" s="9" t="s">
        <v>290</v>
      </c>
    </row>
    <row r="6" spans="1:15" ht="26.25" thickBot="1">
      <c r="B6" s="10" t="s">
        <v>291</v>
      </c>
      <c r="C6" s="25">
        <f t="shared" ref="C6:D10" si="0">G40</f>
        <v>1.8</v>
      </c>
      <c r="D6" s="25">
        <f t="shared" si="0"/>
        <v>0.5</v>
      </c>
      <c r="E6" s="40">
        <f t="shared" ref="E6:F10" si="1">L73/1000</f>
        <v>1.5991666696207642E-2</v>
      </c>
      <c r="F6" s="40">
        <f t="shared" si="1"/>
        <v>0</v>
      </c>
      <c r="G6" s="31">
        <f t="shared" ref="G6:H10" si="2">C6*E6</f>
        <v>2.8785000053173755E-2</v>
      </c>
      <c r="H6" s="31">
        <f t="shared" si="2"/>
        <v>0</v>
      </c>
      <c r="I6" s="31">
        <f>G6+H6</f>
        <v>2.8785000053173755E-2</v>
      </c>
    </row>
    <row r="7" spans="1:15" ht="26.25" thickBot="1">
      <c r="B7" s="10" t="s">
        <v>292</v>
      </c>
      <c r="C7" s="25">
        <f t="shared" si="0"/>
        <v>66.5</v>
      </c>
      <c r="D7" s="25">
        <f t="shared" si="0"/>
        <v>1.4</v>
      </c>
      <c r="E7" s="40">
        <f t="shared" si="1"/>
        <v>0</v>
      </c>
      <c r="F7" s="40">
        <f t="shared" si="1"/>
        <v>0</v>
      </c>
      <c r="G7" s="31">
        <f t="shared" si="2"/>
        <v>0</v>
      </c>
      <c r="H7" s="31">
        <f t="shared" si="2"/>
        <v>0</v>
      </c>
      <c r="I7" s="83">
        <f>G7+H7</f>
        <v>0</v>
      </c>
    </row>
    <row r="8" spans="1:15" ht="26.25" thickBot="1">
      <c r="B8" s="10" t="s">
        <v>293</v>
      </c>
      <c r="C8" s="25">
        <f t="shared" si="0"/>
        <v>24.285714285714285</v>
      </c>
      <c r="D8" s="25">
        <f t="shared" si="0"/>
        <v>0.7142857142857143</v>
      </c>
      <c r="E8" s="40">
        <f t="shared" si="1"/>
        <v>7.4004953540624564E-3</v>
      </c>
      <c r="F8" s="40">
        <f t="shared" si="1"/>
        <v>0</v>
      </c>
      <c r="G8" s="31">
        <f t="shared" si="2"/>
        <v>0.17972631574151679</v>
      </c>
      <c r="H8" s="31">
        <f t="shared" si="2"/>
        <v>0</v>
      </c>
      <c r="I8" s="83">
        <f>G8+H8</f>
        <v>0.17972631574151679</v>
      </c>
    </row>
    <row r="9" spans="1:15" ht="26.25" thickBot="1">
      <c r="B9" s="10" t="s">
        <v>294</v>
      </c>
      <c r="C9" s="25">
        <f t="shared" si="0"/>
        <v>1.875</v>
      </c>
      <c r="D9" s="25">
        <f t="shared" si="0"/>
        <v>0.875</v>
      </c>
      <c r="E9" s="40">
        <f t="shared" si="1"/>
        <v>2.6554842921472761E-2</v>
      </c>
      <c r="F9" s="40">
        <f t="shared" si="1"/>
        <v>0</v>
      </c>
      <c r="G9" s="31">
        <f t="shared" si="2"/>
        <v>4.9790330477761428E-2</v>
      </c>
      <c r="H9" s="31">
        <f t="shared" si="2"/>
        <v>0</v>
      </c>
      <c r="I9" s="31">
        <f>G9+H9</f>
        <v>4.9790330477761428E-2</v>
      </c>
    </row>
    <row r="10" spans="1:15" ht="26.25" thickBot="1">
      <c r="B10" s="10" t="s">
        <v>295</v>
      </c>
      <c r="C10" s="25">
        <f t="shared" si="0"/>
        <v>24.714285714285715</v>
      </c>
      <c r="D10" s="25">
        <f t="shared" si="0"/>
        <v>0.8571428571428571</v>
      </c>
      <c r="E10" s="40">
        <f t="shared" si="1"/>
        <v>4.2079501290340181E-3</v>
      </c>
      <c r="F10" s="40">
        <f t="shared" si="1"/>
        <v>0</v>
      </c>
      <c r="G10" s="31">
        <f t="shared" si="2"/>
        <v>0.10399648176041217</v>
      </c>
      <c r="H10" s="31">
        <f t="shared" si="2"/>
        <v>0</v>
      </c>
      <c r="I10" s="83">
        <f>G10+H10</f>
        <v>0.10399648176041217</v>
      </c>
      <c r="N10" s="30"/>
    </row>
    <row r="11" spans="1:15" ht="15.75" thickBot="1">
      <c r="B11" s="10"/>
      <c r="C11" s="11"/>
      <c r="D11" s="11"/>
      <c r="E11" s="40"/>
      <c r="F11" s="40"/>
      <c r="G11" s="31"/>
      <c r="H11" s="31"/>
      <c r="I11" s="31"/>
    </row>
    <row r="12" spans="1:15" ht="15.75" thickBot="1">
      <c r="B12" s="10" t="s">
        <v>134</v>
      </c>
      <c r="C12" s="28">
        <f t="shared" ref="C12:D14" si="3">G46</f>
        <v>3.1666666666666665</v>
      </c>
      <c r="D12" s="28">
        <f t="shared" si="3"/>
        <v>4</v>
      </c>
      <c r="E12" s="40">
        <f t="shared" ref="E12:F14" si="4">L79/1000</f>
        <v>0</v>
      </c>
      <c r="F12" s="40">
        <f t="shared" si="4"/>
        <v>0.12887737610974817</v>
      </c>
      <c r="G12" s="31">
        <f t="shared" ref="G12:H14" si="5">C12*E12</f>
        <v>0</v>
      </c>
      <c r="H12" s="31">
        <f t="shared" si="5"/>
        <v>0.51550950443899268</v>
      </c>
      <c r="I12" s="31">
        <f>G12+H12</f>
        <v>0.51550950443899268</v>
      </c>
    </row>
    <row r="13" spans="1:15" ht="15.75" thickBot="1">
      <c r="B13" s="10" t="s">
        <v>262</v>
      </c>
      <c r="C13" s="28" t="e">
        <f t="shared" si="3"/>
        <v>#REF!</v>
      </c>
      <c r="D13" s="28" t="e">
        <f t="shared" si="3"/>
        <v>#REF!</v>
      </c>
      <c r="E13" s="40">
        <f t="shared" si="4"/>
        <v>0</v>
      </c>
      <c r="F13" s="40">
        <f t="shared" si="4"/>
        <v>0</v>
      </c>
      <c r="G13" s="31" t="e">
        <f t="shared" si="5"/>
        <v>#REF!</v>
      </c>
      <c r="H13" s="31" t="e">
        <f t="shared" si="5"/>
        <v>#REF!</v>
      </c>
      <c r="I13" s="31" t="e">
        <f>G13+H13</f>
        <v>#REF!</v>
      </c>
    </row>
    <row r="14" spans="1:15" ht="15.75" thickBot="1">
      <c r="B14" s="10" t="s">
        <v>33</v>
      </c>
      <c r="C14" s="28">
        <f t="shared" si="3"/>
        <v>0</v>
      </c>
      <c r="D14" s="28">
        <f t="shared" si="3"/>
        <v>5.2</v>
      </c>
      <c r="E14" s="40">
        <f t="shared" si="4"/>
        <v>0</v>
      </c>
      <c r="F14" s="40">
        <f t="shared" si="4"/>
        <v>0</v>
      </c>
      <c r="G14" s="31">
        <f t="shared" si="5"/>
        <v>0</v>
      </c>
      <c r="H14" s="31">
        <f t="shared" si="5"/>
        <v>0</v>
      </c>
      <c r="I14" s="31">
        <f>G14+H14</f>
        <v>0</v>
      </c>
    </row>
    <row r="15" spans="1:15" ht="15.75" thickBot="1"/>
    <row r="16" spans="1:15" ht="15" customHeight="1">
      <c r="A16" t="s">
        <v>296</v>
      </c>
      <c r="B16" s="15"/>
      <c r="C16" s="99" t="s">
        <v>291</v>
      </c>
      <c r="D16" s="101"/>
      <c r="E16" s="99" t="s">
        <v>292</v>
      </c>
      <c r="F16" s="101"/>
      <c r="G16" s="99" t="s">
        <v>293</v>
      </c>
      <c r="H16" s="101"/>
      <c r="I16" s="99" t="s">
        <v>294</v>
      </c>
      <c r="J16" s="101"/>
      <c r="K16" s="99" t="s">
        <v>295</v>
      </c>
      <c r="L16" s="101"/>
      <c r="M16" s="18"/>
      <c r="N16" s="18"/>
      <c r="O16" s="18"/>
    </row>
    <row r="17" spans="2:15" ht="15.75" thickBot="1">
      <c r="B17" s="16"/>
      <c r="C17" s="105"/>
      <c r="D17" s="107"/>
      <c r="E17" s="105"/>
      <c r="F17" s="107"/>
      <c r="G17" s="105"/>
      <c r="H17" s="107"/>
      <c r="I17" s="105"/>
      <c r="J17" s="107"/>
      <c r="K17" s="105"/>
      <c r="L17" s="107"/>
      <c r="M17" s="19"/>
      <c r="N17" s="19"/>
      <c r="O17" s="19"/>
    </row>
    <row r="18" spans="2:15" ht="26.25" thickBot="1">
      <c r="B18" s="17" t="s">
        <v>13</v>
      </c>
      <c r="C18" s="20" t="s">
        <v>297</v>
      </c>
      <c r="D18" s="20" t="s">
        <v>298</v>
      </c>
      <c r="E18" s="20" t="s">
        <v>297</v>
      </c>
      <c r="F18" s="20" t="s">
        <v>298</v>
      </c>
      <c r="G18" s="20" t="s">
        <v>297</v>
      </c>
      <c r="H18" s="20" t="s">
        <v>298</v>
      </c>
      <c r="I18" s="20" t="s">
        <v>297</v>
      </c>
      <c r="J18" s="20" t="s">
        <v>298</v>
      </c>
      <c r="K18" s="20" t="s">
        <v>297</v>
      </c>
      <c r="L18" s="20" t="s">
        <v>298</v>
      </c>
      <c r="M18" s="20" t="s">
        <v>134</v>
      </c>
      <c r="N18" s="20" t="s">
        <v>262</v>
      </c>
      <c r="O18" s="20" t="s">
        <v>33</v>
      </c>
    </row>
    <row r="19" spans="2:15" ht="15.75" thickBot="1">
      <c r="B19" s="17">
        <v>23</v>
      </c>
      <c r="C19" s="45" t="s">
        <v>32</v>
      </c>
      <c r="D19" s="45">
        <v>1.2345666666666666E-2</v>
      </c>
      <c r="E19" s="45" t="s">
        <v>32</v>
      </c>
      <c r="F19" s="45">
        <v>2.2222222222222223E-2</v>
      </c>
      <c r="G19" s="45" t="s">
        <v>32</v>
      </c>
      <c r="H19" s="45">
        <v>1.5397222222222222E-2</v>
      </c>
      <c r="I19" s="45" t="s">
        <v>32</v>
      </c>
      <c r="J19" s="45">
        <v>1.5873000000000002E-2</v>
      </c>
      <c r="K19" s="45" t="s">
        <v>32</v>
      </c>
      <c r="L19" s="45">
        <v>1.5442208306585107E-2</v>
      </c>
      <c r="M19" s="45">
        <v>0</v>
      </c>
      <c r="N19" s="45">
        <v>0</v>
      </c>
      <c r="O19" s="45" t="s">
        <v>32</v>
      </c>
    </row>
    <row r="20" spans="2:15" ht="15.75" thickBot="1">
      <c r="B20" s="41">
        <v>24</v>
      </c>
      <c r="C20" s="45" t="s">
        <v>32</v>
      </c>
      <c r="D20" s="42">
        <v>0</v>
      </c>
      <c r="E20" s="45" t="s">
        <v>32</v>
      </c>
      <c r="F20" s="42">
        <v>0</v>
      </c>
      <c r="G20" s="45" t="s">
        <v>32</v>
      </c>
      <c r="H20" s="42">
        <v>4.2481333333333334E-3</v>
      </c>
      <c r="I20" s="45" t="s">
        <v>32</v>
      </c>
      <c r="J20" s="42">
        <v>0</v>
      </c>
      <c r="K20" s="45" t="s">
        <v>32</v>
      </c>
      <c r="L20" s="42">
        <v>1.5405815698847807E-3</v>
      </c>
      <c r="M20" s="45">
        <v>0</v>
      </c>
      <c r="N20" s="45">
        <v>0</v>
      </c>
      <c r="O20" s="45">
        <v>0</v>
      </c>
    </row>
    <row r="21" spans="2:15" ht="15.75" thickBot="1">
      <c r="B21" s="41">
        <v>25</v>
      </c>
      <c r="C21" s="45">
        <v>0</v>
      </c>
      <c r="D21" s="42">
        <v>0</v>
      </c>
      <c r="E21" s="45">
        <v>0</v>
      </c>
      <c r="F21" s="42">
        <v>1.25162E-2</v>
      </c>
      <c r="G21" s="45">
        <v>0</v>
      </c>
      <c r="H21" s="42">
        <v>0</v>
      </c>
      <c r="I21" s="45">
        <v>0</v>
      </c>
      <c r="J21" s="42">
        <v>0</v>
      </c>
      <c r="K21" s="45">
        <v>0</v>
      </c>
      <c r="L21" s="42">
        <v>2.5120620321358307E-3</v>
      </c>
      <c r="M21" s="45">
        <v>0</v>
      </c>
      <c r="N21" s="45">
        <v>0</v>
      </c>
      <c r="O21" s="45">
        <v>0</v>
      </c>
    </row>
    <row r="22" spans="2:15" ht="15.75" thickBot="1">
      <c r="B22" s="41">
        <v>26</v>
      </c>
      <c r="C22" s="45">
        <v>0</v>
      </c>
      <c r="D22" s="42">
        <v>0</v>
      </c>
      <c r="E22" s="45">
        <v>0</v>
      </c>
      <c r="F22" s="42">
        <v>6.5183999999999997E-3</v>
      </c>
      <c r="G22" s="45">
        <v>0</v>
      </c>
      <c r="H22" s="42">
        <v>1.2334466666666665E-2</v>
      </c>
      <c r="I22" s="45">
        <v>0</v>
      </c>
      <c r="J22" s="42">
        <v>7.7523333333333333E-3</v>
      </c>
      <c r="K22" s="45">
        <v>0</v>
      </c>
      <c r="L22" s="42">
        <v>7.6453654253317883E-3</v>
      </c>
      <c r="M22" s="45">
        <v>0</v>
      </c>
      <c r="N22" s="45">
        <v>0</v>
      </c>
      <c r="O22" s="45">
        <v>0</v>
      </c>
    </row>
    <row r="23" spans="2:15" ht="15.75" thickBot="1">
      <c r="B23" s="41">
        <v>27</v>
      </c>
      <c r="C23" s="45">
        <v>0</v>
      </c>
      <c r="D23" s="42">
        <v>0</v>
      </c>
      <c r="E23" s="45">
        <v>0</v>
      </c>
      <c r="F23" s="42">
        <v>2.7098368622501329E-2</v>
      </c>
      <c r="G23" s="45">
        <v>0</v>
      </c>
      <c r="H23" s="42">
        <v>1.2281281344987401E-2</v>
      </c>
      <c r="I23" s="45">
        <v>0</v>
      </c>
      <c r="J23" s="42">
        <v>0</v>
      </c>
      <c r="K23" s="45">
        <v>0</v>
      </c>
      <c r="L23" s="42">
        <v>1.136246395420115E-2</v>
      </c>
      <c r="M23" s="45">
        <v>0</v>
      </c>
      <c r="N23" s="45">
        <v>0</v>
      </c>
      <c r="O23" s="45">
        <v>0</v>
      </c>
    </row>
    <row r="24" spans="2:15" ht="15.75" thickBot="1">
      <c r="B24" s="41">
        <v>28</v>
      </c>
      <c r="C24" s="45">
        <v>0</v>
      </c>
      <c r="D24" s="42">
        <v>0</v>
      </c>
      <c r="E24" s="45">
        <v>0</v>
      </c>
      <c r="F24" s="42">
        <v>3.0724520590611773E-2</v>
      </c>
      <c r="G24" s="45">
        <v>9.3913263830670154E-2</v>
      </c>
      <c r="H24" s="42">
        <v>9.3203659306924272E-2</v>
      </c>
      <c r="I24" s="45">
        <v>0</v>
      </c>
      <c r="J24" s="42">
        <v>7.3397333333333334E-3</v>
      </c>
      <c r="K24" s="45">
        <v>3.3398725842450891E-2</v>
      </c>
      <c r="L24" s="42">
        <v>3.9411297161641726E-2</v>
      </c>
      <c r="M24" s="45">
        <v>0</v>
      </c>
      <c r="N24" s="45">
        <v>0</v>
      </c>
      <c r="O24" s="45">
        <v>0.19062679198291843</v>
      </c>
    </row>
    <row r="25" spans="2:15" ht="15.75" thickBot="1">
      <c r="B25" s="41">
        <v>29</v>
      </c>
      <c r="C25" s="45">
        <v>0</v>
      </c>
      <c r="D25" s="42">
        <v>8.4072988383105882E-2</v>
      </c>
      <c r="E25" s="45">
        <v>0</v>
      </c>
      <c r="F25" s="42">
        <v>0.10737363478043632</v>
      </c>
      <c r="G25" s="45">
        <v>0.13490131222241508</v>
      </c>
      <c r="H25" s="42">
        <v>0.24707122174736354</v>
      </c>
      <c r="I25" s="45">
        <v>0</v>
      </c>
      <c r="J25" s="42">
        <v>3.1154556600959043E-2</v>
      </c>
      <c r="K25" s="45">
        <v>5.0009264213788582E-2</v>
      </c>
      <c r="L25" s="42">
        <v>0.13026939388821318</v>
      </c>
      <c r="M25" s="45">
        <v>0.11375381148417033</v>
      </c>
      <c r="N25" s="45">
        <v>0.19618609179107158</v>
      </c>
      <c r="O25" s="45">
        <v>0</v>
      </c>
    </row>
    <row r="26" spans="2:15" ht="15.75" thickBot="1">
      <c r="B26" s="41">
        <v>30</v>
      </c>
      <c r="C26" s="45">
        <v>0</v>
      </c>
      <c r="D26" s="42">
        <v>9.6016813968980305E-2</v>
      </c>
      <c r="E26" s="45">
        <v>0</v>
      </c>
      <c r="F26" s="42">
        <v>0.14552865530066361</v>
      </c>
      <c r="G26" s="45">
        <v>0.40577676186765621</v>
      </c>
      <c r="H26" s="42">
        <v>0.25718936846385804</v>
      </c>
      <c r="I26" s="45">
        <v>0.22873681216752725</v>
      </c>
      <c r="J26" s="42">
        <v>6.2121533333333333E-2</v>
      </c>
      <c r="K26" s="45">
        <v>0.18847585260979191</v>
      </c>
      <c r="L26" s="42">
        <v>0.15380074884936099</v>
      </c>
      <c r="M26" s="45">
        <v>0.11718088713267889</v>
      </c>
      <c r="N26" s="45">
        <v>0.4104199985137002</v>
      </c>
      <c r="O26" s="45">
        <v>0</v>
      </c>
    </row>
    <row r="27" spans="2:15" ht="15.75" thickBot="1">
      <c r="B27" s="41">
        <v>31</v>
      </c>
      <c r="C27" s="45">
        <v>0</v>
      </c>
      <c r="D27" s="42">
        <v>0.1591585417043844</v>
      </c>
      <c r="E27" s="45">
        <v>0.20563169796639336</v>
      </c>
      <c r="F27" s="42">
        <v>0.17334889452752106</v>
      </c>
      <c r="G27" s="45">
        <v>0.61790046753230932</v>
      </c>
      <c r="H27" s="42">
        <v>0.20400478775196665</v>
      </c>
      <c r="I27" s="45">
        <v>0.13796373528453645</v>
      </c>
      <c r="J27" s="42">
        <v>6.6866468172918719E-2</v>
      </c>
      <c r="K27" s="45">
        <v>0.31659732402769036</v>
      </c>
      <c r="L27" s="42">
        <v>0.17488766341265494</v>
      </c>
      <c r="M27" s="45">
        <v>0.2422509420282789</v>
      </c>
      <c r="N27" s="45">
        <v>0.18625622172546957</v>
      </c>
      <c r="O27" s="45">
        <v>0.20098906546285711</v>
      </c>
    </row>
    <row r="28" spans="2:15" ht="15.75" thickBot="1">
      <c r="B28" s="41">
        <v>32</v>
      </c>
      <c r="C28" s="45">
        <v>0.52391389993490711</v>
      </c>
      <c r="D28" s="42">
        <v>0.14055326271658905</v>
      </c>
      <c r="E28" s="45">
        <v>0.43886718034644723</v>
      </c>
      <c r="F28" s="42">
        <v>0.26311992751575697</v>
      </c>
      <c r="G28" s="45">
        <v>0.53815028824420241</v>
      </c>
      <c r="H28" s="42">
        <v>0.31221764638322824</v>
      </c>
      <c r="I28" s="45">
        <v>0.1490512298290198</v>
      </c>
      <c r="J28" s="42">
        <v>0.11359453297908977</v>
      </c>
      <c r="K28" s="45">
        <v>0.43985236566885255</v>
      </c>
      <c r="L28" s="42">
        <v>0.22567019528134327</v>
      </c>
      <c r="M28" s="45">
        <v>0.34725097510743047</v>
      </c>
      <c r="N28" s="45">
        <v>0.34835528808213478</v>
      </c>
      <c r="O28" s="45">
        <v>0.20563411375466378</v>
      </c>
    </row>
    <row r="29" spans="2:15" ht="15.75" thickBot="1">
      <c r="B29" s="41">
        <v>33</v>
      </c>
      <c r="C29" s="45">
        <v>9.416530403274509E-2</v>
      </c>
      <c r="D29" s="42">
        <v>0.14889308645825677</v>
      </c>
      <c r="E29" s="45">
        <v>0.84120945584496443</v>
      </c>
      <c r="F29" s="42">
        <v>0.34903928739193085</v>
      </c>
      <c r="G29" s="45">
        <v>7.8580247404749948E-2</v>
      </c>
      <c r="H29" s="42">
        <v>0.26803346902757813</v>
      </c>
      <c r="I29" s="45">
        <v>0.15648770443046164</v>
      </c>
      <c r="J29" s="42">
        <v>9.2771635108227432E-2</v>
      </c>
      <c r="K29" s="45">
        <v>0.26184091600464682</v>
      </c>
      <c r="L29" s="42">
        <v>0.22856071835229688</v>
      </c>
      <c r="M29" s="45">
        <v>0.31504156841969988</v>
      </c>
      <c r="N29" s="45">
        <v>0</v>
      </c>
      <c r="O29" s="45">
        <v>0</v>
      </c>
    </row>
    <row r="30" spans="2:15" ht="15.75" thickBot="1">
      <c r="B30" s="41">
        <v>34</v>
      </c>
      <c r="C30" s="45">
        <v>5.2453301344001342E-2</v>
      </c>
      <c r="D30" s="42">
        <v>0.12740724513575102</v>
      </c>
      <c r="E30" s="84">
        <v>0.66026462179450474</v>
      </c>
      <c r="F30" s="42">
        <v>0.13488768603345078</v>
      </c>
      <c r="G30" s="84">
        <v>0.14141327854728769</v>
      </c>
      <c r="H30" s="42">
        <v>0.28940184576372857</v>
      </c>
      <c r="I30" s="45">
        <v>4.6265513420777081E-2</v>
      </c>
      <c r="J30" s="42">
        <v>4.2009383242022656E-2</v>
      </c>
      <c r="K30" s="84">
        <v>0.27724748695622764</v>
      </c>
      <c r="L30" s="42">
        <v>0.16571142741465167</v>
      </c>
      <c r="M30" s="45">
        <v>0.21133014405967437</v>
      </c>
      <c r="N30" s="45">
        <v>0.43105376969506881</v>
      </c>
      <c r="O30" s="45">
        <v>0</v>
      </c>
    </row>
    <row r="31" spans="2:15" ht="15.75" thickBot="1">
      <c r="B31" s="41">
        <v>35</v>
      </c>
      <c r="C31" s="45">
        <v>6.6141564482753656E-2</v>
      </c>
      <c r="D31" s="42">
        <v>5.3068865972432593E-2</v>
      </c>
      <c r="E31" s="45">
        <v>8.5188994375332103E-2</v>
      </c>
      <c r="F31" s="42">
        <v>0.18991428095225474</v>
      </c>
      <c r="G31" s="45">
        <v>0.32033288642122354</v>
      </c>
      <c r="H31" s="42">
        <v>0.20724180646268642</v>
      </c>
      <c r="I31" s="45">
        <v>5.0098207420779382E-2</v>
      </c>
      <c r="J31" s="42">
        <v>0.10219638064775402</v>
      </c>
      <c r="K31" s="45">
        <v>0.18727682918743155</v>
      </c>
      <c r="L31" s="42">
        <v>0.15043706076104899</v>
      </c>
      <c r="M31" s="45">
        <v>0.29635152634758993</v>
      </c>
      <c r="N31" s="45">
        <v>0.19408880157866018</v>
      </c>
      <c r="O31" s="45">
        <v>0</v>
      </c>
    </row>
    <row r="32" spans="2:15" ht="15.75" thickBot="1">
      <c r="B32" s="41">
        <v>36</v>
      </c>
      <c r="C32" s="45">
        <v>2.8785000053173755E-2</v>
      </c>
      <c r="D32" s="44">
        <v>2.230408302669341E-2</v>
      </c>
      <c r="E32" s="45">
        <v>0</v>
      </c>
      <c r="F32" s="44">
        <v>8.9843471979954057E-2</v>
      </c>
      <c r="G32" s="45">
        <v>0.17972631574151679</v>
      </c>
      <c r="H32" s="44">
        <v>1.699115753255874E-2</v>
      </c>
      <c r="I32" s="45">
        <v>4.9790330477761428E-2</v>
      </c>
      <c r="J32" s="44">
        <v>1.2246466304310135E-2</v>
      </c>
      <c r="K32" s="45">
        <v>0.10399648176041217</v>
      </c>
      <c r="L32" s="44">
        <v>3.4955534521868233E-2</v>
      </c>
      <c r="M32" s="45">
        <v>0.51550950443899268</v>
      </c>
      <c r="N32" s="43" t="s">
        <v>32</v>
      </c>
      <c r="O32" s="43">
        <v>0</v>
      </c>
    </row>
    <row r="33" spans="1:15" ht="15.75" thickBot="1">
      <c r="B33" s="41">
        <v>37</v>
      </c>
      <c r="C33" s="43"/>
      <c r="D33" s="45">
        <v>3.6696424225769651E-2</v>
      </c>
      <c r="E33" s="43"/>
      <c r="F33" s="45">
        <v>4.6930926286658278E-2</v>
      </c>
      <c r="G33" s="43"/>
      <c r="H33" s="45">
        <v>1.9956906254998102E-2</v>
      </c>
      <c r="I33" s="43"/>
      <c r="J33" s="45">
        <v>0</v>
      </c>
      <c r="K33" s="43"/>
      <c r="L33" s="45">
        <v>2.7769952071552258E-2</v>
      </c>
      <c r="M33" s="43"/>
      <c r="N33" s="43"/>
      <c r="O33" s="43"/>
    </row>
    <row r="34" spans="1:15" ht="15.75" thickBot="1"/>
    <row r="35" spans="1:15">
      <c r="A35" t="s">
        <v>299</v>
      </c>
      <c r="B35" s="3"/>
      <c r="C35" s="111" t="s">
        <v>300</v>
      </c>
      <c r="D35" s="112"/>
      <c r="E35" s="113"/>
      <c r="F35" s="14"/>
      <c r="G35" s="111" t="s">
        <v>301</v>
      </c>
      <c r="H35" s="112"/>
      <c r="I35" s="113"/>
    </row>
    <row r="36" spans="1:15" ht="38.25">
      <c r="B36" s="4"/>
      <c r="C36" s="114" t="s">
        <v>302</v>
      </c>
      <c r="D36" s="115"/>
      <c r="E36" s="116"/>
      <c r="F36" s="13" t="s">
        <v>303</v>
      </c>
      <c r="G36" s="114"/>
      <c r="H36" s="115"/>
      <c r="I36" s="116"/>
    </row>
    <row r="37" spans="1:15" ht="15.75" thickBot="1">
      <c r="B37" s="4"/>
      <c r="C37" s="108"/>
      <c r="D37" s="109"/>
      <c r="E37" s="110"/>
      <c r="F37" s="21"/>
      <c r="G37" s="117"/>
      <c r="H37" s="118"/>
      <c r="I37" s="119"/>
    </row>
    <row r="38" spans="1:15">
      <c r="B38" s="4" t="s">
        <v>285</v>
      </c>
      <c r="C38" s="120" t="s">
        <v>277</v>
      </c>
      <c r="D38" s="120" t="s">
        <v>278</v>
      </c>
      <c r="E38" s="122" t="s">
        <v>304</v>
      </c>
      <c r="F38" s="21"/>
      <c r="G38" s="124" t="s">
        <v>305</v>
      </c>
      <c r="H38" s="124" t="s">
        <v>306</v>
      </c>
      <c r="I38" s="26" t="s">
        <v>289</v>
      </c>
    </row>
    <row r="39" spans="1:15" ht="15.75" thickBot="1">
      <c r="B39" s="5"/>
      <c r="C39" s="121"/>
      <c r="D39" s="121"/>
      <c r="E39" s="123"/>
      <c r="F39" s="12"/>
      <c r="G39" s="125"/>
      <c r="H39" s="125"/>
      <c r="I39" s="27" t="s">
        <v>307</v>
      </c>
    </row>
    <row r="40" spans="1:15" ht="26.25" thickBot="1">
      <c r="B40" s="10" t="s">
        <v>291</v>
      </c>
      <c r="C40" s="46">
        <f>'Total Number Of Ind'!H7</f>
        <v>18</v>
      </c>
      <c r="D40" s="46">
        <f>'Total Number Of Ind'!I7</f>
        <v>5</v>
      </c>
      <c r="E40" s="46">
        <f>C40+D40</f>
        <v>23</v>
      </c>
      <c r="F40" s="46">
        <v>10</v>
      </c>
      <c r="G40" s="25">
        <f>C40/F40</f>
        <v>1.8</v>
      </c>
      <c r="H40" s="25">
        <f>D40/F40</f>
        <v>0.5</v>
      </c>
      <c r="I40" s="25">
        <f>E40/F40</f>
        <v>2.2999999999999998</v>
      </c>
    </row>
    <row r="41" spans="1:15" ht="26.25" thickBot="1">
      <c r="B41" s="10" t="s">
        <v>292</v>
      </c>
      <c r="C41" s="46">
        <f>'Total Number Of Ind'!H6</f>
        <v>665</v>
      </c>
      <c r="D41" s="46">
        <f>'Total Number Of Ind'!I6</f>
        <v>14</v>
      </c>
      <c r="E41" s="46">
        <f>C41+D41</f>
        <v>679</v>
      </c>
      <c r="F41" s="46">
        <v>10</v>
      </c>
      <c r="G41" s="25">
        <f t="shared" ref="G41:G48" si="6">C41/F41</f>
        <v>66.5</v>
      </c>
      <c r="H41" s="25">
        <f>D41/F41</f>
        <v>1.4</v>
      </c>
      <c r="I41" s="91">
        <f>E41/F41</f>
        <v>67.900000000000006</v>
      </c>
    </row>
    <row r="42" spans="1:15" ht="26.25" thickBot="1">
      <c r="B42" s="10" t="s">
        <v>293</v>
      </c>
      <c r="C42" s="46">
        <f>'Total Number Of Ind'!H8</f>
        <v>340</v>
      </c>
      <c r="D42" s="46">
        <f>'Total Number Of Ind'!I8</f>
        <v>10</v>
      </c>
      <c r="E42" s="46">
        <f>C42+D42</f>
        <v>350</v>
      </c>
      <c r="F42" s="46">
        <v>14</v>
      </c>
      <c r="G42" s="25">
        <f t="shared" si="6"/>
        <v>24.285714285714285</v>
      </c>
      <c r="H42" s="25">
        <f>D42/F42</f>
        <v>0.7142857142857143</v>
      </c>
      <c r="I42" s="91">
        <f>E42/F42</f>
        <v>25</v>
      </c>
    </row>
    <row r="43" spans="1:15" ht="26.25" thickBot="1">
      <c r="B43" s="10" t="s">
        <v>294</v>
      </c>
      <c r="C43" s="46">
        <f>'Total Number Of Ind'!H9</f>
        <v>15</v>
      </c>
      <c r="D43" s="46">
        <f>'Total Number Of Ind'!I9</f>
        <v>7</v>
      </c>
      <c r="E43" s="46">
        <f>C43+D43</f>
        <v>22</v>
      </c>
      <c r="F43" s="46">
        <v>8</v>
      </c>
      <c r="G43" s="25">
        <f t="shared" si="6"/>
        <v>1.875</v>
      </c>
      <c r="H43" s="25">
        <f>D43/F43</f>
        <v>0.875</v>
      </c>
      <c r="I43" s="25">
        <f>E43/F43</f>
        <v>2.75</v>
      </c>
    </row>
    <row r="44" spans="1:15" ht="26.25" thickBot="1">
      <c r="B44" s="10" t="s">
        <v>295</v>
      </c>
      <c r="C44" s="46">
        <f>SUM(C40:C43)</f>
        <v>1038</v>
      </c>
      <c r="D44" s="46">
        <f>SUM(D40:D43)</f>
        <v>36</v>
      </c>
      <c r="E44" s="46">
        <f>SUM(E40:E43)</f>
        <v>1074</v>
      </c>
      <c r="F44" s="46">
        <f>SUM(F40:F43)</f>
        <v>42</v>
      </c>
      <c r="G44" s="25">
        <f t="shared" si="6"/>
        <v>24.714285714285715</v>
      </c>
      <c r="H44" s="25">
        <f>D44/F44</f>
        <v>0.8571428571428571</v>
      </c>
      <c r="I44" s="91">
        <f>E44/F44</f>
        <v>25.571428571428573</v>
      </c>
    </row>
    <row r="45" spans="1:15" ht="15.75" thickBot="1">
      <c r="B45" s="10"/>
      <c r="C45" s="46"/>
      <c r="D45" s="46"/>
      <c r="E45" s="46"/>
      <c r="F45" s="46"/>
      <c r="G45" s="25"/>
      <c r="H45" s="25"/>
      <c r="I45" s="25"/>
    </row>
    <row r="46" spans="1:15" ht="15.75" thickBot="1">
      <c r="B46" s="10" t="s">
        <v>134</v>
      </c>
      <c r="C46" s="46">
        <f>'Total Number Of Ind'!H5</f>
        <v>19</v>
      </c>
      <c r="D46" s="46">
        <f>'Total Number Of Ind'!I5</f>
        <v>24</v>
      </c>
      <c r="E46" s="46">
        <f>C46+D46</f>
        <v>43</v>
      </c>
      <c r="F46" s="46">
        <v>6</v>
      </c>
      <c r="G46" s="25">
        <f t="shared" si="6"/>
        <v>3.1666666666666665</v>
      </c>
      <c r="H46" s="25">
        <f>D46/F46</f>
        <v>4</v>
      </c>
      <c r="I46" s="25">
        <f>E46/F46</f>
        <v>7.166666666666667</v>
      </c>
    </row>
    <row r="47" spans="1:15" ht="15.75" thickBot="1">
      <c r="B47" s="10" t="s">
        <v>262</v>
      </c>
      <c r="C47" s="46" t="e">
        <f>'Total Number Of Ind'!H10</f>
        <v>#REF!</v>
      </c>
      <c r="D47" s="46" t="e">
        <f>'Total Number Of Ind'!I10</f>
        <v>#REF!</v>
      </c>
      <c r="E47" s="46" t="e">
        <f>C47+D47</f>
        <v>#REF!</v>
      </c>
      <c r="F47" s="46">
        <v>0</v>
      </c>
      <c r="G47" s="25" t="e">
        <f>C47/F47</f>
        <v>#REF!</v>
      </c>
      <c r="H47" s="25" t="e">
        <f>D47/F47</f>
        <v>#REF!</v>
      </c>
      <c r="I47" s="25" t="e">
        <f>E47/F47</f>
        <v>#REF!</v>
      </c>
    </row>
    <row r="48" spans="1:15" ht="15.75" thickBot="1">
      <c r="B48" s="10" t="s">
        <v>33</v>
      </c>
      <c r="C48" s="46">
        <f>'Total Number Of Ind'!H11</f>
        <v>0</v>
      </c>
      <c r="D48" s="46">
        <f>'Total Number Of Ind'!I11</f>
        <v>26</v>
      </c>
      <c r="E48" s="46">
        <f>C48+D48</f>
        <v>26</v>
      </c>
      <c r="F48" s="46">
        <v>5</v>
      </c>
      <c r="G48" s="25">
        <f t="shared" si="6"/>
        <v>0</v>
      </c>
      <c r="H48" s="25">
        <f>D48/F48</f>
        <v>5.2</v>
      </c>
      <c r="I48" s="25">
        <f>E48/F48</f>
        <v>5.2</v>
      </c>
    </row>
    <row r="49" spans="1:15" ht="15.75" thickBot="1"/>
    <row r="50" spans="1:15">
      <c r="A50" t="s">
        <v>308</v>
      </c>
      <c r="B50" s="15"/>
      <c r="C50" s="99" t="s">
        <v>291</v>
      </c>
      <c r="D50" s="101"/>
      <c r="E50" s="99" t="s">
        <v>292</v>
      </c>
      <c r="F50" s="101"/>
      <c r="G50" s="99" t="s">
        <v>293</v>
      </c>
      <c r="H50" s="101"/>
      <c r="I50" s="99" t="s">
        <v>294</v>
      </c>
      <c r="J50" s="101"/>
      <c r="K50" s="99" t="s">
        <v>295</v>
      </c>
      <c r="L50" s="101"/>
      <c r="M50" s="18"/>
      <c r="N50" s="18"/>
      <c r="O50" s="18"/>
    </row>
    <row r="51" spans="1:15" ht="15.75" thickBot="1">
      <c r="B51" s="16"/>
      <c r="C51" s="105"/>
      <c r="D51" s="107"/>
      <c r="E51" s="105"/>
      <c r="F51" s="107"/>
      <c r="G51" s="105"/>
      <c r="H51" s="107"/>
      <c r="I51" s="105"/>
      <c r="J51" s="107"/>
      <c r="K51" s="105"/>
      <c r="L51" s="107"/>
      <c r="M51" s="19"/>
      <c r="N51" s="19"/>
      <c r="O51" s="19"/>
    </row>
    <row r="52" spans="1:15" ht="26.25" thickBot="1">
      <c r="B52" s="17" t="s">
        <v>13</v>
      </c>
      <c r="C52" s="20" t="s">
        <v>297</v>
      </c>
      <c r="D52" s="20" t="s">
        <v>298</v>
      </c>
      <c r="E52" s="20" t="s">
        <v>297</v>
      </c>
      <c r="F52" s="20" t="s">
        <v>298</v>
      </c>
      <c r="G52" s="20" t="s">
        <v>297</v>
      </c>
      <c r="H52" s="20" t="s">
        <v>298</v>
      </c>
      <c r="I52" s="20" t="s">
        <v>297</v>
      </c>
      <c r="J52" s="20" t="s">
        <v>298</v>
      </c>
      <c r="K52" s="20" t="s">
        <v>297</v>
      </c>
      <c r="L52" s="20" t="s">
        <v>298</v>
      </c>
      <c r="M52" s="20" t="s">
        <v>134</v>
      </c>
      <c r="N52" s="20" t="s">
        <v>262</v>
      </c>
      <c r="O52" s="20" t="s">
        <v>33</v>
      </c>
    </row>
    <row r="53" spans="1:15" ht="15.75" thickBot="1">
      <c r="B53" s="17">
        <v>23</v>
      </c>
      <c r="C53" s="45" t="s">
        <v>32</v>
      </c>
      <c r="D53" s="45">
        <v>2.9237654320987652</v>
      </c>
      <c r="E53" s="45" t="s">
        <v>32</v>
      </c>
      <c r="F53" s="45">
        <v>5.4382716049382722</v>
      </c>
      <c r="G53" s="45" t="s">
        <v>32</v>
      </c>
      <c r="H53" s="45">
        <v>8.246921596921597</v>
      </c>
      <c r="I53" s="45" t="s">
        <v>32</v>
      </c>
      <c r="J53" s="45">
        <v>0.46825396825396826</v>
      </c>
      <c r="K53" s="45" t="s">
        <v>32</v>
      </c>
      <c r="L53" s="45">
        <v>5.7949762322823588</v>
      </c>
      <c r="M53" s="45">
        <v>17.666666666666668</v>
      </c>
      <c r="N53" s="45">
        <v>25.666666666666668</v>
      </c>
      <c r="O53" s="45" t="s">
        <v>32</v>
      </c>
    </row>
    <row r="54" spans="1:15" ht="15.75" thickBot="1">
      <c r="B54" s="17">
        <v>24</v>
      </c>
      <c r="C54" s="45" t="s">
        <v>32</v>
      </c>
      <c r="D54" s="72">
        <v>2.5347407407407401</v>
      </c>
      <c r="E54" s="45" t="s">
        <v>32</v>
      </c>
      <c r="F54" s="72">
        <v>6.8065319865319873</v>
      </c>
      <c r="G54" s="45" t="s">
        <v>32</v>
      </c>
      <c r="H54" s="72">
        <v>9.2193015873015884</v>
      </c>
      <c r="I54" s="45" t="s">
        <v>32</v>
      </c>
      <c r="J54" s="72">
        <v>1.6876666666666664</v>
      </c>
      <c r="K54" s="45" t="s">
        <v>32</v>
      </c>
      <c r="L54" s="72">
        <v>5.6799398073260141</v>
      </c>
      <c r="M54" s="45">
        <v>27.571428571428573</v>
      </c>
      <c r="N54" s="45">
        <v>56</v>
      </c>
      <c r="O54" s="45">
        <v>20.25</v>
      </c>
    </row>
    <row r="55" spans="1:15" ht="15.75" thickBot="1">
      <c r="B55" s="17">
        <v>25</v>
      </c>
      <c r="C55" s="45">
        <v>8.7142857142857135</v>
      </c>
      <c r="D55" s="72">
        <v>6.1181058201058196</v>
      </c>
      <c r="E55" s="45">
        <v>14.625</v>
      </c>
      <c r="F55" s="72">
        <v>17.100000000000001</v>
      </c>
      <c r="G55" s="45">
        <v>38.071428571428569</v>
      </c>
      <c r="H55" s="72">
        <v>21.119997557997554</v>
      </c>
      <c r="I55" s="45">
        <v>8.6666666666666661</v>
      </c>
      <c r="J55" s="72">
        <v>3.7272222222222222</v>
      </c>
      <c r="K55" s="45">
        <v>21.8</v>
      </c>
      <c r="L55" s="72">
        <v>13.212537862800467</v>
      </c>
      <c r="M55" s="45">
        <v>39.411764705882355</v>
      </c>
      <c r="N55" s="45">
        <v>38.200000000000003</v>
      </c>
      <c r="O55" s="45">
        <v>14.5</v>
      </c>
    </row>
    <row r="56" spans="1:15" ht="15.75" thickBot="1">
      <c r="B56" s="17">
        <v>26</v>
      </c>
      <c r="C56" s="45">
        <v>30.777777777777779</v>
      </c>
      <c r="D56" s="72">
        <v>11.984888888888889</v>
      </c>
      <c r="E56" s="45">
        <v>51.777777777777779</v>
      </c>
      <c r="F56" s="72">
        <v>30.786666666666669</v>
      </c>
      <c r="G56" s="45">
        <v>26.928571428571427</v>
      </c>
      <c r="H56" s="72">
        <v>33.948031746031752</v>
      </c>
      <c r="I56" s="45">
        <v>13.888888888888889</v>
      </c>
      <c r="J56" s="72">
        <v>8.0932962962962964</v>
      </c>
      <c r="K56" s="45">
        <v>30.365853658536587</v>
      </c>
      <c r="L56" s="72">
        <v>23.182595477554774</v>
      </c>
      <c r="M56" s="45">
        <v>62.583333333333336</v>
      </c>
      <c r="N56" s="45">
        <v>48.5</v>
      </c>
      <c r="O56" s="45">
        <v>5.2</v>
      </c>
    </row>
    <row r="57" spans="1:15" ht="15.75" thickBot="1">
      <c r="B57" s="17">
        <v>27</v>
      </c>
      <c r="C57" s="45">
        <v>76.666666666666671</v>
      </c>
      <c r="D57" s="72">
        <v>23.911111111111108</v>
      </c>
      <c r="E57" s="45">
        <v>112.1</v>
      </c>
      <c r="F57" s="72">
        <v>56.246666666666655</v>
      </c>
      <c r="G57" s="45">
        <v>55.714285714285715</v>
      </c>
      <c r="H57" s="72">
        <v>42.438593406593405</v>
      </c>
      <c r="I57" s="45">
        <v>30.444444444444443</v>
      </c>
      <c r="J57" s="72">
        <v>10.489333333333331</v>
      </c>
      <c r="K57" s="45">
        <v>68.214285714285708</v>
      </c>
      <c r="L57" s="72">
        <v>36.787037698024747</v>
      </c>
      <c r="M57" s="45">
        <v>165.85714285714286</v>
      </c>
      <c r="N57" s="45">
        <v>132.80000000000001</v>
      </c>
      <c r="O57" s="45">
        <v>31</v>
      </c>
    </row>
    <row r="58" spans="1:15" ht="15.75" thickBot="1">
      <c r="B58" s="17">
        <v>28</v>
      </c>
      <c r="C58" s="45">
        <v>48.555555555555557</v>
      </c>
      <c r="D58" s="72">
        <v>40.270825396825408</v>
      </c>
      <c r="E58" s="45">
        <v>146.33333333333334</v>
      </c>
      <c r="F58" s="72">
        <v>75.465000000000003</v>
      </c>
      <c r="G58" s="45">
        <v>175.4</v>
      </c>
      <c r="H58" s="72">
        <v>80.558000000000007</v>
      </c>
      <c r="I58" s="45">
        <v>35.375</v>
      </c>
      <c r="J58" s="72">
        <v>13.99514814814815</v>
      </c>
      <c r="K58" s="45">
        <v>113.85365853658537</v>
      </c>
      <c r="L58" s="72">
        <v>57.168504751377689</v>
      </c>
      <c r="M58" s="45">
        <v>233.58333333333334</v>
      </c>
      <c r="N58" s="45">
        <v>145.80000000000001</v>
      </c>
      <c r="O58" s="45">
        <v>25.4</v>
      </c>
    </row>
    <row r="59" spans="1:15" ht="15.75" thickBot="1">
      <c r="B59" s="17">
        <v>29</v>
      </c>
      <c r="C59" s="45">
        <v>74</v>
      </c>
      <c r="D59" s="72">
        <v>46.360153439153436</v>
      </c>
      <c r="E59" s="45">
        <v>146.80000000000001</v>
      </c>
      <c r="F59" s="72">
        <v>76.777037037037033</v>
      </c>
      <c r="G59" s="45">
        <v>149.4</v>
      </c>
      <c r="H59" s="72">
        <v>66.630253968253967</v>
      </c>
      <c r="I59" s="45">
        <v>20</v>
      </c>
      <c r="J59" s="72">
        <v>20.186037037037035</v>
      </c>
      <c r="K59" s="45">
        <v>112.375</v>
      </c>
      <c r="L59" s="72">
        <v>55.744152269602061</v>
      </c>
      <c r="M59" s="45">
        <v>141.27027027027026</v>
      </c>
      <c r="N59" s="45">
        <v>102.8</v>
      </c>
      <c r="O59" s="45">
        <v>35.200000000000003</v>
      </c>
    </row>
    <row r="60" spans="1:15" ht="15.75" thickBot="1">
      <c r="B60" s="17">
        <v>30</v>
      </c>
      <c r="C60" s="45">
        <v>78.555555555555557</v>
      </c>
      <c r="D60" s="72">
        <v>47.333629629629627</v>
      </c>
      <c r="E60" s="45">
        <v>153.19999999999999</v>
      </c>
      <c r="F60" s="72">
        <v>104.31037037037035</v>
      </c>
      <c r="G60" s="45">
        <v>210.6</v>
      </c>
      <c r="H60" s="72">
        <v>73.769619047619045</v>
      </c>
      <c r="I60" s="45">
        <v>71.555555555555557</v>
      </c>
      <c r="J60" s="72">
        <v>18.398</v>
      </c>
      <c r="K60" s="45">
        <v>140.51162790697674</v>
      </c>
      <c r="L60" s="72">
        <v>64.145595791805079</v>
      </c>
      <c r="M60" s="45">
        <v>109.62162162162163</v>
      </c>
      <c r="N60" s="45">
        <v>220</v>
      </c>
      <c r="O60" s="45">
        <v>50.8</v>
      </c>
    </row>
    <row r="61" spans="1:15" ht="15.75" thickBot="1">
      <c r="B61" s="17">
        <v>31</v>
      </c>
      <c r="C61" s="45">
        <v>19.888888888888889</v>
      </c>
      <c r="D61" s="72">
        <v>58.777555555555558</v>
      </c>
      <c r="E61" s="45">
        <v>182.6</v>
      </c>
      <c r="F61" s="72">
        <v>90.459393939393948</v>
      </c>
      <c r="G61" s="45">
        <v>83.4</v>
      </c>
      <c r="H61" s="72">
        <v>62.980305250305243</v>
      </c>
      <c r="I61" s="45">
        <v>16.222222222222221</v>
      </c>
      <c r="J61" s="72">
        <v>19.287874149659867</v>
      </c>
      <c r="K61" s="45">
        <v>79.116279069767444</v>
      </c>
      <c r="L61" s="72">
        <v>62.263762601195907</v>
      </c>
      <c r="M61" s="45">
        <v>71.108108108108112</v>
      </c>
      <c r="N61" s="45">
        <v>44</v>
      </c>
      <c r="O61" s="45">
        <v>47.4</v>
      </c>
    </row>
    <row r="62" spans="1:15" ht="15.75" thickBot="1">
      <c r="B62" s="17">
        <v>32</v>
      </c>
      <c r="C62" s="45">
        <v>23.888888888888889</v>
      </c>
      <c r="D62" s="72">
        <v>41.927777777777777</v>
      </c>
      <c r="E62" s="45">
        <v>135.80000000000001</v>
      </c>
      <c r="F62" s="72">
        <v>68.318518518518516</v>
      </c>
      <c r="G62" s="45">
        <v>49.4</v>
      </c>
      <c r="H62" s="72">
        <v>52.075882783882783</v>
      </c>
      <c r="I62" s="45">
        <v>12.777777777777779</v>
      </c>
      <c r="J62" s="72">
        <v>16.801412698412697</v>
      </c>
      <c r="K62" s="45">
        <v>56.488372093023258</v>
      </c>
      <c r="L62" s="72">
        <v>46.801711567502259</v>
      </c>
      <c r="M62" s="45">
        <v>57.054054054054056</v>
      </c>
      <c r="N62" s="45">
        <v>43.6</v>
      </c>
      <c r="O62" s="45">
        <v>26.4</v>
      </c>
    </row>
    <row r="63" spans="1:15" ht="15.75" thickBot="1">
      <c r="A63" s="30"/>
      <c r="B63" s="17">
        <v>33</v>
      </c>
      <c r="C63" s="45">
        <v>20.444444444444443</v>
      </c>
      <c r="D63" s="72">
        <v>29.618730158730163</v>
      </c>
      <c r="E63" s="45">
        <v>38.700000000000003</v>
      </c>
      <c r="F63" s="72">
        <v>62.979326599326598</v>
      </c>
      <c r="G63" s="45">
        <v>10.866666666666667</v>
      </c>
      <c r="H63" s="72">
        <v>41.26942857142857</v>
      </c>
      <c r="I63" s="45">
        <v>7.875</v>
      </c>
      <c r="J63" s="72">
        <v>12.777936507936507</v>
      </c>
      <c r="K63" s="45">
        <v>18.976190476190474</v>
      </c>
      <c r="L63" s="72">
        <v>39.116170097375999</v>
      </c>
      <c r="M63" s="45">
        <v>40.542857142857144</v>
      </c>
      <c r="N63" s="45">
        <v>32.200000000000003</v>
      </c>
      <c r="O63" s="45">
        <v>20.6</v>
      </c>
    </row>
    <row r="64" spans="1:15" ht="15.75" thickBot="1">
      <c r="B64" s="17">
        <v>34</v>
      </c>
      <c r="C64" s="45">
        <v>6.8888888888888893</v>
      </c>
      <c r="D64" s="72">
        <v>20.040736961451245</v>
      </c>
      <c r="E64" s="92">
        <v>76.099999999999994</v>
      </c>
      <c r="F64" s="72">
        <v>41.008434343434345</v>
      </c>
      <c r="G64" s="92">
        <v>12.866666666666667</v>
      </c>
      <c r="H64" s="72">
        <v>26.435396825396825</v>
      </c>
      <c r="I64" s="45">
        <v>4.5555555555555554</v>
      </c>
      <c r="J64" s="72">
        <v>8.0002380952380943</v>
      </c>
      <c r="K64" s="92">
        <v>24.581395348837209</v>
      </c>
      <c r="L64" s="72">
        <v>25.573946959453789</v>
      </c>
      <c r="M64" s="45">
        <v>23.756756756756758</v>
      </c>
      <c r="N64" s="45">
        <v>28</v>
      </c>
      <c r="O64" s="45">
        <v>14.6</v>
      </c>
    </row>
    <row r="65" spans="1:20" ht="15.75" thickBot="1">
      <c r="B65" s="17">
        <v>35</v>
      </c>
      <c r="C65" s="45">
        <v>4.7777777777777777</v>
      </c>
      <c r="D65" s="72">
        <v>10.848117913832199</v>
      </c>
      <c r="E65" s="45">
        <v>38.799999999999997</v>
      </c>
      <c r="F65" s="72">
        <v>25.656084656084658</v>
      </c>
      <c r="G65" s="45">
        <v>25.533333333333335</v>
      </c>
      <c r="H65" s="72">
        <v>15.408158730158734</v>
      </c>
      <c r="I65" s="45">
        <v>5</v>
      </c>
      <c r="J65" s="72">
        <v>5.501904761904763</v>
      </c>
      <c r="K65" s="45">
        <v>19.976744186046513</v>
      </c>
      <c r="L65" s="72">
        <v>14.92844993810465</v>
      </c>
      <c r="M65" s="45">
        <v>17.25</v>
      </c>
      <c r="N65" s="45">
        <v>15.6</v>
      </c>
      <c r="O65" s="45">
        <v>5.6</v>
      </c>
    </row>
    <row r="66" spans="1:20" ht="15.75" thickBot="1">
      <c r="B66" s="17">
        <v>36</v>
      </c>
      <c r="C66" s="45">
        <v>2.2999999999999998</v>
      </c>
      <c r="D66" s="45">
        <v>13.453121693121693</v>
      </c>
      <c r="E66" s="45">
        <v>67.900000000000006</v>
      </c>
      <c r="F66" s="45">
        <v>26.099999999999998</v>
      </c>
      <c r="G66" s="45">
        <v>25</v>
      </c>
      <c r="H66" s="45">
        <v>10.110555555555555</v>
      </c>
      <c r="I66" s="45">
        <v>2.75</v>
      </c>
      <c r="J66" s="45">
        <v>5.5740740740740735</v>
      </c>
      <c r="K66" s="45">
        <v>25.571428571428573</v>
      </c>
      <c r="L66" s="45">
        <v>13.689715762273904</v>
      </c>
      <c r="M66" s="45">
        <v>7.166666666666667</v>
      </c>
      <c r="N66" s="43" t="s">
        <v>32</v>
      </c>
      <c r="O66" s="45">
        <v>5.2</v>
      </c>
    </row>
    <row r="67" spans="1:20" ht="15.75" thickBot="1">
      <c r="B67" s="17">
        <v>37</v>
      </c>
      <c r="C67" s="43"/>
      <c r="D67" s="45">
        <v>9.0011111111111113</v>
      </c>
      <c r="E67" s="43"/>
      <c r="F67" s="45">
        <v>12.766666666666667</v>
      </c>
      <c r="G67" s="43"/>
      <c r="H67" s="45">
        <v>6.6174999999999997</v>
      </c>
      <c r="I67" s="43"/>
      <c r="J67" s="45">
        <v>2.0702777777777781</v>
      </c>
      <c r="K67" s="43"/>
      <c r="L67" s="45">
        <v>7.7042337507453791</v>
      </c>
      <c r="M67" s="43"/>
      <c r="N67" s="43"/>
      <c r="O67" s="43"/>
    </row>
    <row r="68" spans="1:20" ht="15.75" thickBot="1"/>
    <row r="69" spans="1:20">
      <c r="A69" t="s">
        <v>309</v>
      </c>
      <c r="B69" s="15"/>
      <c r="C69" s="99" t="s">
        <v>310</v>
      </c>
      <c r="D69" s="100"/>
      <c r="E69" s="101"/>
      <c r="F69" s="99" t="s">
        <v>311</v>
      </c>
      <c r="G69" s="100"/>
      <c r="H69" s="101"/>
      <c r="I69" s="99" t="s">
        <v>312</v>
      </c>
      <c r="J69" s="100"/>
      <c r="K69" s="101"/>
      <c r="L69" s="99" t="s">
        <v>313</v>
      </c>
      <c r="M69" s="100"/>
      <c r="N69" s="101"/>
      <c r="Q69" s="48"/>
      <c r="R69" s="54"/>
    </row>
    <row r="70" spans="1:20">
      <c r="B70" s="16"/>
      <c r="C70" s="102"/>
      <c r="D70" s="103"/>
      <c r="E70" s="104"/>
      <c r="F70" s="102"/>
      <c r="G70" s="103"/>
      <c r="H70" s="104"/>
      <c r="I70" s="102" t="s">
        <v>314</v>
      </c>
      <c r="J70" s="103"/>
      <c r="K70" s="104"/>
      <c r="L70" s="102"/>
      <c r="M70" s="103"/>
      <c r="N70" s="104"/>
      <c r="P70" t="s">
        <v>315</v>
      </c>
      <c r="R70" s="30"/>
    </row>
    <row r="71" spans="1:20" ht="15.75" thickBot="1">
      <c r="B71" s="16"/>
      <c r="C71" s="105"/>
      <c r="D71" s="106"/>
      <c r="E71" s="107"/>
      <c r="F71" s="105"/>
      <c r="G71" s="106"/>
      <c r="H71" s="107"/>
      <c r="I71" s="108"/>
      <c r="J71" s="109"/>
      <c r="K71" s="110"/>
      <c r="L71" s="105"/>
      <c r="M71" s="106"/>
      <c r="N71" s="107"/>
      <c r="R71" s="30"/>
    </row>
    <row r="72" spans="1:20" ht="24.75" thickBot="1">
      <c r="B72" s="17" t="s">
        <v>285</v>
      </c>
      <c r="C72" s="22" t="s">
        <v>277</v>
      </c>
      <c r="D72" s="22" t="s">
        <v>278</v>
      </c>
      <c r="E72" s="20" t="s">
        <v>316</v>
      </c>
      <c r="F72" s="22" t="s">
        <v>277</v>
      </c>
      <c r="G72" s="22" t="s">
        <v>278</v>
      </c>
      <c r="H72" s="20" t="s">
        <v>316</v>
      </c>
      <c r="I72" s="22" t="s">
        <v>277</v>
      </c>
      <c r="J72" s="22" t="s">
        <v>278</v>
      </c>
      <c r="K72" s="20" t="s">
        <v>316</v>
      </c>
      <c r="L72" s="22" t="s">
        <v>277</v>
      </c>
      <c r="M72" s="22" t="s">
        <v>278</v>
      </c>
      <c r="N72" s="20" t="s">
        <v>316</v>
      </c>
      <c r="R72" s="30"/>
      <c r="S72" s="30"/>
      <c r="T72" s="30"/>
    </row>
    <row r="73" spans="1:20" ht="24.75" thickBot="1">
      <c r="B73" s="17" t="s">
        <v>291</v>
      </c>
      <c r="C73" s="46">
        <f>'Total Number Ind Examined '!I8</f>
        <v>70</v>
      </c>
      <c r="D73" s="46">
        <f>'Total Number Ind Examined '!J8</f>
        <v>5</v>
      </c>
      <c r="E73" s="46">
        <f>C73+D73</f>
        <v>75</v>
      </c>
      <c r="F73" s="47">
        <f>'Total Number of Pools Examined'!H8</f>
        <v>7</v>
      </c>
      <c r="G73" s="47">
        <f>'Total Number of Pools Examined'!I8</f>
        <v>3</v>
      </c>
      <c r="H73" s="47">
        <f>F73+G73</f>
        <v>10</v>
      </c>
      <c r="I73" s="47">
        <f>'Total Number of WNV + Pools'!G7</f>
        <v>1</v>
      </c>
      <c r="J73" s="47">
        <f>'Total Number of WNV + Pools'!H7</f>
        <v>0</v>
      </c>
      <c r="K73" s="47">
        <f>'Total Number of WNV + Pools'!I7</f>
        <v>1</v>
      </c>
      <c r="L73" s="29">
        <f>ZONEINFRATE!C2</f>
        <v>15.991666696207641</v>
      </c>
      <c r="M73" s="29">
        <f>ZONEINFRATE!C3</f>
        <v>0</v>
      </c>
      <c r="N73" s="29">
        <v>15.04048108628675</v>
      </c>
      <c r="R73" s="30"/>
      <c r="S73" s="30"/>
      <c r="T73" s="30"/>
    </row>
    <row r="74" spans="1:20" ht="24.75" thickBot="1">
      <c r="B74" s="17" t="s">
        <v>292</v>
      </c>
      <c r="C74" s="46">
        <f>'Total Number Ind Examined '!I7</f>
        <v>700</v>
      </c>
      <c r="D74" s="46">
        <f>'Total Number Ind Examined '!J7</f>
        <v>15</v>
      </c>
      <c r="E74" s="46">
        <f>C74+D74</f>
        <v>715</v>
      </c>
      <c r="F74" s="47">
        <f>'Total Number of Pools Examined'!H7</f>
        <v>21</v>
      </c>
      <c r="G74" s="47">
        <f>'Total Number of Pools Examined'!I7</f>
        <v>7</v>
      </c>
      <c r="H74" s="47">
        <f>F74+G74</f>
        <v>28</v>
      </c>
      <c r="I74" s="47">
        <f>'Total Number of WNV + Pools'!G8</f>
        <v>0</v>
      </c>
      <c r="J74" s="47">
        <f>'Total Number of WNV + Pools'!H8</f>
        <v>0</v>
      </c>
      <c r="K74" s="47">
        <f>'Total Number of WNV + Pools'!I8</f>
        <v>0</v>
      </c>
      <c r="L74" s="29">
        <f>ZONEINFRATE!C4</f>
        <v>0</v>
      </c>
      <c r="M74" s="29">
        <f>ZONEINFRATE!C5</f>
        <v>0</v>
      </c>
      <c r="N74" s="29">
        <v>0</v>
      </c>
      <c r="R74" s="30"/>
      <c r="S74" s="30"/>
      <c r="T74" s="30"/>
    </row>
    <row r="75" spans="1:20" ht="24.75" thickBot="1">
      <c r="B75" s="17" t="s">
        <v>293</v>
      </c>
      <c r="C75" s="46">
        <f>'Total Number Ind Examined '!I9</f>
        <v>432</v>
      </c>
      <c r="D75" s="46">
        <f>'Total Number Ind Examined '!J9</f>
        <v>10</v>
      </c>
      <c r="E75" s="46">
        <f>C75+D75</f>
        <v>442</v>
      </c>
      <c r="F75" s="47">
        <f>'Total Number of Pools Examined'!H9</f>
        <v>14</v>
      </c>
      <c r="G75" s="47">
        <f>'Total Number of Pools Examined'!I9</f>
        <v>4</v>
      </c>
      <c r="H75" s="47">
        <f>F75+G75</f>
        <v>18</v>
      </c>
      <c r="I75" s="47">
        <f>'Total Number of WNV + Pools'!G9</f>
        <v>3</v>
      </c>
      <c r="J75" s="47">
        <f>'Total Number of WNV + Pools'!H9</f>
        <v>0</v>
      </c>
      <c r="K75" s="47">
        <f>'Total Number of WNV + Pools'!I9</f>
        <v>3</v>
      </c>
      <c r="L75" s="29">
        <f>ZONEINFRATE!C6</f>
        <v>7.4004953540624561</v>
      </c>
      <c r="M75" s="29">
        <f>ZONEINFRATE!C7</f>
        <v>0</v>
      </c>
      <c r="N75" s="29">
        <v>7.233409591942392</v>
      </c>
      <c r="R75" s="30"/>
      <c r="S75" s="30"/>
      <c r="T75" s="30"/>
    </row>
    <row r="76" spans="1:20" ht="24.75" thickBot="1">
      <c r="B76" s="17" t="s">
        <v>294</v>
      </c>
      <c r="C76" s="46">
        <f>'Total Number Ind Examined '!I10</f>
        <v>44</v>
      </c>
      <c r="D76" s="46">
        <f>'Total Number Ind Examined '!J10</f>
        <v>7</v>
      </c>
      <c r="E76" s="46">
        <f>C76+D76</f>
        <v>51</v>
      </c>
      <c r="F76" s="47">
        <f>'Total Number of Pools Examined'!H10</f>
        <v>7</v>
      </c>
      <c r="G76" s="47">
        <f>'Total Number of Pools Examined'!I10</f>
        <v>5</v>
      </c>
      <c r="H76" s="47">
        <f>F76+G76</f>
        <v>12</v>
      </c>
      <c r="I76" s="47">
        <f>'Total Number of WNV + Pools'!G10</f>
        <v>1</v>
      </c>
      <c r="J76" s="47">
        <f>'Total Number of WNV + Pools'!H10</f>
        <v>0</v>
      </c>
      <c r="K76" s="47">
        <f>'Total Number of WNV + Pools'!I10</f>
        <v>1</v>
      </c>
      <c r="L76" s="29">
        <f>ZONEINFRATE!C8</f>
        <v>26.554842921472762</v>
      </c>
      <c r="M76" s="29">
        <f>ZONEINFRATE!C9</f>
        <v>0</v>
      </c>
      <c r="N76" s="29">
        <v>23.435547615628078</v>
      </c>
      <c r="R76" s="30"/>
      <c r="S76" s="30"/>
      <c r="T76" s="30"/>
    </row>
    <row r="77" spans="1:20" ht="24.75" thickBot="1">
      <c r="B77" s="17" t="s">
        <v>295</v>
      </c>
      <c r="C77" s="46">
        <f>SUM(C73:C76)</f>
        <v>1246</v>
      </c>
      <c r="D77" s="46">
        <f>SUM(D73:D76)</f>
        <v>37</v>
      </c>
      <c r="E77" s="46">
        <f>C77+D77</f>
        <v>1283</v>
      </c>
      <c r="F77" s="47">
        <f t="shared" ref="F77:K77" si="7">SUM(F73:F76)</f>
        <v>49</v>
      </c>
      <c r="G77" s="47">
        <f t="shared" si="7"/>
        <v>19</v>
      </c>
      <c r="H77" s="47">
        <f>F77+G77</f>
        <v>68</v>
      </c>
      <c r="I77" s="47">
        <f t="shared" si="7"/>
        <v>5</v>
      </c>
      <c r="J77" s="47">
        <f t="shared" si="7"/>
        <v>0</v>
      </c>
      <c r="K77" s="47">
        <f t="shared" si="7"/>
        <v>5</v>
      </c>
      <c r="L77" s="29">
        <f>CITYINFRATE!C2</f>
        <v>4.2079501290340184</v>
      </c>
      <c r="M77" s="29">
        <f>CITYINFRATE!C3</f>
        <v>0</v>
      </c>
      <c r="N77" s="29">
        <v>4.0830865072644826</v>
      </c>
      <c r="P77" s="30" t="s">
        <v>317</v>
      </c>
      <c r="R77" s="30"/>
      <c r="S77" s="30"/>
      <c r="T77" s="30"/>
    </row>
    <row r="78" spans="1:20" ht="15.75" thickBot="1">
      <c r="B78" s="17"/>
      <c r="C78" s="47"/>
      <c r="D78" s="47"/>
      <c r="E78" s="47"/>
      <c r="F78" s="47"/>
      <c r="G78" s="47"/>
      <c r="H78" s="47"/>
      <c r="I78" s="47"/>
      <c r="J78" s="47"/>
      <c r="K78" s="47"/>
      <c r="L78" s="29"/>
      <c r="M78" s="29"/>
      <c r="N78" s="29"/>
      <c r="P78" s="30"/>
      <c r="R78" s="30"/>
      <c r="S78" s="30"/>
    </row>
    <row r="79" spans="1:20" ht="15.75" thickBot="1">
      <c r="B79" s="17" t="s">
        <v>134</v>
      </c>
      <c r="C79" s="47">
        <f>'Total Number Ind Examined '!I6</f>
        <v>1</v>
      </c>
      <c r="D79" s="47">
        <f>'Total Number Ind Examined '!J6</f>
        <v>8</v>
      </c>
      <c r="E79" s="47">
        <f>C79+D79</f>
        <v>9</v>
      </c>
      <c r="F79" s="47">
        <f>'Total Number of Pools Examined'!H6</f>
        <v>1</v>
      </c>
      <c r="G79" s="47">
        <f>'Total Number of Pools Examined'!I6</f>
        <v>2</v>
      </c>
      <c r="H79" s="47">
        <f>F79+G79</f>
        <v>3</v>
      </c>
      <c r="I79" s="47">
        <f>'Total Number of WNV + Pools'!G11</f>
        <v>0</v>
      </c>
      <c r="J79" s="47">
        <f>'Total Number of WNV + Pools'!H11</f>
        <v>1</v>
      </c>
      <c r="K79" s="47">
        <f>I79+J79</f>
        <v>1</v>
      </c>
      <c r="L79" s="29">
        <f>CITYINFRATE!C4</f>
        <v>0</v>
      </c>
      <c r="M79" s="29">
        <f>CITYINFRATE!C5</f>
        <v>128.87737610974818</v>
      </c>
      <c r="N79" s="29">
        <v>120.88596487389202</v>
      </c>
      <c r="R79" s="30"/>
      <c r="S79" s="30"/>
      <c r="T79" s="30"/>
    </row>
    <row r="80" spans="1:20" ht="15.75" thickBot="1">
      <c r="B80" s="17" t="s">
        <v>262</v>
      </c>
      <c r="C80" s="47" t="e">
        <f>'Total Number Ind Examined '!I11</f>
        <v>#REF!</v>
      </c>
      <c r="D80" s="47" t="e">
        <f>'Total Number Ind Examined '!J11</f>
        <v>#REF!</v>
      </c>
      <c r="E80" s="47" t="e">
        <f>C80+D80</f>
        <v>#REF!</v>
      </c>
      <c r="F80" s="47" t="e">
        <f>'Total Number of Pools Examined'!H11</f>
        <v>#REF!</v>
      </c>
      <c r="G80" s="47" t="e">
        <f>'Total Number of Pools Examined'!I11</f>
        <v>#REF!</v>
      </c>
      <c r="H80" s="47" t="e">
        <f>F80+G80</f>
        <v>#REF!</v>
      </c>
      <c r="I80" s="47" t="e">
        <f>'Total Number of WNV + Pools'!G12</f>
        <v>#REF!</v>
      </c>
      <c r="J80" s="47" t="e">
        <f>'Total Number of WNV + Pools'!H12</f>
        <v>#REF!</v>
      </c>
      <c r="K80" s="47" t="e">
        <f>I80+J80</f>
        <v>#REF!</v>
      </c>
      <c r="L80" s="29">
        <f>CITYINFRATE!C6</f>
        <v>0</v>
      </c>
      <c r="M80" s="29">
        <f>CITYINFRATE!C7</f>
        <v>0</v>
      </c>
      <c r="N80" s="29" t="s">
        <v>32</v>
      </c>
      <c r="R80" s="30"/>
      <c r="S80" s="30"/>
      <c r="T80" s="30"/>
    </row>
    <row r="81" spans="1:20" ht="15.75" thickBot="1">
      <c r="B81" s="17" t="s">
        <v>33</v>
      </c>
      <c r="C81" s="47">
        <f>'Total Number Ind Examined '!I12</f>
        <v>0</v>
      </c>
      <c r="D81" s="47">
        <f>'Total Number Ind Examined '!J12</f>
        <v>26</v>
      </c>
      <c r="E81" s="47">
        <f>C81+D81</f>
        <v>26</v>
      </c>
      <c r="F81" s="47">
        <f>'Total Number of Pools Examined'!H12</f>
        <v>0</v>
      </c>
      <c r="G81" s="47">
        <f>'Total Number of Pools Examined'!I12</f>
        <v>5</v>
      </c>
      <c r="H81" s="47">
        <f>F81+G81</f>
        <v>5</v>
      </c>
      <c r="I81" s="47">
        <f>'Total Number of WNV + Pools'!G13</f>
        <v>0</v>
      </c>
      <c r="J81" s="47">
        <f>'Total Number of WNV + Pools'!H13</f>
        <v>0</v>
      </c>
      <c r="K81" s="47">
        <f>I81+J81</f>
        <v>0</v>
      </c>
      <c r="L81" s="29">
        <f>CITYINFRATE!C8</f>
        <v>0</v>
      </c>
      <c r="M81" s="29">
        <f>CITYINFRATE!C9</f>
        <v>0</v>
      </c>
      <c r="N81" s="29">
        <v>0</v>
      </c>
      <c r="R81" s="30"/>
      <c r="S81" s="30"/>
      <c r="T81" s="30"/>
    </row>
    <row r="82" spans="1:20" ht="15.75" thickBot="1">
      <c r="R82" s="30"/>
      <c r="S82" s="54"/>
      <c r="T82" s="30"/>
    </row>
    <row r="83" spans="1:20">
      <c r="A83" t="s">
        <v>318</v>
      </c>
      <c r="B83" s="15"/>
      <c r="C83" s="99" t="s">
        <v>291</v>
      </c>
      <c r="D83" s="101"/>
      <c r="E83" s="99" t="s">
        <v>292</v>
      </c>
      <c r="F83" s="101"/>
      <c r="G83" s="99" t="s">
        <v>293</v>
      </c>
      <c r="H83" s="101"/>
      <c r="I83" s="99" t="s">
        <v>294</v>
      </c>
      <c r="J83" s="101"/>
      <c r="K83" s="99" t="s">
        <v>295</v>
      </c>
      <c r="L83" s="101"/>
      <c r="M83" s="18"/>
      <c r="N83" s="18"/>
      <c r="O83" s="18"/>
      <c r="S83" s="30"/>
    </row>
    <row r="84" spans="1:20" ht="15.75" thickBot="1">
      <c r="B84" s="16"/>
      <c r="C84" s="105"/>
      <c r="D84" s="107"/>
      <c r="E84" s="105"/>
      <c r="F84" s="107"/>
      <c r="G84" s="105"/>
      <c r="H84" s="107"/>
      <c r="I84" s="105"/>
      <c r="J84" s="107"/>
      <c r="K84" s="105"/>
      <c r="L84" s="107"/>
      <c r="M84" s="19"/>
      <c r="N84" s="19"/>
      <c r="O84" s="19"/>
      <c r="S84" s="30"/>
    </row>
    <row r="85" spans="1:20" ht="26.25" thickBot="1">
      <c r="B85" s="17" t="s">
        <v>13</v>
      </c>
      <c r="C85" s="20" t="s">
        <v>297</v>
      </c>
      <c r="D85" s="20" t="s">
        <v>298</v>
      </c>
      <c r="E85" s="20" t="s">
        <v>297</v>
      </c>
      <c r="F85" s="20" t="s">
        <v>298</v>
      </c>
      <c r="G85" s="20" t="s">
        <v>297</v>
      </c>
      <c r="H85" s="20" t="s">
        <v>298</v>
      </c>
      <c r="I85" s="20" t="s">
        <v>297</v>
      </c>
      <c r="J85" s="20" t="s">
        <v>298</v>
      </c>
      <c r="K85" s="20" t="s">
        <v>297</v>
      </c>
      <c r="L85" s="20" t="s">
        <v>298</v>
      </c>
      <c r="M85" s="20" t="s">
        <v>134</v>
      </c>
      <c r="N85" s="20" t="s">
        <v>262</v>
      </c>
      <c r="O85" s="20" t="s">
        <v>33</v>
      </c>
      <c r="S85" s="30"/>
    </row>
    <row r="86" spans="1:20" ht="15.75" thickBot="1">
      <c r="B86" s="17">
        <v>23</v>
      </c>
      <c r="C86" s="45" t="s">
        <v>32</v>
      </c>
      <c r="D86" s="45">
        <v>0</v>
      </c>
      <c r="E86" s="45" t="s">
        <v>32</v>
      </c>
      <c r="F86" s="45">
        <v>0</v>
      </c>
      <c r="G86" s="45" t="s">
        <v>32</v>
      </c>
      <c r="H86" s="45">
        <v>1.7731002705211838</v>
      </c>
      <c r="I86" s="45" t="s">
        <v>32</v>
      </c>
      <c r="J86" s="45">
        <v>0</v>
      </c>
      <c r="K86" s="45" t="s">
        <v>32</v>
      </c>
      <c r="L86" s="45">
        <v>0.57753392895019295</v>
      </c>
      <c r="M86" s="45">
        <v>0</v>
      </c>
      <c r="N86" s="45">
        <v>0</v>
      </c>
      <c r="O86" s="45" t="s">
        <v>32</v>
      </c>
      <c r="S86" s="30"/>
    </row>
    <row r="87" spans="1:20" ht="15.75" thickBot="1">
      <c r="B87" s="17">
        <v>24</v>
      </c>
      <c r="C87" s="45" t="s">
        <v>32</v>
      </c>
      <c r="D87" s="42">
        <v>0</v>
      </c>
      <c r="E87" s="45" t="s">
        <v>32</v>
      </c>
      <c r="F87" s="42">
        <v>0</v>
      </c>
      <c r="G87" s="45" t="s">
        <v>32</v>
      </c>
      <c r="H87" s="42">
        <v>0.91461867631970462</v>
      </c>
      <c r="I87" s="45" t="s">
        <v>32</v>
      </c>
      <c r="J87" s="42">
        <v>0</v>
      </c>
      <c r="K87" s="45" t="s">
        <v>32</v>
      </c>
      <c r="L87" s="42">
        <v>0.34958416122508951</v>
      </c>
      <c r="M87" s="45">
        <v>0</v>
      </c>
      <c r="N87" s="45">
        <v>0</v>
      </c>
      <c r="O87" s="45">
        <v>0</v>
      </c>
    </row>
    <row r="88" spans="1:20" ht="15.75" thickBot="1">
      <c r="B88" s="17">
        <v>25</v>
      </c>
      <c r="C88" s="45">
        <v>0</v>
      </c>
      <c r="D88" s="42">
        <v>0</v>
      </c>
      <c r="E88" s="45">
        <v>0</v>
      </c>
      <c r="F88" s="42">
        <v>0.41486392796105837</v>
      </c>
      <c r="G88" s="45">
        <v>0</v>
      </c>
      <c r="H88" s="42">
        <v>0</v>
      </c>
      <c r="I88" s="45">
        <v>0</v>
      </c>
      <c r="J88" s="42">
        <v>0</v>
      </c>
      <c r="K88" s="45">
        <v>0</v>
      </c>
      <c r="L88" s="42">
        <v>5.4649716083378951E-2</v>
      </c>
      <c r="M88" s="45">
        <v>0</v>
      </c>
      <c r="N88" s="45">
        <v>0</v>
      </c>
      <c r="O88" s="45">
        <v>0</v>
      </c>
    </row>
    <row r="89" spans="1:20" ht="15.75" thickBot="1">
      <c r="B89" s="17">
        <v>26</v>
      </c>
      <c r="C89" s="45">
        <v>0</v>
      </c>
      <c r="D89" s="42">
        <v>0</v>
      </c>
      <c r="E89" s="45">
        <v>0</v>
      </c>
      <c r="F89" s="42">
        <v>7.2000000000000008E-2</v>
      </c>
      <c r="G89" s="45">
        <v>0</v>
      </c>
      <c r="H89" s="42">
        <v>0.31449052652250775</v>
      </c>
      <c r="I89" s="45">
        <v>0</v>
      </c>
      <c r="J89" s="42">
        <v>0.32141780136128073</v>
      </c>
      <c r="K89" s="45">
        <v>0</v>
      </c>
      <c r="L89" s="42">
        <v>0.19535709986293343</v>
      </c>
      <c r="M89" s="45">
        <v>0</v>
      </c>
      <c r="N89" s="45">
        <v>0</v>
      </c>
      <c r="O89" s="45">
        <v>0</v>
      </c>
    </row>
    <row r="90" spans="1:20" ht="15.75" thickBot="1">
      <c r="B90" s="17">
        <v>27</v>
      </c>
      <c r="C90" s="45">
        <v>0</v>
      </c>
      <c r="D90" s="42">
        <v>0</v>
      </c>
      <c r="E90" s="45">
        <v>0</v>
      </c>
      <c r="F90" s="42">
        <v>0.16182086584483199</v>
      </c>
      <c r="G90" s="45">
        <v>0</v>
      </c>
      <c r="H90" s="42">
        <v>0.32071390752625589</v>
      </c>
      <c r="I90" s="45">
        <v>0</v>
      </c>
      <c r="J90" s="42">
        <v>0</v>
      </c>
      <c r="K90" s="45">
        <v>0</v>
      </c>
      <c r="L90" s="42">
        <v>0.23048364486679868</v>
      </c>
      <c r="M90" s="45">
        <v>0</v>
      </c>
      <c r="N90" s="45">
        <v>0</v>
      </c>
      <c r="O90" s="45">
        <v>0</v>
      </c>
    </row>
    <row r="91" spans="1:20" ht="15.75" thickBot="1">
      <c r="B91" s="17">
        <v>28</v>
      </c>
      <c r="C91" s="45">
        <v>0</v>
      </c>
      <c r="D91" s="42">
        <v>0</v>
      </c>
      <c r="E91" s="45">
        <v>0</v>
      </c>
      <c r="F91" s="42">
        <v>0.47471714197259113</v>
      </c>
      <c r="G91" s="45">
        <v>0.69085117523584549</v>
      </c>
      <c r="H91" s="42">
        <v>0.69060898498244161</v>
      </c>
      <c r="I91" s="45">
        <v>0</v>
      </c>
      <c r="J91" s="42">
        <v>0.54726578134547954</v>
      </c>
      <c r="K91" s="45">
        <v>0.38025593340843755</v>
      </c>
      <c r="L91" s="42">
        <v>0.48653889235559006</v>
      </c>
      <c r="M91" s="45">
        <v>0</v>
      </c>
      <c r="N91" s="45">
        <v>0</v>
      </c>
      <c r="O91" s="45">
        <v>7.5049918103511191</v>
      </c>
    </row>
    <row r="92" spans="1:20" ht="15.75" thickBot="1">
      <c r="B92" s="17">
        <v>29</v>
      </c>
      <c r="C92" s="45">
        <v>0</v>
      </c>
      <c r="D92" s="42">
        <v>1.4437203225387665</v>
      </c>
      <c r="E92" s="45">
        <v>0</v>
      </c>
      <c r="F92" s="42">
        <v>0.97122022885229875</v>
      </c>
      <c r="G92" s="45">
        <v>0.82828515071541908</v>
      </c>
      <c r="H92" s="42">
        <v>2.1819997580848409</v>
      </c>
      <c r="I92" s="45">
        <v>0</v>
      </c>
      <c r="J92" s="42">
        <v>0.94948410292696961</v>
      </c>
      <c r="K92" s="45">
        <v>0.39688111051761554</v>
      </c>
      <c r="L92" s="42">
        <v>1.4706880356927585</v>
      </c>
      <c r="M92" s="45">
        <v>0.81350779528490436</v>
      </c>
      <c r="N92" s="45">
        <v>1.9131644206009217</v>
      </c>
      <c r="O92" s="45">
        <v>0</v>
      </c>
    </row>
    <row r="93" spans="1:20" ht="15.75" thickBot="1">
      <c r="B93" s="17">
        <v>30</v>
      </c>
      <c r="C93" s="45">
        <v>0</v>
      </c>
      <c r="D93" s="42">
        <v>2.2378513655527175</v>
      </c>
      <c r="E93" s="45">
        <v>0</v>
      </c>
      <c r="F93" s="42">
        <v>1.7170291445697718</v>
      </c>
      <c r="G93" s="45">
        <v>1.957396628576805</v>
      </c>
      <c r="H93" s="42">
        <v>3.6592918154883498</v>
      </c>
      <c r="I93" s="45">
        <v>2.6980391180803407</v>
      </c>
      <c r="J93" s="42">
        <v>2.1591293062272765</v>
      </c>
      <c r="K93" s="45">
        <v>1.2840768224069585</v>
      </c>
      <c r="L93" s="42">
        <v>2.5402983129424963</v>
      </c>
      <c r="M93" s="45">
        <v>1.1376706821408558</v>
      </c>
      <c r="N93" s="45">
        <v>1.8619670907199535</v>
      </c>
      <c r="O93" s="45">
        <v>0</v>
      </c>
    </row>
    <row r="94" spans="1:20" ht="15.75" thickBot="1">
      <c r="B94" s="17">
        <v>31</v>
      </c>
      <c r="C94" s="45">
        <v>0</v>
      </c>
      <c r="D94" s="42">
        <v>3.3327259340692312</v>
      </c>
      <c r="E94" s="45">
        <v>1.0630688848567922</v>
      </c>
      <c r="F94" s="42">
        <v>1.9941342883095388</v>
      </c>
      <c r="G94" s="45">
        <v>7.0896272807242617</v>
      </c>
      <c r="H94" s="42">
        <v>4.5222692885150675</v>
      </c>
      <c r="I94" s="45">
        <v>5.9023616517154807</v>
      </c>
      <c r="J94" s="42">
        <v>2.9442161101106246</v>
      </c>
      <c r="K94" s="45">
        <v>3.6726873350385705</v>
      </c>
      <c r="L94" s="42">
        <v>3.2609755643970662</v>
      </c>
      <c r="M94" s="45">
        <v>3.0719641586541457</v>
      </c>
      <c r="N94" s="45">
        <v>4.3607083768983834</v>
      </c>
      <c r="O94" s="45">
        <v>4.2402756426763109</v>
      </c>
    </row>
    <row r="95" spans="1:20" ht="15.75" thickBot="1">
      <c r="B95" s="17">
        <v>32</v>
      </c>
      <c r="C95" s="45">
        <v>18.262871449316609</v>
      </c>
      <c r="D95" s="42">
        <v>3.4184538424837738</v>
      </c>
      <c r="E95" s="45">
        <v>3.3311309281306896</v>
      </c>
      <c r="F95" s="42">
        <v>4.8816987786906765</v>
      </c>
      <c r="G95" s="45">
        <v>11.807305318585254</v>
      </c>
      <c r="H95" s="42">
        <v>6.8560821069723499</v>
      </c>
      <c r="I95" s="45">
        <v>8.8743941579352033</v>
      </c>
      <c r="J95" s="42">
        <v>9.6856137912720577</v>
      </c>
      <c r="K95" s="45">
        <v>7.7712223120058725</v>
      </c>
      <c r="L95" s="42">
        <v>5.308681511378933</v>
      </c>
      <c r="M95" s="45">
        <v>7.262916136017032</v>
      </c>
      <c r="N95" s="45">
        <v>9.246788417672084</v>
      </c>
      <c r="O95" s="45">
        <v>7.7891709755554466</v>
      </c>
    </row>
    <row r="96" spans="1:20" ht="15.75" thickBot="1">
      <c r="B96" s="17">
        <v>33</v>
      </c>
      <c r="C96" s="45">
        <v>9.0327942215862205</v>
      </c>
      <c r="D96" s="42">
        <v>6.3771551243504367</v>
      </c>
      <c r="E96" s="45">
        <v>13.718232076680634</v>
      </c>
      <c r="F96" s="42">
        <v>6.1610406918702783</v>
      </c>
      <c r="G96" s="45">
        <v>13.532684984489514</v>
      </c>
      <c r="H96" s="42">
        <v>9.4696207721365226</v>
      </c>
      <c r="I96" s="45">
        <v>17.324835455425458</v>
      </c>
      <c r="J96" s="42">
        <v>6.2092160673908259</v>
      </c>
      <c r="K96" s="45">
        <v>13.782863477763659</v>
      </c>
      <c r="L96" s="42">
        <v>7.317436463408507</v>
      </c>
      <c r="M96" s="45">
        <v>8.1915089755304873</v>
      </c>
      <c r="N96" s="45">
        <v>0</v>
      </c>
      <c r="O96" s="45">
        <v>0</v>
      </c>
    </row>
    <row r="97" spans="2:16" ht="15.75" thickBot="1">
      <c r="B97" s="17">
        <v>34</v>
      </c>
      <c r="C97" s="45">
        <v>19.406258109306371</v>
      </c>
      <c r="D97" s="42">
        <v>7.3836711578361491</v>
      </c>
      <c r="E97" s="45">
        <v>8.7766556790695276</v>
      </c>
      <c r="F97" s="42">
        <v>3.8238561896498746</v>
      </c>
      <c r="G97" s="45">
        <v>13.152001409569284</v>
      </c>
      <c r="H97" s="42">
        <v>10.576536356901061</v>
      </c>
      <c r="I97" s="45">
        <v>14.217051843178213</v>
      </c>
      <c r="J97" s="42">
        <v>9.4475734770832265</v>
      </c>
      <c r="K97" s="45">
        <v>11.643870317400655</v>
      </c>
      <c r="L97" s="42">
        <v>7.298531802350726</v>
      </c>
      <c r="M97" s="45">
        <v>9.7367197513133537</v>
      </c>
      <c r="N97" s="45">
        <v>15.990136642062822</v>
      </c>
      <c r="O97" s="45">
        <v>0</v>
      </c>
      <c r="P97" s="30"/>
    </row>
    <row r="98" spans="2:16" ht="15.75" thickBot="1">
      <c r="B98" s="17">
        <v>35</v>
      </c>
      <c r="C98" s="45">
        <v>21.117391600590022</v>
      </c>
      <c r="D98" s="42">
        <v>8.8693834284752811</v>
      </c>
      <c r="E98" s="45">
        <v>2.228797958449297</v>
      </c>
      <c r="F98" s="42">
        <v>5.8801482142779564</v>
      </c>
      <c r="G98" s="45">
        <v>13.138945656704559</v>
      </c>
      <c r="H98" s="42">
        <v>14.877199676942061</v>
      </c>
      <c r="I98" s="45">
        <v>13.844138551062645</v>
      </c>
      <c r="J98" s="42">
        <v>38.792853321706524</v>
      </c>
      <c r="K98" s="45">
        <v>9.6477187525896753</v>
      </c>
      <c r="L98" s="42">
        <v>10.044460381455568</v>
      </c>
      <c r="M98" s="45">
        <v>18.549905981209687</v>
      </c>
      <c r="N98" s="45">
        <v>12.400849813269462</v>
      </c>
      <c r="O98" s="45">
        <v>0</v>
      </c>
    </row>
    <row r="99" spans="2:16" ht="15.75" thickBot="1">
      <c r="B99" s="17">
        <v>36</v>
      </c>
      <c r="C99" s="45">
        <v>15.04048108628675</v>
      </c>
      <c r="D99" s="44">
        <v>4.8180521271603727</v>
      </c>
      <c r="E99" s="45">
        <v>0</v>
      </c>
      <c r="F99" s="44">
        <v>2.4002468793743565</v>
      </c>
      <c r="G99" s="45">
        <v>7.233409591942392</v>
      </c>
      <c r="H99" s="44">
        <v>2.777344459548472</v>
      </c>
      <c r="I99" s="45">
        <v>23.435547615628078</v>
      </c>
      <c r="J99" s="44">
        <v>4.6947976771630993</v>
      </c>
      <c r="K99" s="45">
        <v>4.0830865072644826</v>
      </c>
      <c r="L99" s="44">
        <v>2.4726846177832784</v>
      </c>
      <c r="M99" s="45">
        <v>120.88596487389202</v>
      </c>
      <c r="N99" s="43" t="s">
        <v>32</v>
      </c>
      <c r="O99" s="45">
        <v>0</v>
      </c>
    </row>
    <row r="100" spans="2:16" ht="15.75" thickBot="1">
      <c r="B100" s="17">
        <v>37</v>
      </c>
      <c r="C100" s="43"/>
      <c r="D100" s="45">
        <v>4.4168490387932202</v>
      </c>
      <c r="E100" s="43"/>
      <c r="F100" s="45">
        <v>3.0264252993957941</v>
      </c>
      <c r="G100" s="43"/>
      <c r="H100" s="45">
        <v>3.9303436400778473</v>
      </c>
      <c r="I100" s="43"/>
      <c r="J100" s="45">
        <v>0</v>
      </c>
      <c r="K100" s="43"/>
      <c r="L100" s="45">
        <v>4.3017902457268162</v>
      </c>
      <c r="M100" s="43"/>
      <c r="N100" s="43"/>
      <c r="O100" s="43"/>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D43" zoomScaleNormal="100" workbookViewId="0">
      <selection activeCell="K17" sqref="K17"/>
    </sheetView>
  </sheetViews>
  <sheetFormatPr defaultRowHeight="11.25"/>
  <cols>
    <col min="1" max="1" width="11.28515625" style="65" customWidth="1"/>
    <col min="2" max="2" width="14.5703125" style="35" customWidth="1"/>
    <col min="3" max="3" width="9.42578125" style="35" bestFit="1" customWidth="1"/>
    <col min="4" max="4" width="6.5703125" style="59" bestFit="1" customWidth="1"/>
    <col min="5" max="5" width="13" style="57"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2" customWidth="1"/>
    <col min="15" max="15" width="7.42578125" style="62" customWidth="1"/>
    <col min="16" max="16" width="7.140625" style="62" customWidth="1"/>
    <col min="17" max="17" width="11.140625" style="35" customWidth="1"/>
    <col min="18" max="18" width="10.7109375" style="35" customWidth="1"/>
    <col min="19" max="19" width="13.7109375" style="35" customWidth="1"/>
    <col min="20" max="21" width="9.140625" style="35"/>
    <col min="22" max="22" width="9.140625" style="49"/>
    <col min="23" max="23" width="9.140625" style="35"/>
    <col min="24" max="26" width="9.140625" style="49"/>
    <col min="27" max="27" width="9.140625" style="49" customWidth="1"/>
    <col min="28" max="28" width="9.140625" style="49"/>
    <col min="29"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8" s="34" customFormat="1" ht="43.9" customHeight="1">
      <c r="A1" s="63" t="s">
        <v>10</v>
      </c>
      <c r="B1" s="36" t="s">
        <v>11</v>
      </c>
      <c r="C1" s="36" t="s">
        <v>12</v>
      </c>
      <c r="D1" s="58" t="s">
        <v>13</v>
      </c>
      <c r="E1" s="55" t="s">
        <v>14</v>
      </c>
      <c r="F1" s="37" t="s">
        <v>15</v>
      </c>
      <c r="G1" s="37" t="s">
        <v>16</v>
      </c>
      <c r="H1" s="36" t="s">
        <v>17</v>
      </c>
      <c r="I1" s="36" t="s">
        <v>18</v>
      </c>
      <c r="J1" s="36" t="s">
        <v>19</v>
      </c>
      <c r="K1" s="36" t="s">
        <v>20</v>
      </c>
      <c r="L1" s="36" t="s">
        <v>21</v>
      </c>
      <c r="M1" s="36" t="s">
        <v>22</v>
      </c>
      <c r="N1" s="60" t="s">
        <v>23</v>
      </c>
      <c r="O1" s="60" t="s">
        <v>24</v>
      </c>
      <c r="P1" s="60" t="s">
        <v>25</v>
      </c>
      <c r="Q1" s="58" t="s">
        <v>26</v>
      </c>
      <c r="R1" s="36" t="s">
        <v>27</v>
      </c>
      <c r="S1" s="36" t="s">
        <v>28</v>
      </c>
      <c r="T1" s="38" t="s">
        <v>29</v>
      </c>
      <c r="U1" s="38" t="s">
        <v>30</v>
      </c>
      <c r="V1" s="67"/>
      <c r="X1" s="67"/>
      <c r="Y1" s="67"/>
      <c r="Z1" s="67"/>
      <c r="AA1" s="67"/>
      <c r="AB1" s="67"/>
    </row>
    <row r="2" spans="1:28" s="49" customFormat="1">
      <c r="A2" s="61">
        <v>2021</v>
      </c>
      <c r="B2" s="49" t="s">
        <v>31</v>
      </c>
      <c r="C2" s="51" t="s">
        <v>32</v>
      </c>
      <c r="D2" s="51">
        <v>36</v>
      </c>
      <c r="E2" s="66">
        <v>44445</v>
      </c>
      <c r="F2" s="49" t="s">
        <v>33</v>
      </c>
      <c r="G2" s="50" t="s">
        <v>33</v>
      </c>
      <c r="H2" s="49" t="s">
        <v>34</v>
      </c>
      <c r="I2" s="49" t="s">
        <v>33</v>
      </c>
      <c r="J2" s="49" t="s">
        <v>35</v>
      </c>
      <c r="K2" s="49" t="s">
        <v>36</v>
      </c>
      <c r="L2" s="49" t="s">
        <v>37</v>
      </c>
      <c r="M2" s="49" t="s">
        <v>38</v>
      </c>
      <c r="N2" s="61">
        <v>0</v>
      </c>
      <c r="O2" s="61">
        <v>8</v>
      </c>
      <c r="P2" s="61">
        <v>8</v>
      </c>
      <c r="Q2" s="52">
        <v>0</v>
      </c>
      <c r="R2" s="49" t="s">
        <v>39</v>
      </c>
      <c r="T2" s="49" t="s">
        <v>40</v>
      </c>
      <c r="U2" s="49" t="s">
        <v>40</v>
      </c>
    </row>
    <row r="3" spans="1:28" s="49" customFormat="1">
      <c r="A3" s="61">
        <v>2021</v>
      </c>
      <c r="B3" s="49" t="s">
        <v>41</v>
      </c>
      <c r="C3" s="51" t="s">
        <v>32</v>
      </c>
      <c r="D3" s="51">
        <v>36</v>
      </c>
      <c r="E3" s="66">
        <v>44445</v>
      </c>
      <c r="F3" s="49" t="s">
        <v>33</v>
      </c>
      <c r="G3" s="50" t="s">
        <v>33</v>
      </c>
      <c r="H3" s="49" t="s">
        <v>42</v>
      </c>
      <c r="I3" s="49" t="s">
        <v>33</v>
      </c>
      <c r="J3" s="49" t="s">
        <v>35</v>
      </c>
      <c r="K3" s="49" t="s">
        <v>36</v>
      </c>
      <c r="L3" s="49" t="s">
        <v>37</v>
      </c>
      <c r="M3" s="49" t="s">
        <v>38</v>
      </c>
      <c r="N3" s="61">
        <v>0</v>
      </c>
      <c r="O3" s="61">
        <v>7</v>
      </c>
      <c r="P3" s="61">
        <v>7</v>
      </c>
      <c r="Q3" s="52">
        <v>0</v>
      </c>
      <c r="R3" s="49" t="s">
        <v>39</v>
      </c>
      <c r="T3" s="49" t="s">
        <v>40</v>
      </c>
      <c r="U3" s="49" t="s">
        <v>40</v>
      </c>
    </row>
    <row r="4" spans="1:28" s="49" customFormat="1">
      <c r="A4" s="61">
        <v>2021</v>
      </c>
      <c r="B4" s="49" t="s">
        <v>43</v>
      </c>
      <c r="C4" s="51" t="s">
        <v>32</v>
      </c>
      <c r="D4" s="51">
        <v>36</v>
      </c>
      <c r="E4" s="66">
        <v>44445</v>
      </c>
      <c r="F4" s="49" t="s">
        <v>33</v>
      </c>
      <c r="G4" s="50" t="s">
        <v>33</v>
      </c>
      <c r="H4" s="49" t="s">
        <v>44</v>
      </c>
      <c r="I4" s="50" t="s">
        <v>33</v>
      </c>
      <c r="J4" s="49" t="s">
        <v>35</v>
      </c>
      <c r="K4" s="49" t="s">
        <v>36</v>
      </c>
      <c r="L4" s="49" t="s">
        <v>37</v>
      </c>
      <c r="M4" s="49" t="s">
        <v>38</v>
      </c>
      <c r="N4" s="61">
        <v>0</v>
      </c>
      <c r="O4" s="61">
        <v>3</v>
      </c>
      <c r="P4" s="61">
        <v>3</v>
      </c>
      <c r="Q4" s="52">
        <v>0</v>
      </c>
      <c r="R4" s="49" t="s">
        <v>39</v>
      </c>
      <c r="T4" s="49" t="s">
        <v>40</v>
      </c>
      <c r="U4" s="49" t="s">
        <v>40</v>
      </c>
    </row>
    <row r="5" spans="1:28" s="49" customFormat="1">
      <c r="A5" s="61">
        <v>2021</v>
      </c>
      <c r="B5" s="49" t="s">
        <v>45</v>
      </c>
      <c r="C5" s="51" t="s">
        <v>32</v>
      </c>
      <c r="D5" s="52">
        <v>36</v>
      </c>
      <c r="E5" s="66">
        <v>44445</v>
      </c>
      <c r="F5" s="49" t="s">
        <v>33</v>
      </c>
      <c r="G5" s="50" t="s">
        <v>33</v>
      </c>
      <c r="H5" s="49" t="s">
        <v>46</v>
      </c>
      <c r="I5" s="50" t="s">
        <v>33</v>
      </c>
      <c r="J5" s="49" t="s">
        <v>35</v>
      </c>
      <c r="K5" s="49" t="s">
        <v>36</v>
      </c>
      <c r="L5" s="49" t="s">
        <v>37</v>
      </c>
      <c r="M5" s="49" t="s">
        <v>38</v>
      </c>
      <c r="N5" s="61">
        <v>0</v>
      </c>
      <c r="O5" s="61">
        <v>5</v>
      </c>
      <c r="P5" s="61">
        <v>5</v>
      </c>
      <c r="Q5" s="52">
        <v>0</v>
      </c>
      <c r="R5" s="49" t="s">
        <v>39</v>
      </c>
      <c r="T5" s="49" t="s">
        <v>40</v>
      </c>
      <c r="U5" s="49" t="s">
        <v>40</v>
      </c>
    </row>
    <row r="6" spans="1:28" s="49" customFormat="1">
      <c r="A6" s="61">
        <v>2021</v>
      </c>
      <c r="B6" s="49" t="s">
        <v>47</v>
      </c>
      <c r="C6" s="51" t="s">
        <v>32</v>
      </c>
      <c r="D6" s="51">
        <v>36</v>
      </c>
      <c r="E6" s="66">
        <v>44445</v>
      </c>
      <c r="F6" s="49" t="s">
        <v>33</v>
      </c>
      <c r="G6" s="50" t="s">
        <v>33</v>
      </c>
      <c r="H6" s="49" t="s">
        <v>48</v>
      </c>
      <c r="I6" s="50" t="s">
        <v>33</v>
      </c>
      <c r="J6" s="49" t="s">
        <v>35</v>
      </c>
      <c r="K6" s="49" t="s">
        <v>36</v>
      </c>
      <c r="L6" s="49" t="s">
        <v>37</v>
      </c>
      <c r="M6" s="49" t="s">
        <v>38</v>
      </c>
      <c r="N6" s="61">
        <v>0</v>
      </c>
      <c r="O6" s="61">
        <v>3</v>
      </c>
      <c r="P6" s="61">
        <v>3</v>
      </c>
      <c r="Q6" s="52">
        <v>0</v>
      </c>
      <c r="R6" s="49" t="s">
        <v>39</v>
      </c>
      <c r="T6" s="49" t="s">
        <v>40</v>
      </c>
      <c r="U6" s="49" t="s">
        <v>40</v>
      </c>
    </row>
    <row r="7" spans="1:28" s="49" customFormat="1">
      <c r="A7" s="73">
        <v>2021</v>
      </c>
      <c r="B7" s="74" t="s">
        <v>49</v>
      </c>
      <c r="C7" s="81">
        <v>26759</v>
      </c>
      <c r="D7" s="76">
        <v>36</v>
      </c>
      <c r="E7" s="78">
        <v>44445</v>
      </c>
      <c r="F7" s="74" t="s">
        <v>50</v>
      </c>
      <c r="G7" s="75" t="s">
        <v>51</v>
      </c>
      <c r="H7" s="74" t="s">
        <v>52</v>
      </c>
      <c r="I7" s="75" t="s">
        <v>53</v>
      </c>
      <c r="J7" s="74" t="s">
        <v>54</v>
      </c>
      <c r="K7" s="74" t="s">
        <v>36</v>
      </c>
      <c r="L7" s="74" t="s">
        <v>55</v>
      </c>
      <c r="M7" s="74" t="s">
        <v>38</v>
      </c>
      <c r="N7" s="73">
        <v>26</v>
      </c>
      <c r="O7" s="73"/>
      <c r="P7" s="73">
        <v>26</v>
      </c>
      <c r="Q7" s="76">
        <v>1</v>
      </c>
      <c r="R7" s="74" t="s">
        <v>56</v>
      </c>
      <c r="S7" s="74"/>
      <c r="T7" s="74" t="s">
        <v>57</v>
      </c>
      <c r="U7" s="74" t="s">
        <v>58</v>
      </c>
    </row>
    <row r="8" spans="1:28" s="49" customFormat="1">
      <c r="A8" s="61">
        <v>2021</v>
      </c>
      <c r="B8" s="49" t="s">
        <v>59</v>
      </c>
      <c r="C8" s="51">
        <v>26760</v>
      </c>
      <c r="D8" s="52">
        <v>36</v>
      </c>
      <c r="E8" s="66">
        <v>44445</v>
      </c>
      <c r="F8" s="49" t="s">
        <v>50</v>
      </c>
      <c r="G8" s="50" t="s">
        <v>51</v>
      </c>
      <c r="H8" s="49" t="s">
        <v>60</v>
      </c>
      <c r="I8" s="50" t="s">
        <v>53</v>
      </c>
      <c r="J8" s="49" t="s">
        <v>35</v>
      </c>
      <c r="K8" s="49" t="s">
        <v>36</v>
      </c>
      <c r="L8" s="49" t="s">
        <v>37</v>
      </c>
      <c r="M8" s="49" t="s">
        <v>38</v>
      </c>
      <c r="N8" s="61"/>
      <c r="O8" s="61">
        <v>3</v>
      </c>
      <c r="P8" s="61">
        <v>3</v>
      </c>
      <c r="Q8" s="52">
        <v>0</v>
      </c>
      <c r="R8" s="49" t="s">
        <v>39</v>
      </c>
      <c r="T8" s="49" t="s">
        <v>61</v>
      </c>
      <c r="U8" s="49" t="s">
        <v>62</v>
      </c>
    </row>
    <row r="9" spans="1:28" s="49" customFormat="1">
      <c r="A9" s="61">
        <v>2021</v>
      </c>
      <c r="B9" s="49" t="s">
        <v>63</v>
      </c>
      <c r="C9" s="51">
        <v>26761</v>
      </c>
      <c r="D9" s="52">
        <v>36</v>
      </c>
      <c r="E9" s="66">
        <v>44445</v>
      </c>
      <c r="F9" s="49" t="s">
        <v>50</v>
      </c>
      <c r="G9" s="50" t="s">
        <v>51</v>
      </c>
      <c r="H9" s="49" t="s">
        <v>64</v>
      </c>
      <c r="I9" s="50" t="s">
        <v>53</v>
      </c>
      <c r="J9" s="49" t="s">
        <v>54</v>
      </c>
      <c r="K9" s="49" t="s">
        <v>36</v>
      </c>
      <c r="L9" s="49" t="s">
        <v>55</v>
      </c>
      <c r="M9" s="49" t="s">
        <v>38</v>
      </c>
      <c r="N9" s="61">
        <v>19</v>
      </c>
      <c r="O9" s="61"/>
      <c r="P9" s="61">
        <v>19</v>
      </c>
      <c r="Q9" s="52">
        <v>0</v>
      </c>
      <c r="R9" s="49" t="s">
        <v>39</v>
      </c>
      <c r="T9" s="49" t="s">
        <v>57</v>
      </c>
      <c r="U9" s="49" t="s">
        <v>58</v>
      </c>
    </row>
    <row r="10" spans="1:28" s="49" customFormat="1">
      <c r="A10" s="61">
        <v>2021</v>
      </c>
      <c r="B10" s="49" t="s">
        <v>65</v>
      </c>
      <c r="C10" s="51">
        <v>26762</v>
      </c>
      <c r="D10" s="52">
        <v>36</v>
      </c>
      <c r="E10" s="66">
        <v>44445</v>
      </c>
      <c r="F10" s="49" t="s">
        <v>50</v>
      </c>
      <c r="G10" s="50" t="s">
        <v>51</v>
      </c>
      <c r="H10" s="49" t="s">
        <v>66</v>
      </c>
      <c r="I10" s="50" t="s">
        <v>53</v>
      </c>
      <c r="J10" s="49" t="s">
        <v>35</v>
      </c>
      <c r="K10" s="49" t="s">
        <v>36</v>
      </c>
      <c r="L10" s="49" t="s">
        <v>37</v>
      </c>
      <c r="M10" s="49" t="s">
        <v>38</v>
      </c>
      <c r="N10" s="61"/>
      <c r="O10" s="61">
        <v>3</v>
      </c>
      <c r="P10" s="61">
        <v>3</v>
      </c>
      <c r="Q10" s="52">
        <v>0</v>
      </c>
      <c r="R10" s="49" t="s">
        <v>39</v>
      </c>
      <c r="T10" s="49" t="s">
        <v>61</v>
      </c>
      <c r="U10" s="49" t="s">
        <v>62</v>
      </c>
    </row>
    <row r="11" spans="1:28" s="49" customFormat="1">
      <c r="A11" s="61">
        <v>2021</v>
      </c>
      <c r="B11" s="49" t="s">
        <v>67</v>
      </c>
      <c r="C11" s="51">
        <v>26763</v>
      </c>
      <c r="D11" s="52">
        <v>36</v>
      </c>
      <c r="E11" s="66">
        <v>44445</v>
      </c>
      <c r="F11" s="49" t="s">
        <v>50</v>
      </c>
      <c r="G11" s="50" t="s">
        <v>51</v>
      </c>
      <c r="H11" s="49" t="s">
        <v>66</v>
      </c>
      <c r="I11" s="50" t="s">
        <v>53</v>
      </c>
      <c r="J11" s="49" t="s">
        <v>35</v>
      </c>
      <c r="K11" s="49" t="s">
        <v>36</v>
      </c>
      <c r="L11" s="49" t="s">
        <v>55</v>
      </c>
      <c r="M11" s="49" t="s">
        <v>38</v>
      </c>
      <c r="N11" s="61"/>
      <c r="O11" s="61">
        <v>20</v>
      </c>
      <c r="P11" s="61">
        <v>20</v>
      </c>
      <c r="Q11" s="52">
        <v>0</v>
      </c>
      <c r="R11" s="49" t="s">
        <v>39</v>
      </c>
      <c r="T11" s="49" t="s">
        <v>57</v>
      </c>
      <c r="U11" s="49" t="s">
        <v>58</v>
      </c>
    </row>
    <row r="12" spans="1:28" s="49" customFormat="1">
      <c r="A12" s="61">
        <v>2021</v>
      </c>
      <c r="B12" s="49" t="s">
        <v>68</v>
      </c>
      <c r="C12" s="51">
        <v>26764</v>
      </c>
      <c r="D12" s="52">
        <v>36</v>
      </c>
      <c r="E12" s="66">
        <v>44445</v>
      </c>
      <c r="F12" s="49" t="s">
        <v>50</v>
      </c>
      <c r="G12" s="50" t="s">
        <v>51</v>
      </c>
      <c r="H12" s="49" t="s">
        <v>69</v>
      </c>
      <c r="I12" s="50" t="s">
        <v>53</v>
      </c>
      <c r="J12" s="49" t="s">
        <v>35</v>
      </c>
      <c r="K12" s="49" t="s">
        <v>36</v>
      </c>
      <c r="L12" s="49" t="s">
        <v>37</v>
      </c>
      <c r="M12" s="49" t="s">
        <v>38</v>
      </c>
      <c r="N12" s="61"/>
      <c r="O12" s="61">
        <v>3</v>
      </c>
      <c r="P12" s="61">
        <v>3</v>
      </c>
      <c r="Q12" s="52">
        <v>0</v>
      </c>
      <c r="R12" s="49" t="s">
        <v>39</v>
      </c>
      <c r="T12" s="49" t="s">
        <v>61</v>
      </c>
      <c r="U12" s="49" t="s">
        <v>62</v>
      </c>
    </row>
    <row r="13" spans="1:28" s="49" customFormat="1">
      <c r="A13" s="61">
        <v>2021</v>
      </c>
      <c r="B13" s="49" t="s">
        <v>70</v>
      </c>
      <c r="C13" s="51">
        <v>26765</v>
      </c>
      <c r="D13" s="52">
        <v>36</v>
      </c>
      <c r="E13" s="66">
        <v>44445</v>
      </c>
      <c r="F13" s="49" t="s">
        <v>50</v>
      </c>
      <c r="G13" s="50" t="s">
        <v>51</v>
      </c>
      <c r="H13" s="49" t="s">
        <v>71</v>
      </c>
      <c r="I13" s="50" t="s">
        <v>53</v>
      </c>
      <c r="J13" s="49" t="s">
        <v>35</v>
      </c>
      <c r="K13" s="49" t="s">
        <v>36</v>
      </c>
      <c r="L13" s="49" t="s">
        <v>55</v>
      </c>
      <c r="M13" s="49" t="s">
        <v>38</v>
      </c>
      <c r="N13" s="61"/>
      <c r="O13" s="61">
        <v>2</v>
      </c>
      <c r="P13" s="61">
        <v>2</v>
      </c>
      <c r="Q13" s="52">
        <v>0</v>
      </c>
      <c r="R13" s="49" t="s">
        <v>39</v>
      </c>
      <c r="T13" s="49" t="s">
        <v>57</v>
      </c>
      <c r="U13" s="49" t="s">
        <v>58</v>
      </c>
    </row>
    <row r="14" spans="1:28" s="49" customFormat="1">
      <c r="A14" s="61">
        <v>2021</v>
      </c>
      <c r="B14" s="49" t="s">
        <v>72</v>
      </c>
      <c r="C14" s="51">
        <v>26766</v>
      </c>
      <c r="D14" s="52">
        <v>36</v>
      </c>
      <c r="E14" s="66">
        <v>44445</v>
      </c>
      <c r="F14" s="49" t="s">
        <v>50</v>
      </c>
      <c r="G14" s="50" t="s">
        <v>51</v>
      </c>
      <c r="H14" s="49" t="s">
        <v>73</v>
      </c>
      <c r="I14" s="50" t="s">
        <v>53</v>
      </c>
      <c r="J14" s="49" t="s">
        <v>35</v>
      </c>
      <c r="K14" s="49" t="s">
        <v>36</v>
      </c>
      <c r="L14" s="49" t="s">
        <v>55</v>
      </c>
      <c r="M14" s="49" t="s">
        <v>38</v>
      </c>
      <c r="N14" s="61"/>
      <c r="O14" s="61">
        <v>29</v>
      </c>
      <c r="P14" s="61">
        <v>29</v>
      </c>
      <c r="Q14" s="52">
        <v>0</v>
      </c>
      <c r="R14" s="49" t="s">
        <v>39</v>
      </c>
      <c r="T14" s="49" t="s">
        <v>57</v>
      </c>
      <c r="U14" s="49" t="s">
        <v>58</v>
      </c>
    </row>
    <row r="15" spans="1:28" s="49" customFormat="1">
      <c r="A15" s="61">
        <v>2021</v>
      </c>
      <c r="B15" s="49" t="s">
        <v>74</v>
      </c>
      <c r="C15" s="51">
        <v>26767</v>
      </c>
      <c r="D15" s="52">
        <v>36</v>
      </c>
      <c r="E15" s="66">
        <v>44445</v>
      </c>
      <c r="F15" s="49" t="s">
        <v>50</v>
      </c>
      <c r="G15" s="50" t="s">
        <v>51</v>
      </c>
      <c r="H15" s="49" t="s">
        <v>75</v>
      </c>
      <c r="I15" s="50" t="s">
        <v>53</v>
      </c>
      <c r="J15" s="49" t="s">
        <v>35</v>
      </c>
      <c r="K15" s="49" t="s">
        <v>36</v>
      </c>
      <c r="L15" s="49" t="s">
        <v>55</v>
      </c>
      <c r="M15" s="49" t="s">
        <v>38</v>
      </c>
      <c r="N15" s="61"/>
      <c r="O15" s="61">
        <v>3</v>
      </c>
      <c r="P15" s="61">
        <v>3</v>
      </c>
      <c r="Q15" s="52">
        <v>0</v>
      </c>
      <c r="R15" s="49" t="s">
        <v>39</v>
      </c>
      <c r="T15" s="49" t="s">
        <v>57</v>
      </c>
      <c r="U15" s="49" t="s">
        <v>58</v>
      </c>
    </row>
    <row r="16" spans="1:28" s="49" customFormat="1">
      <c r="A16" s="61">
        <v>2021</v>
      </c>
      <c r="B16" s="49" t="s">
        <v>76</v>
      </c>
      <c r="C16" s="51">
        <v>26768</v>
      </c>
      <c r="D16" s="52">
        <v>36</v>
      </c>
      <c r="E16" s="66">
        <v>44445</v>
      </c>
      <c r="F16" s="49" t="s">
        <v>50</v>
      </c>
      <c r="G16" s="50" t="s">
        <v>51</v>
      </c>
      <c r="H16" s="49" t="s">
        <v>77</v>
      </c>
      <c r="I16" s="50" t="s">
        <v>53</v>
      </c>
      <c r="J16" s="49" t="s">
        <v>35</v>
      </c>
      <c r="K16" s="49" t="s">
        <v>36</v>
      </c>
      <c r="L16" s="49" t="s">
        <v>37</v>
      </c>
      <c r="M16" s="49" t="s">
        <v>38</v>
      </c>
      <c r="N16" s="61"/>
      <c r="O16" s="61">
        <v>1</v>
      </c>
      <c r="P16" s="61">
        <v>1</v>
      </c>
      <c r="Q16" s="52">
        <v>0</v>
      </c>
      <c r="R16" s="49" t="s">
        <v>39</v>
      </c>
      <c r="T16" s="49" t="s">
        <v>61</v>
      </c>
      <c r="U16" s="49" t="s">
        <v>62</v>
      </c>
    </row>
    <row r="17" spans="1:21" s="49" customFormat="1">
      <c r="A17" s="61">
        <v>2021</v>
      </c>
      <c r="B17" s="49" t="s">
        <v>78</v>
      </c>
      <c r="C17" s="51">
        <v>26769</v>
      </c>
      <c r="D17" s="52">
        <v>36</v>
      </c>
      <c r="E17" s="56">
        <v>44445</v>
      </c>
      <c r="F17" s="49" t="s">
        <v>50</v>
      </c>
      <c r="G17" s="49" t="s">
        <v>51</v>
      </c>
      <c r="H17" s="49" t="s">
        <v>77</v>
      </c>
      <c r="I17" s="49" t="s">
        <v>53</v>
      </c>
      <c r="J17" s="49" t="s">
        <v>35</v>
      </c>
      <c r="K17" s="49" t="s">
        <v>36</v>
      </c>
      <c r="L17" s="49" t="s">
        <v>55</v>
      </c>
      <c r="M17" s="49" t="s">
        <v>38</v>
      </c>
      <c r="N17" s="61"/>
      <c r="O17" s="61">
        <v>50</v>
      </c>
      <c r="P17" s="61">
        <v>50</v>
      </c>
      <c r="Q17" s="52">
        <v>0</v>
      </c>
      <c r="R17" s="49" t="s">
        <v>39</v>
      </c>
      <c r="T17" s="49" t="s">
        <v>57</v>
      </c>
      <c r="U17" s="49" t="s">
        <v>58</v>
      </c>
    </row>
    <row r="18" spans="1:21" s="49" customFormat="1">
      <c r="A18" s="61">
        <v>2021</v>
      </c>
      <c r="B18" s="49" t="s">
        <v>79</v>
      </c>
      <c r="C18" s="51">
        <v>26770</v>
      </c>
      <c r="D18" s="52">
        <v>36</v>
      </c>
      <c r="E18" s="56">
        <v>44445</v>
      </c>
      <c r="F18" s="49" t="s">
        <v>50</v>
      </c>
      <c r="G18" s="49" t="s">
        <v>51</v>
      </c>
      <c r="H18" s="49" t="s">
        <v>77</v>
      </c>
      <c r="I18" s="49" t="s">
        <v>53</v>
      </c>
      <c r="J18" s="49" t="s">
        <v>35</v>
      </c>
      <c r="K18" s="49" t="s">
        <v>36</v>
      </c>
      <c r="L18" s="49" t="s">
        <v>55</v>
      </c>
      <c r="M18" s="49" t="s">
        <v>38</v>
      </c>
      <c r="N18" s="61"/>
      <c r="O18" s="61">
        <v>50</v>
      </c>
      <c r="P18" s="61">
        <v>50</v>
      </c>
      <c r="Q18" s="52">
        <v>0</v>
      </c>
      <c r="R18" s="49" t="s">
        <v>39</v>
      </c>
      <c r="T18" s="49" t="s">
        <v>57</v>
      </c>
      <c r="U18" s="49" t="s">
        <v>58</v>
      </c>
    </row>
    <row r="19" spans="1:21" s="49" customFormat="1">
      <c r="A19" s="61">
        <v>2021</v>
      </c>
      <c r="B19" s="49" t="s">
        <v>80</v>
      </c>
      <c r="C19" s="51">
        <v>26771</v>
      </c>
      <c r="D19" s="52">
        <v>36</v>
      </c>
      <c r="E19" s="56">
        <v>44445</v>
      </c>
      <c r="F19" s="49" t="s">
        <v>50</v>
      </c>
      <c r="G19" s="49" t="s">
        <v>51</v>
      </c>
      <c r="H19" s="49" t="s">
        <v>77</v>
      </c>
      <c r="I19" s="49" t="s">
        <v>53</v>
      </c>
      <c r="J19" s="49" t="s">
        <v>35</v>
      </c>
      <c r="K19" s="49" t="s">
        <v>36</v>
      </c>
      <c r="L19" s="49" t="s">
        <v>55</v>
      </c>
      <c r="M19" s="49" t="s">
        <v>38</v>
      </c>
      <c r="N19" s="61"/>
      <c r="O19" s="61">
        <v>50</v>
      </c>
      <c r="P19" s="61">
        <v>50</v>
      </c>
      <c r="Q19" s="52">
        <v>0</v>
      </c>
      <c r="R19" s="49" t="s">
        <v>39</v>
      </c>
      <c r="T19" s="49" t="s">
        <v>57</v>
      </c>
      <c r="U19" s="49" t="s">
        <v>58</v>
      </c>
    </row>
    <row r="20" spans="1:21" s="49" customFormat="1">
      <c r="A20" s="61">
        <v>2021</v>
      </c>
      <c r="B20" s="49" t="s">
        <v>81</v>
      </c>
      <c r="C20" s="51">
        <v>26772</v>
      </c>
      <c r="D20" s="52">
        <v>36</v>
      </c>
      <c r="E20" s="56">
        <v>44445</v>
      </c>
      <c r="F20" s="49" t="s">
        <v>50</v>
      </c>
      <c r="G20" s="49" t="s">
        <v>51</v>
      </c>
      <c r="H20" s="49" t="s">
        <v>77</v>
      </c>
      <c r="I20" s="49" t="s">
        <v>53</v>
      </c>
      <c r="J20" s="49" t="s">
        <v>35</v>
      </c>
      <c r="K20" s="49" t="s">
        <v>36</v>
      </c>
      <c r="L20" s="49" t="s">
        <v>55</v>
      </c>
      <c r="M20" s="49" t="s">
        <v>38</v>
      </c>
      <c r="N20" s="61"/>
      <c r="O20" s="61">
        <v>50</v>
      </c>
      <c r="P20" s="61">
        <v>50</v>
      </c>
      <c r="Q20" s="52">
        <v>0</v>
      </c>
      <c r="R20" s="49" t="s">
        <v>39</v>
      </c>
      <c r="T20" s="49" t="s">
        <v>57</v>
      </c>
      <c r="U20" s="49" t="s">
        <v>58</v>
      </c>
    </row>
    <row r="21" spans="1:21" s="49" customFormat="1">
      <c r="A21" s="61">
        <v>2021</v>
      </c>
      <c r="B21" s="49" t="s">
        <v>82</v>
      </c>
      <c r="C21" s="51">
        <v>26773</v>
      </c>
      <c r="D21" s="52">
        <v>36</v>
      </c>
      <c r="E21" s="56">
        <v>44445</v>
      </c>
      <c r="F21" s="49" t="s">
        <v>50</v>
      </c>
      <c r="G21" s="49" t="s">
        <v>51</v>
      </c>
      <c r="H21" s="49" t="s">
        <v>77</v>
      </c>
      <c r="I21" s="49" t="s">
        <v>53</v>
      </c>
      <c r="J21" s="49" t="s">
        <v>35</v>
      </c>
      <c r="K21" s="49" t="s">
        <v>36</v>
      </c>
      <c r="L21" s="49" t="s">
        <v>55</v>
      </c>
      <c r="M21" s="49" t="s">
        <v>38</v>
      </c>
      <c r="N21" s="61"/>
      <c r="O21" s="61">
        <v>50</v>
      </c>
      <c r="P21" s="61">
        <v>50</v>
      </c>
      <c r="Q21" s="52">
        <v>0</v>
      </c>
      <c r="R21" s="49" t="s">
        <v>39</v>
      </c>
      <c r="T21" s="49" t="s">
        <v>57</v>
      </c>
      <c r="U21" s="49" t="s">
        <v>58</v>
      </c>
    </row>
    <row r="22" spans="1:21" s="49" customFormat="1">
      <c r="A22" s="73">
        <v>2021</v>
      </c>
      <c r="B22" s="74" t="s">
        <v>83</v>
      </c>
      <c r="C22" s="81">
        <v>26774</v>
      </c>
      <c r="D22" s="76">
        <v>36</v>
      </c>
      <c r="E22" s="77">
        <v>44445</v>
      </c>
      <c r="F22" s="74" t="s">
        <v>50</v>
      </c>
      <c r="G22" s="74" t="s">
        <v>51</v>
      </c>
      <c r="H22" s="74" t="s">
        <v>77</v>
      </c>
      <c r="I22" s="74" t="s">
        <v>53</v>
      </c>
      <c r="J22" s="74" t="s">
        <v>35</v>
      </c>
      <c r="K22" s="74" t="s">
        <v>36</v>
      </c>
      <c r="L22" s="74" t="s">
        <v>55</v>
      </c>
      <c r="M22" s="74" t="s">
        <v>38</v>
      </c>
      <c r="N22" s="73"/>
      <c r="O22" s="73">
        <v>22</v>
      </c>
      <c r="P22" s="73">
        <v>22</v>
      </c>
      <c r="Q22" s="76">
        <v>1</v>
      </c>
      <c r="R22" s="74" t="s">
        <v>56</v>
      </c>
      <c r="S22" s="74"/>
      <c r="T22" s="74" t="s">
        <v>57</v>
      </c>
      <c r="U22" s="74" t="s">
        <v>58</v>
      </c>
    </row>
    <row r="23" spans="1:21" s="49" customFormat="1">
      <c r="A23" s="61">
        <v>2021</v>
      </c>
      <c r="B23" s="49" t="s">
        <v>84</v>
      </c>
      <c r="C23" s="51">
        <v>26775</v>
      </c>
      <c r="D23" s="52">
        <v>36</v>
      </c>
      <c r="E23" s="56">
        <v>44445</v>
      </c>
      <c r="F23" s="49" t="s">
        <v>50</v>
      </c>
      <c r="G23" s="49" t="s">
        <v>51</v>
      </c>
      <c r="H23" s="49" t="s">
        <v>85</v>
      </c>
      <c r="I23" s="49" t="s">
        <v>53</v>
      </c>
      <c r="J23" s="49" t="s">
        <v>35</v>
      </c>
      <c r="K23" s="49" t="s">
        <v>36</v>
      </c>
      <c r="L23" s="49" t="s">
        <v>55</v>
      </c>
      <c r="M23" s="49" t="s">
        <v>38</v>
      </c>
      <c r="N23" s="61"/>
      <c r="O23" s="61">
        <v>14</v>
      </c>
      <c r="P23" s="61">
        <v>14</v>
      </c>
      <c r="Q23" s="52">
        <v>0</v>
      </c>
      <c r="R23" s="49" t="s">
        <v>39</v>
      </c>
      <c r="T23" s="49" t="s">
        <v>57</v>
      </c>
      <c r="U23" s="49" t="s">
        <v>58</v>
      </c>
    </row>
    <row r="24" spans="1:21" s="49" customFormat="1">
      <c r="A24" s="61">
        <v>2021</v>
      </c>
      <c r="B24" s="49" t="s">
        <v>86</v>
      </c>
      <c r="C24" s="51">
        <v>26776</v>
      </c>
      <c r="D24" s="52">
        <v>36</v>
      </c>
      <c r="E24" s="56">
        <v>44445</v>
      </c>
      <c r="F24" s="49" t="s">
        <v>50</v>
      </c>
      <c r="G24" s="49" t="s">
        <v>51</v>
      </c>
      <c r="H24" s="49" t="s">
        <v>87</v>
      </c>
      <c r="I24" s="49" t="s">
        <v>88</v>
      </c>
      <c r="J24" s="49" t="s">
        <v>35</v>
      </c>
      <c r="K24" s="49" t="s">
        <v>36</v>
      </c>
      <c r="L24" s="49" t="s">
        <v>37</v>
      </c>
      <c r="M24" s="49" t="s">
        <v>38</v>
      </c>
      <c r="N24" s="61"/>
      <c r="O24" s="61">
        <v>2</v>
      </c>
      <c r="P24" s="61">
        <v>2</v>
      </c>
      <c r="Q24" s="52">
        <v>0</v>
      </c>
      <c r="R24" s="49" t="s">
        <v>39</v>
      </c>
      <c r="T24" s="49" t="s">
        <v>61</v>
      </c>
      <c r="U24" s="49" t="s">
        <v>89</v>
      </c>
    </row>
    <row r="25" spans="1:21" s="49" customFormat="1">
      <c r="A25" s="61">
        <v>2021</v>
      </c>
      <c r="B25" s="49" t="s">
        <v>90</v>
      </c>
      <c r="C25" s="51">
        <v>26777</v>
      </c>
      <c r="D25" s="52">
        <v>36</v>
      </c>
      <c r="E25" s="56">
        <v>44445</v>
      </c>
      <c r="F25" s="49" t="s">
        <v>50</v>
      </c>
      <c r="G25" s="49" t="s">
        <v>51</v>
      </c>
      <c r="H25" s="49" t="s">
        <v>87</v>
      </c>
      <c r="I25" s="49" t="s">
        <v>88</v>
      </c>
      <c r="J25" s="49" t="s">
        <v>35</v>
      </c>
      <c r="K25" s="49" t="s">
        <v>36</v>
      </c>
      <c r="L25" s="49" t="s">
        <v>55</v>
      </c>
      <c r="M25" s="49" t="s">
        <v>38</v>
      </c>
      <c r="N25" s="61"/>
      <c r="O25" s="61">
        <v>4</v>
      </c>
      <c r="P25" s="61">
        <v>4</v>
      </c>
      <c r="Q25" s="52">
        <v>0</v>
      </c>
      <c r="R25" s="49" t="s">
        <v>39</v>
      </c>
      <c r="T25" s="49" t="s">
        <v>57</v>
      </c>
      <c r="U25" s="49" t="s">
        <v>91</v>
      </c>
    </row>
    <row r="26" spans="1:21" s="49" customFormat="1">
      <c r="A26" s="61">
        <v>2021</v>
      </c>
      <c r="B26" s="49" t="s">
        <v>92</v>
      </c>
      <c r="C26" s="51">
        <v>26778</v>
      </c>
      <c r="D26" s="52">
        <v>36</v>
      </c>
      <c r="E26" s="56">
        <v>44445</v>
      </c>
      <c r="F26" s="49" t="s">
        <v>50</v>
      </c>
      <c r="G26" s="49" t="s">
        <v>51</v>
      </c>
      <c r="H26" s="49" t="s">
        <v>93</v>
      </c>
      <c r="I26" s="49" t="s">
        <v>88</v>
      </c>
      <c r="J26" s="49" t="s">
        <v>54</v>
      </c>
      <c r="K26" s="49" t="s">
        <v>36</v>
      </c>
      <c r="L26" s="49" t="s">
        <v>55</v>
      </c>
      <c r="M26" s="49" t="s">
        <v>38</v>
      </c>
      <c r="N26" s="61">
        <v>20</v>
      </c>
      <c r="O26" s="61"/>
      <c r="P26" s="61">
        <v>20</v>
      </c>
      <c r="Q26" s="52">
        <v>0</v>
      </c>
      <c r="R26" s="49" t="s">
        <v>39</v>
      </c>
      <c r="T26" s="49" t="s">
        <v>57</v>
      </c>
      <c r="U26" s="49" t="s">
        <v>91</v>
      </c>
    </row>
    <row r="27" spans="1:21" s="49" customFormat="1">
      <c r="A27" s="61">
        <v>2021</v>
      </c>
      <c r="B27" s="49" t="s">
        <v>94</v>
      </c>
      <c r="C27" s="51">
        <v>26779</v>
      </c>
      <c r="D27" s="52">
        <v>36</v>
      </c>
      <c r="E27" s="56">
        <v>44445</v>
      </c>
      <c r="F27" s="49" t="s">
        <v>50</v>
      </c>
      <c r="G27" s="49" t="s">
        <v>51</v>
      </c>
      <c r="H27" s="49" t="s">
        <v>95</v>
      </c>
      <c r="I27" s="49" t="s">
        <v>88</v>
      </c>
      <c r="J27" s="49" t="s">
        <v>35</v>
      </c>
      <c r="K27" s="49" t="s">
        <v>36</v>
      </c>
      <c r="L27" s="49" t="s">
        <v>37</v>
      </c>
      <c r="M27" s="49" t="s">
        <v>38</v>
      </c>
      <c r="N27" s="61"/>
      <c r="O27" s="61">
        <v>3</v>
      </c>
      <c r="P27" s="61">
        <v>3</v>
      </c>
      <c r="Q27" s="52">
        <v>0</v>
      </c>
      <c r="R27" s="49" t="s">
        <v>39</v>
      </c>
      <c r="T27" s="49" t="s">
        <v>61</v>
      </c>
      <c r="U27" s="49" t="s">
        <v>89</v>
      </c>
    </row>
    <row r="28" spans="1:21" s="49" customFormat="1">
      <c r="A28" s="50">
        <v>2021</v>
      </c>
      <c r="B28" s="50" t="s">
        <v>96</v>
      </c>
      <c r="C28" s="51">
        <v>26780</v>
      </c>
      <c r="D28" s="51">
        <v>36</v>
      </c>
      <c r="E28" s="66">
        <v>44445</v>
      </c>
      <c r="F28" s="50" t="s">
        <v>50</v>
      </c>
      <c r="G28" s="50" t="s">
        <v>51</v>
      </c>
      <c r="H28" s="50" t="s">
        <v>97</v>
      </c>
      <c r="I28" s="49" t="s">
        <v>88</v>
      </c>
      <c r="J28" s="50" t="s">
        <v>35</v>
      </c>
      <c r="K28" s="50" t="s">
        <v>36</v>
      </c>
      <c r="L28" s="50" t="s">
        <v>37</v>
      </c>
      <c r="M28" s="50" t="s">
        <v>38</v>
      </c>
      <c r="N28" s="50"/>
      <c r="O28" s="50">
        <v>2</v>
      </c>
      <c r="P28" s="50">
        <v>2</v>
      </c>
      <c r="Q28" s="52">
        <v>0</v>
      </c>
      <c r="R28" s="49" t="s">
        <v>39</v>
      </c>
      <c r="T28" s="49" t="s">
        <v>61</v>
      </c>
      <c r="U28" s="49" t="s">
        <v>89</v>
      </c>
    </row>
    <row r="29" spans="1:21" s="49" customFormat="1">
      <c r="A29" s="50">
        <v>2021</v>
      </c>
      <c r="B29" s="50" t="s">
        <v>98</v>
      </c>
      <c r="C29" s="51">
        <v>26781</v>
      </c>
      <c r="D29" s="51">
        <v>36</v>
      </c>
      <c r="E29" s="66">
        <v>44445</v>
      </c>
      <c r="F29" s="50" t="s">
        <v>50</v>
      </c>
      <c r="G29" s="50" t="s">
        <v>51</v>
      </c>
      <c r="H29" s="50" t="s">
        <v>99</v>
      </c>
      <c r="I29" s="49" t="s">
        <v>88</v>
      </c>
      <c r="J29" s="50" t="s">
        <v>35</v>
      </c>
      <c r="K29" s="50" t="s">
        <v>36</v>
      </c>
      <c r="L29" s="50" t="s">
        <v>55</v>
      </c>
      <c r="M29" s="50" t="s">
        <v>38</v>
      </c>
      <c r="N29" s="50"/>
      <c r="O29" s="50">
        <v>2</v>
      </c>
      <c r="P29" s="50">
        <v>2</v>
      </c>
      <c r="Q29" s="52">
        <v>0</v>
      </c>
      <c r="R29" s="49" t="s">
        <v>39</v>
      </c>
      <c r="T29" s="49" t="s">
        <v>57</v>
      </c>
      <c r="U29" s="49" t="s">
        <v>91</v>
      </c>
    </row>
    <row r="30" spans="1:21" s="49" customFormat="1">
      <c r="A30" s="50">
        <v>2021</v>
      </c>
      <c r="B30" s="50" t="s">
        <v>100</v>
      </c>
      <c r="C30" s="51">
        <v>26782</v>
      </c>
      <c r="D30" s="51">
        <v>36</v>
      </c>
      <c r="E30" s="66">
        <v>44445</v>
      </c>
      <c r="F30" s="50" t="s">
        <v>50</v>
      </c>
      <c r="G30" s="50" t="s">
        <v>51</v>
      </c>
      <c r="H30" s="50" t="s">
        <v>101</v>
      </c>
      <c r="I30" s="49" t="s">
        <v>102</v>
      </c>
      <c r="J30" s="50" t="s">
        <v>35</v>
      </c>
      <c r="K30" s="50" t="s">
        <v>36</v>
      </c>
      <c r="L30" s="50" t="s">
        <v>37</v>
      </c>
      <c r="M30" s="50" t="s">
        <v>38</v>
      </c>
      <c r="N30" s="50"/>
      <c r="O30" s="50">
        <v>1</v>
      </c>
      <c r="P30" s="50">
        <v>1</v>
      </c>
      <c r="Q30" s="52">
        <v>0</v>
      </c>
      <c r="R30" s="49" t="s">
        <v>39</v>
      </c>
      <c r="T30" s="49" t="s">
        <v>61</v>
      </c>
      <c r="U30" s="49" t="s">
        <v>103</v>
      </c>
    </row>
    <row r="31" spans="1:21" s="49" customFormat="1">
      <c r="A31" s="50">
        <v>2021</v>
      </c>
      <c r="B31" s="50" t="s">
        <v>104</v>
      </c>
      <c r="C31" s="51">
        <v>26783</v>
      </c>
      <c r="D31" s="51">
        <v>36</v>
      </c>
      <c r="E31" s="66">
        <v>44445</v>
      </c>
      <c r="F31" s="50" t="s">
        <v>50</v>
      </c>
      <c r="G31" s="50" t="s">
        <v>51</v>
      </c>
      <c r="H31" s="50" t="s">
        <v>105</v>
      </c>
      <c r="I31" s="49" t="s">
        <v>88</v>
      </c>
      <c r="J31" s="50" t="s">
        <v>35</v>
      </c>
      <c r="K31" s="50" t="s">
        <v>36</v>
      </c>
      <c r="L31" s="50" t="s">
        <v>37</v>
      </c>
      <c r="M31" s="50" t="s">
        <v>38</v>
      </c>
      <c r="N31" s="50"/>
      <c r="O31" s="50">
        <v>2</v>
      </c>
      <c r="P31" s="50">
        <v>2</v>
      </c>
      <c r="Q31" s="52">
        <v>0</v>
      </c>
      <c r="R31" s="49" t="s">
        <v>39</v>
      </c>
      <c r="T31" s="49" t="s">
        <v>61</v>
      </c>
      <c r="U31" s="49" t="s">
        <v>89</v>
      </c>
    </row>
    <row r="32" spans="1:21" s="49" customFormat="1">
      <c r="A32" s="50">
        <v>2021</v>
      </c>
      <c r="B32" s="50" t="s">
        <v>106</v>
      </c>
      <c r="C32" s="51">
        <v>26784</v>
      </c>
      <c r="D32" s="51">
        <v>36</v>
      </c>
      <c r="E32" s="66">
        <v>44445</v>
      </c>
      <c r="F32" s="50" t="s">
        <v>50</v>
      </c>
      <c r="G32" s="50" t="s">
        <v>51</v>
      </c>
      <c r="H32" s="50" t="s">
        <v>107</v>
      </c>
      <c r="I32" s="49" t="s">
        <v>88</v>
      </c>
      <c r="J32" s="50" t="s">
        <v>54</v>
      </c>
      <c r="K32" s="50" t="s">
        <v>36</v>
      </c>
      <c r="L32" s="50" t="s">
        <v>37</v>
      </c>
      <c r="M32" s="50" t="s">
        <v>38</v>
      </c>
      <c r="N32" s="50">
        <v>1</v>
      </c>
      <c r="O32" s="50"/>
      <c r="P32" s="50">
        <v>1</v>
      </c>
      <c r="Q32" s="52">
        <v>0</v>
      </c>
      <c r="R32" s="49" t="s">
        <v>39</v>
      </c>
      <c r="T32" s="49" t="s">
        <v>61</v>
      </c>
      <c r="U32" s="49" t="s">
        <v>89</v>
      </c>
    </row>
    <row r="33" spans="1:21" s="49" customFormat="1">
      <c r="A33" s="50">
        <v>2021</v>
      </c>
      <c r="B33" s="50" t="s">
        <v>108</v>
      </c>
      <c r="C33" s="51">
        <v>26785</v>
      </c>
      <c r="D33" s="51">
        <v>36</v>
      </c>
      <c r="E33" s="66">
        <v>44445</v>
      </c>
      <c r="F33" s="50" t="s">
        <v>50</v>
      </c>
      <c r="G33" s="50" t="s">
        <v>51</v>
      </c>
      <c r="H33" s="50" t="s">
        <v>107</v>
      </c>
      <c r="I33" s="49" t="s">
        <v>88</v>
      </c>
      <c r="J33" s="50" t="s">
        <v>54</v>
      </c>
      <c r="K33" s="50" t="s">
        <v>36</v>
      </c>
      <c r="L33" s="50" t="s">
        <v>55</v>
      </c>
      <c r="M33" s="50" t="s">
        <v>38</v>
      </c>
      <c r="N33" s="50">
        <v>4</v>
      </c>
      <c r="O33" s="50"/>
      <c r="P33" s="50">
        <v>4</v>
      </c>
      <c r="Q33" s="52">
        <v>0</v>
      </c>
      <c r="R33" s="49" t="s">
        <v>39</v>
      </c>
      <c r="T33" s="49" t="s">
        <v>57</v>
      </c>
      <c r="U33" s="49" t="s">
        <v>91</v>
      </c>
    </row>
    <row r="34" spans="1:21" s="49" customFormat="1">
      <c r="A34" s="50">
        <v>2021</v>
      </c>
      <c r="B34" s="50" t="s">
        <v>109</v>
      </c>
      <c r="C34" s="51">
        <v>26786</v>
      </c>
      <c r="D34" s="51">
        <v>36</v>
      </c>
      <c r="E34" s="66">
        <v>44445</v>
      </c>
      <c r="F34" s="50" t="s">
        <v>50</v>
      </c>
      <c r="G34" s="50" t="s">
        <v>51</v>
      </c>
      <c r="H34" s="50" t="s">
        <v>110</v>
      </c>
      <c r="I34" s="49" t="s">
        <v>88</v>
      </c>
      <c r="J34" s="50" t="s">
        <v>54</v>
      </c>
      <c r="K34" s="50" t="s">
        <v>36</v>
      </c>
      <c r="L34" s="50" t="s">
        <v>55</v>
      </c>
      <c r="M34" s="50" t="s">
        <v>38</v>
      </c>
      <c r="N34" s="50">
        <v>7</v>
      </c>
      <c r="O34" s="50"/>
      <c r="P34" s="50">
        <v>7</v>
      </c>
      <c r="Q34" s="52">
        <v>0</v>
      </c>
      <c r="R34" s="49" t="s">
        <v>39</v>
      </c>
      <c r="T34" s="49" t="s">
        <v>57</v>
      </c>
      <c r="U34" s="49" t="s">
        <v>91</v>
      </c>
    </row>
    <row r="35" spans="1:21" s="49" customFormat="1">
      <c r="A35" s="50">
        <v>2021</v>
      </c>
      <c r="B35" s="50" t="s">
        <v>111</v>
      </c>
      <c r="C35" s="51">
        <v>26787</v>
      </c>
      <c r="D35" s="51">
        <v>36</v>
      </c>
      <c r="E35" s="66">
        <v>44445</v>
      </c>
      <c r="F35" s="50" t="s">
        <v>50</v>
      </c>
      <c r="G35" s="50" t="s">
        <v>51</v>
      </c>
      <c r="H35" s="50" t="s">
        <v>112</v>
      </c>
      <c r="I35" s="49" t="s">
        <v>88</v>
      </c>
      <c r="J35" s="50" t="s">
        <v>54</v>
      </c>
      <c r="K35" s="50" t="s">
        <v>36</v>
      </c>
      <c r="L35" s="50" t="s">
        <v>55</v>
      </c>
      <c r="M35" s="50" t="s">
        <v>38</v>
      </c>
      <c r="N35" s="50">
        <v>4</v>
      </c>
      <c r="O35" s="50"/>
      <c r="P35" s="50">
        <v>4</v>
      </c>
      <c r="Q35" s="52">
        <v>0</v>
      </c>
      <c r="R35" s="49" t="s">
        <v>39</v>
      </c>
      <c r="T35" s="49" t="s">
        <v>57</v>
      </c>
      <c r="U35" s="49" t="s">
        <v>91</v>
      </c>
    </row>
    <row r="36" spans="1:21" s="49" customFormat="1">
      <c r="A36" s="50">
        <v>2021</v>
      </c>
      <c r="B36" s="50" t="s">
        <v>113</v>
      </c>
      <c r="C36" s="51">
        <v>26788</v>
      </c>
      <c r="D36" s="51">
        <v>36</v>
      </c>
      <c r="E36" s="66">
        <v>44445</v>
      </c>
      <c r="F36" s="50" t="s">
        <v>50</v>
      </c>
      <c r="G36" s="50" t="s">
        <v>51</v>
      </c>
      <c r="H36" s="50" t="s">
        <v>114</v>
      </c>
      <c r="I36" s="49" t="s">
        <v>88</v>
      </c>
      <c r="J36" s="50" t="s">
        <v>35</v>
      </c>
      <c r="K36" s="50" t="s">
        <v>36</v>
      </c>
      <c r="L36" s="50" t="s">
        <v>37</v>
      </c>
      <c r="M36" s="50" t="s">
        <v>38</v>
      </c>
      <c r="N36" s="50"/>
      <c r="O36" s="50">
        <v>1</v>
      </c>
      <c r="P36" s="50">
        <v>1</v>
      </c>
      <c r="Q36" s="52">
        <v>0</v>
      </c>
      <c r="R36" s="49" t="s">
        <v>39</v>
      </c>
      <c r="T36" s="49" t="s">
        <v>61</v>
      </c>
      <c r="U36" s="49" t="s">
        <v>89</v>
      </c>
    </row>
    <row r="37" spans="1:21" s="49" customFormat="1">
      <c r="A37" s="50">
        <v>2021</v>
      </c>
      <c r="B37" s="50" t="s">
        <v>115</v>
      </c>
      <c r="C37" s="51">
        <v>26789</v>
      </c>
      <c r="D37" s="51">
        <v>36</v>
      </c>
      <c r="E37" s="66">
        <v>44445</v>
      </c>
      <c r="F37" s="50" t="s">
        <v>50</v>
      </c>
      <c r="G37" s="50" t="s">
        <v>51</v>
      </c>
      <c r="H37" s="50" t="s">
        <v>114</v>
      </c>
      <c r="I37" s="49" t="s">
        <v>88</v>
      </c>
      <c r="J37" s="50" t="s">
        <v>35</v>
      </c>
      <c r="K37" s="50" t="s">
        <v>36</v>
      </c>
      <c r="L37" s="50" t="s">
        <v>55</v>
      </c>
      <c r="M37" s="50" t="s">
        <v>38</v>
      </c>
      <c r="N37" s="50"/>
      <c r="O37" s="50">
        <v>2</v>
      </c>
      <c r="P37" s="50">
        <v>2</v>
      </c>
      <c r="Q37" s="52">
        <v>0</v>
      </c>
      <c r="R37" s="49" t="s">
        <v>39</v>
      </c>
      <c r="T37" s="49" t="s">
        <v>57</v>
      </c>
      <c r="U37" s="49" t="s">
        <v>91</v>
      </c>
    </row>
    <row r="38" spans="1:21" s="49" customFormat="1">
      <c r="A38" s="50">
        <v>2021</v>
      </c>
      <c r="B38" s="50" t="s">
        <v>116</v>
      </c>
      <c r="C38" s="51">
        <v>26790</v>
      </c>
      <c r="D38" s="51">
        <v>36</v>
      </c>
      <c r="E38" s="66">
        <v>44445</v>
      </c>
      <c r="F38" s="50" t="s">
        <v>50</v>
      </c>
      <c r="G38" s="50" t="s">
        <v>51</v>
      </c>
      <c r="H38" s="50" t="s">
        <v>117</v>
      </c>
      <c r="I38" s="49" t="s">
        <v>88</v>
      </c>
      <c r="J38" s="50" t="s">
        <v>35</v>
      </c>
      <c r="K38" s="50" t="s">
        <v>36</v>
      </c>
      <c r="L38" s="50" t="s">
        <v>37</v>
      </c>
      <c r="M38" s="50" t="s">
        <v>38</v>
      </c>
      <c r="N38" s="50"/>
      <c r="O38" s="50">
        <v>4</v>
      </c>
      <c r="P38" s="50">
        <v>4</v>
      </c>
      <c r="Q38" s="52">
        <v>0</v>
      </c>
      <c r="R38" s="49" t="s">
        <v>39</v>
      </c>
      <c r="T38" s="49" t="s">
        <v>61</v>
      </c>
      <c r="U38" s="49" t="s">
        <v>89</v>
      </c>
    </row>
    <row r="39" spans="1:21" s="49" customFormat="1">
      <c r="A39" s="50">
        <v>2021</v>
      </c>
      <c r="B39" s="50" t="s">
        <v>118</v>
      </c>
      <c r="C39" s="51">
        <v>26791</v>
      </c>
      <c r="D39" s="51">
        <v>36</v>
      </c>
      <c r="E39" s="66">
        <v>44445</v>
      </c>
      <c r="F39" s="50" t="s">
        <v>50</v>
      </c>
      <c r="G39" s="50" t="s">
        <v>51</v>
      </c>
      <c r="H39" s="50" t="s">
        <v>117</v>
      </c>
      <c r="I39" s="49" t="s">
        <v>88</v>
      </c>
      <c r="J39" s="50" t="s">
        <v>35</v>
      </c>
      <c r="K39" s="50" t="s">
        <v>36</v>
      </c>
      <c r="L39" s="50" t="s">
        <v>55</v>
      </c>
      <c r="M39" s="50" t="s">
        <v>38</v>
      </c>
      <c r="N39" s="50"/>
      <c r="O39" s="50">
        <v>50</v>
      </c>
      <c r="P39" s="50">
        <v>50</v>
      </c>
      <c r="Q39" s="52">
        <v>0</v>
      </c>
      <c r="R39" s="49" t="s">
        <v>39</v>
      </c>
      <c r="T39" s="49" t="s">
        <v>57</v>
      </c>
      <c r="U39" s="49" t="s">
        <v>91</v>
      </c>
    </row>
    <row r="40" spans="1:21" s="49" customFormat="1">
      <c r="A40" s="50">
        <v>2021</v>
      </c>
      <c r="B40" s="50" t="s">
        <v>119</v>
      </c>
      <c r="C40" s="51">
        <v>26792</v>
      </c>
      <c r="D40" s="51">
        <v>36</v>
      </c>
      <c r="E40" s="66">
        <v>44445</v>
      </c>
      <c r="F40" s="50" t="s">
        <v>50</v>
      </c>
      <c r="G40" s="50" t="s">
        <v>51</v>
      </c>
      <c r="H40" s="50" t="s">
        <v>117</v>
      </c>
      <c r="I40" s="49" t="s">
        <v>88</v>
      </c>
      <c r="J40" s="50" t="s">
        <v>35</v>
      </c>
      <c r="K40" s="50" t="s">
        <v>36</v>
      </c>
      <c r="L40" s="50" t="s">
        <v>55</v>
      </c>
      <c r="M40" s="50" t="s">
        <v>38</v>
      </c>
      <c r="N40" s="50"/>
      <c r="O40" s="50">
        <v>31</v>
      </c>
      <c r="P40" s="50">
        <v>31</v>
      </c>
      <c r="Q40" s="52">
        <v>0</v>
      </c>
      <c r="R40" s="49" t="s">
        <v>39</v>
      </c>
      <c r="T40" s="49" t="s">
        <v>57</v>
      </c>
      <c r="U40" s="49" t="s">
        <v>91</v>
      </c>
    </row>
    <row r="41" spans="1:21" s="49" customFormat="1">
      <c r="A41" s="50">
        <v>2021</v>
      </c>
      <c r="B41" s="50" t="s">
        <v>120</v>
      </c>
      <c r="C41" s="51">
        <v>26793</v>
      </c>
      <c r="D41" s="51">
        <v>36</v>
      </c>
      <c r="E41" s="66">
        <v>44445</v>
      </c>
      <c r="F41" s="50" t="s">
        <v>50</v>
      </c>
      <c r="G41" s="50" t="s">
        <v>51</v>
      </c>
      <c r="H41" s="50" t="s">
        <v>121</v>
      </c>
      <c r="I41" s="49" t="s">
        <v>88</v>
      </c>
      <c r="J41" s="50" t="s">
        <v>35</v>
      </c>
      <c r="K41" s="50" t="s">
        <v>36</v>
      </c>
      <c r="L41" s="50" t="s">
        <v>55</v>
      </c>
      <c r="M41" s="50" t="s">
        <v>38</v>
      </c>
      <c r="N41" s="50"/>
      <c r="O41" s="50">
        <v>50</v>
      </c>
      <c r="P41" s="50">
        <v>50</v>
      </c>
      <c r="Q41" s="52">
        <v>0</v>
      </c>
      <c r="R41" s="49" t="s">
        <v>39</v>
      </c>
      <c r="T41" s="49" t="s">
        <v>57</v>
      </c>
      <c r="U41" s="49" t="s">
        <v>91</v>
      </c>
    </row>
    <row r="42" spans="1:21" s="49" customFormat="1">
      <c r="A42" s="50">
        <v>2021</v>
      </c>
      <c r="B42" s="50" t="s">
        <v>122</v>
      </c>
      <c r="C42" s="51">
        <v>26794</v>
      </c>
      <c r="D42" s="51">
        <v>36</v>
      </c>
      <c r="E42" s="66">
        <v>44445</v>
      </c>
      <c r="F42" s="50" t="s">
        <v>50</v>
      </c>
      <c r="G42" s="50" t="s">
        <v>51</v>
      </c>
      <c r="H42" s="50" t="s">
        <v>121</v>
      </c>
      <c r="I42" s="49" t="s">
        <v>88</v>
      </c>
      <c r="J42" s="50" t="s">
        <v>35</v>
      </c>
      <c r="K42" s="50" t="s">
        <v>36</v>
      </c>
      <c r="L42" s="50" t="s">
        <v>55</v>
      </c>
      <c r="M42" s="50" t="s">
        <v>38</v>
      </c>
      <c r="N42" s="50"/>
      <c r="O42" s="50">
        <v>50</v>
      </c>
      <c r="P42" s="50">
        <v>50</v>
      </c>
      <c r="Q42" s="52">
        <v>0</v>
      </c>
      <c r="R42" s="49" t="s">
        <v>39</v>
      </c>
      <c r="T42" s="49" t="s">
        <v>57</v>
      </c>
      <c r="U42" s="49" t="s">
        <v>91</v>
      </c>
    </row>
    <row r="43" spans="1:21" s="49" customFormat="1">
      <c r="A43" s="50">
        <v>2021</v>
      </c>
      <c r="B43" s="50" t="s">
        <v>123</v>
      </c>
      <c r="C43" s="51">
        <v>26795</v>
      </c>
      <c r="D43" s="51">
        <v>36</v>
      </c>
      <c r="E43" s="66">
        <v>44445</v>
      </c>
      <c r="F43" s="50" t="s">
        <v>50</v>
      </c>
      <c r="G43" s="50" t="s">
        <v>51</v>
      </c>
      <c r="H43" s="50" t="s">
        <v>121</v>
      </c>
      <c r="I43" s="49" t="s">
        <v>88</v>
      </c>
      <c r="J43" s="50" t="s">
        <v>35</v>
      </c>
      <c r="K43" s="50" t="s">
        <v>36</v>
      </c>
      <c r="L43" s="50" t="s">
        <v>55</v>
      </c>
      <c r="M43" s="50" t="s">
        <v>38</v>
      </c>
      <c r="N43" s="50"/>
      <c r="O43" s="50">
        <v>50</v>
      </c>
      <c r="P43" s="50">
        <v>50</v>
      </c>
      <c r="Q43" s="52">
        <v>0</v>
      </c>
      <c r="R43" s="49" t="s">
        <v>39</v>
      </c>
      <c r="T43" s="49" t="s">
        <v>57</v>
      </c>
      <c r="U43" s="49" t="s">
        <v>91</v>
      </c>
    </row>
    <row r="44" spans="1:21" s="49" customFormat="1">
      <c r="A44" s="50">
        <v>2021</v>
      </c>
      <c r="B44" s="50" t="s">
        <v>124</v>
      </c>
      <c r="C44" s="51">
        <v>26796</v>
      </c>
      <c r="D44" s="51">
        <v>36</v>
      </c>
      <c r="E44" s="66">
        <v>44445</v>
      </c>
      <c r="F44" s="50" t="s">
        <v>50</v>
      </c>
      <c r="G44" s="50" t="s">
        <v>51</v>
      </c>
      <c r="H44" s="50" t="s">
        <v>121</v>
      </c>
      <c r="I44" s="49" t="s">
        <v>88</v>
      </c>
      <c r="J44" s="50" t="s">
        <v>35</v>
      </c>
      <c r="K44" s="50" t="s">
        <v>36</v>
      </c>
      <c r="L44" s="50" t="s">
        <v>55</v>
      </c>
      <c r="M44" s="50" t="s">
        <v>38</v>
      </c>
      <c r="N44" s="50"/>
      <c r="O44" s="50">
        <v>50</v>
      </c>
      <c r="P44" s="50">
        <v>50</v>
      </c>
      <c r="Q44" s="52">
        <v>0</v>
      </c>
      <c r="R44" s="49" t="s">
        <v>39</v>
      </c>
      <c r="T44" s="49" t="s">
        <v>57</v>
      </c>
      <c r="U44" s="49" t="s">
        <v>91</v>
      </c>
    </row>
    <row r="45" spans="1:21" s="49" customFormat="1">
      <c r="A45" s="50">
        <v>2021</v>
      </c>
      <c r="B45" s="50" t="s">
        <v>125</v>
      </c>
      <c r="C45" s="51">
        <v>26797</v>
      </c>
      <c r="D45" s="51">
        <v>36</v>
      </c>
      <c r="E45" s="66">
        <v>44445</v>
      </c>
      <c r="F45" s="50" t="s">
        <v>50</v>
      </c>
      <c r="G45" s="50" t="s">
        <v>51</v>
      </c>
      <c r="H45" s="50" t="s">
        <v>121</v>
      </c>
      <c r="I45" s="49" t="s">
        <v>88</v>
      </c>
      <c r="J45" s="50" t="s">
        <v>35</v>
      </c>
      <c r="K45" s="50" t="s">
        <v>36</v>
      </c>
      <c r="L45" s="50" t="s">
        <v>55</v>
      </c>
      <c r="M45" s="50" t="s">
        <v>38</v>
      </c>
      <c r="N45" s="50"/>
      <c r="O45" s="50">
        <v>50</v>
      </c>
      <c r="P45" s="50">
        <v>50</v>
      </c>
      <c r="Q45" s="52">
        <v>0</v>
      </c>
      <c r="R45" s="49" t="s">
        <v>39</v>
      </c>
      <c r="T45" s="49" t="s">
        <v>57</v>
      </c>
      <c r="U45" s="49" t="s">
        <v>91</v>
      </c>
    </row>
    <row r="46" spans="1:21" s="49" customFormat="1">
      <c r="A46" s="50">
        <v>2021</v>
      </c>
      <c r="B46" s="50" t="s">
        <v>126</v>
      </c>
      <c r="C46" s="51">
        <v>26798</v>
      </c>
      <c r="D46" s="51">
        <v>36</v>
      </c>
      <c r="E46" s="66">
        <v>44445</v>
      </c>
      <c r="F46" s="50" t="s">
        <v>50</v>
      </c>
      <c r="G46" s="50" t="s">
        <v>51</v>
      </c>
      <c r="H46" s="50" t="s">
        <v>121</v>
      </c>
      <c r="I46" s="49" t="s">
        <v>88</v>
      </c>
      <c r="J46" s="50" t="s">
        <v>35</v>
      </c>
      <c r="K46" s="50" t="s">
        <v>36</v>
      </c>
      <c r="L46" s="50" t="s">
        <v>55</v>
      </c>
      <c r="M46" s="50" t="s">
        <v>38</v>
      </c>
      <c r="N46" s="50"/>
      <c r="O46" s="50">
        <v>50</v>
      </c>
      <c r="P46" s="50">
        <v>50</v>
      </c>
      <c r="Q46" s="52">
        <v>0</v>
      </c>
      <c r="R46" s="49" t="s">
        <v>39</v>
      </c>
      <c r="T46" s="49" t="s">
        <v>57</v>
      </c>
      <c r="U46" s="49" t="s">
        <v>91</v>
      </c>
    </row>
    <row r="47" spans="1:21" s="49" customFormat="1">
      <c r="A47" s="50">
        <v>2021</v>
      </c>
      <c r="B47" s="50" t="s">
        <v>127</v>
      </c>
      <c r="C47" s="51">
        <v>26799</v>
      </c>
      <c r="D47" s="51">
        <v>36</v>
      </c>
      <c r="E47" s="66">
        <v>44445</v>
      </c>
      <c r="F47" s="50" t="s">
        <v>50</v>
      </c>
      <c r="G47" s="50" t="s">
        <v>51</v>
      </c>
      <c r="H47" s="50" t="s">
        <v>121</v>
      </c>
      <c r="I47" s="49" t="s">
        <v>88</v>
      </c>
      <c r="J47" s="50" t="s">
        <v>35</v>
      </c>
      <c r="K47" s="50" t="s">
        <v>36</v>
      </c>
      <c r="L47" s="50" t="s">
        <v>55</v>
      </c>
      <c r="M47" s="50" t="s">
        <v>38</v>
      </c>
      <c r="N47" s="50"/>
      <c r="O47" s="50">
        <v>50</v>
      </c>
      <c r="P47" s="50">
        <v>50</v>
      </c>
      <c r="Q47" s="52">
        <v>0</v>
      </c>
      <c r="R47" s="49" t="s">
        <v>39</v>
      </c>
      <c r="T47" s="49" t="s">
        <v>57</v>
      </c>
      <c r="U47" s="49" t="s">
        <v>91</v>
      </c>
    </row>
    <row r="48" spans="1:21" s="49" customFormat="1">
      <c r="A48" s="50">
        <v>2021</v>
      </c>
      <c r="B48" s="50" t="s">
        <v>128</v>
      </c>
      <c r="C48" s="51">
        <v>26800</v>
      </c>
      <c r="D48" s="51">
        <v>36</v>
      </c>
      <c r="E48" s="66">
        <v>44445</v>
      </c>
      <c r="F48" s="50" t="s">
        <v>50</v>
      </c>
      <c r="G48" s="50" t="s">
        <v>51</v>
      </c>
      <c r="H48" s="50" t="s">
        <v>121</v>
      </c>
      <c r="I48" s="49" t="s">
        <v>88</v>
      </c>
      <c r="J48" s="50" t="s">
        <v>35</v>
      </c>
      <c r="K48" s="50" t="s">
        <v>36</v>
      </c>
      <c r="L48" s="50" t="s">
        <v>55</v>
      </c>
      <c r="M48" s="50" t="s">
        <v>38</v>
      </c>
      <c r="N48" s="50"/>
      <c r="O48" s="50">
        <v>50</v>
      </c>
      <c r="P48" s="50">
        <v>50</v>
      </c>
      <c r="Q48" s="52">
        <v>0</v>
      </c>
      <c r="R48" s="49" t="s">
        <v>39</v>
      </c>
      <c r="T48" s="49" t="s">
        <v>57</v>
      </c>
      <c r="U48" s="49" t="s">
        <v>91</v>
      </c>
    </row>
    <row r="49" spans="1:21" s="49" customFormat="1">
      <c r="A49" s="50">
        <v>2021</v>
      </c>
      <c r="B49" s="50" t="s">
        <v>129</v>
      </c>
      <c r="C49" s="51">
        <v>26801</v>
      </c>
      <c r="D49" s="51">
        <v>36</v>
      </c>
      <c r="E49" s="66">
        <v>44445</v>
      </c>
      <c r="F49" s="50" t="s">
        <v>50</v>
      </c>
      <c r="G49" s="50" t="s">
        <v>51</v>
      </c>
      <c r="H49" s="50" t="s">
        <v>121</v>
      </c>
      <c r="I49" s="49" t="s">
        <v>88</v>
      </c>
      <c r="J49" s="50" t="s">
        <v>35</v>
      </c>
      <c r="K49" s="50" t="s">
        <v>36</v>
      </c>
      <c r="L49" s="50" t="s">
        <v>55</v>
      </c>
      <c r="M49" s="50" t="s">
        <v>38</v>
      </c>
      <c r="N49" s="50"/>
      <c r="O49" s="50">
        <v>50</v>
      </c>
      <c r="P49" s="50">
        <v>50</v>
      </c>
      <c r="Q49" s="52">
        <v>0</v>
      </c>
      <c r="R49" s="49" t="s">
        <v>39</v>
      </c>
      <c r="T49" s="49" t="s">
        <v>57</v>
      </c>
      <c r="U49" s="49" t="s">
        <v>91</v>
      </c>
    </row>
    <row r="50" spans="1:21" s="49" customFormat="1">
      <c r="A50" s="50">
        <v>2021</v>
      </c>
      <c r="B50" s="50" t="s">
        <v>130</v>
      </c>
      <c r="C50" s="51">
        <v>26802</v>
      </c>
      <c r="D50" s="51">
        <v>36</v>
      </c>
      <c r="E50" s="66">
        <v>44445</v>
      </c>
      <c r="F50" s="50" t="s">
        <v>50</v>
      </c>
      <c r="G50" s="50" t="s">
        <v>51</v>
      </c>
      <c r="H50" s="50" t="s">
        <v>121</v>
      </c>
      <c r="I50" s="49" t="s">
        <v>88</v>
      </c>
      <c r="J50" s="50" t="s">
        <v>35</v>
      </c>
      <c r="K50" s="50" t="s">
        <v>36</v>
      </c>
      <c r="L50" s="50" t="s">
        <v>55</v>
      </c>
      <c r="M50" s="50" t="s">
        <v>38</v>
      </c>
      <c r="N50" s="50"/>
      <c r="O50" s="50">
        <v>50</v>
      </c>
      <c r="P50" s="50">
        <v>50</v>
      </c>
      <c r="Q50" s="52">
        <v>0</v>
      </c>
      <c r="R50" s="49" t="s">
        <v>39</v>
      </c>
      <c r="T50" s="49" t="s">
        <v>57</v>
      </c>
      <c r="U50" s="49" t="s">
        <v>91</v>
      </c>
    </row>
    <row r="51" spans="1:21" s="49" customFormat="1">
      <c r="A51" s="94">
        <v>2021</v>
      </c>
      <c r="B51" s="50" t="s">
        <v>131</v>
      </c>
      <c r="C51" s="51">
        <v>26803</v>
      </c>
      <c r="D51" s="51">
        <v>36</v>
      </c>
      <c r="E51" s="66">
        <v>44445</v>
      </c>
      <c r="F51" s="50" t="s">
        <v>50</v>
      </c>
      <c r="G51" s="50" t="s">
        <v>51</v>
      </c>
      <c r="H51" s="50" t="s">
        <v>121</v>
      </c>
      <c r="I51" s="49" t="s">
        <v>88</v>
      </c>
      <c r="J51" s="50" t="s">
        <v>35</v>
      </c>
      <c r="K51" s="50" t="s">
        <v>36</v>
      </c>
      <c r="L51" s="50" t="s">
        <v>55</v>
      </c>
      <c r="M51" s="50" t="s">
        <v>38</v>
      </c>
      <c r="N51" s="50"/>
      <c r="O51" s="50">
        <v>50</v>
      </c>
      <c r="P51" s="50">
        <v>50</v>
      </c>
      <c r="Q51" s="52">
        <v>0</v>
      </c>
      <c r="R51" s="49" t="s">
        <v>39</v>
      </c>
      <c r="T51" s="49" t="s">
        <v>57</v>
      </c>
      <c r="U51" s="49" t="s">
        <v>91</v>
      </c>
    </row>
    <row r="52" spans="1:21" s="49" customFormat="1">
      <c r="A52" s="94">
        <v>2021</v>
      </c>
      <c r="B52" s="50" t="s">
        <v>132</v>
      </c>
      <c r="C52" s="51">
        <v>26804</v>
      </c>
      <c r="D52" s="51">
        <v>36</v>
      </c>
      <c r="E52" s="66">
        <v>44445</v>
      </c>
      <c r="F52" s="50" t="s">
        <v>50</v>
      </c>
      <c r="G52" s="50" t="s">
        <v>51</v>
      </c>
      <c r="H52" s="50" t="s">
        <v>121</v>
      </c>
      <c r="I52" s="49" t="s">
        <v>88</v>
      </c>
      <c r="J52" s="50" t="s">
        <v>35</v>
      </c>
      <c r="K52" s="50" t="s">
        <v>36</v>
      </c>
      <c r="L52" s="50" t="s">
        <v>55</v>
      </c>
      <c r="M52" s="50" t="s">
        <v>38</v>
      </c>
      <c r="N52" s="50"/>
      <c r="O52" s="50">
        <v>26</v>
      </c>
      <c r="P52" s="50">
        <v>26</v>
      </c>
      <c r="Q52" s="52">
        <v>0</v>
      </c>
      <c r="R52" s="49" t="s">
        <v>39</v>
      </c>
      <c r="T52" s="49" t="s">
        <v>57</v>
      </c>
      <c r="U52" s="49" t="s">
        <v>91</v>
      </c>
    </row>
    <row r="53" spans="1:21" s="49" customFormat="1">
      <c r="A53" s="93">
        <v>2021</v>
      </c>
      <c r="B53" s="75" t="s">
        <v>133</v>
      </c>
      <c r="C53" s="81">
        <v>26805</v>
      </c>
      <c r="D53" s="81">
        <v>36</v>
      </c>
      <c r="E53" s="78">
        <v>44446</v>
      </c>
      <c r="F53" s="75" t="s">
        <v>50</v>
      </c>
      <c r="G53" s="75" t="s">
        <v>134</v>
      </c>
      <c r="H53" s="75" t="s">
        <v>135</v>
      </c>
      <c r="I53" s="74" t="s">
        <v>134</v>
      </c>
      <c r="J53" s="75" t="s">
        <v>35</v>
      </c>
      <c r="K53" s="75" t="s">
        <v>36</v>
      </c>
      <c r="L53" s="75" t="s">
        <v>37</v>
      </c>
      <c r="M53" s="75" t="s">
        <v>38</v>
      </c>
      <c r="N53" s="75"/>
      <c r="O53" s="75">
        <v>5</v>
      </c>
      <c r="P53" s="75">
        <v>5</v>
      </c>
      <c r="Q53" s="76">
        <v>1</v>
      </c>
      <c r="R53" s="74" t="s">
        <v>56</v>
      </c>
      <c r="S53" s="74"/>
      <c r="T53" s="74" t="s">
        <v>136</v>
      </c>
      <c r="U53" s="74" t="s">
        <v>136</v>
      </c>
    </row>
    <row r="54" spans="1:21" s="49" customFormat="1">
      <c r="A54" s="94">
        <v>2021</v>
      </c>
      <c r="B54" s="50" t="s">
        <v>137</v>
      </c>
      <c r="C54" s="51">
        <v>26806</v>
      </c>
      <c r="D54" s="51">
        <v>36</v>
      </c>
      <c r="E54" s="66">
        <v>44446</v>
      </c>
      <c r="F54" s="50" t="s">
        <v>50</v>
      </c>
      <c r="G54" s="50" t="s">
        <v>134</v>
      </c>
      <c r="H54" s="50" t="s">
        <v>138</v>
      </c>
      <c r="I54" s="49" t="s">
        <v>134</v>
      </c>
      <c r="J54" s="50" t="s">
        <v>35</v>
      </c>
      <c r="K54" s="50" t="s">
        <v>36</v>
      </c>
      <c r="L54" s="50" t="s">
        <v>37</v>
      </c>
      <c r="M54" s="50" t="s">
        <v>38</v>
      </c>
      <c r="N54" s="50"/>
      <c r="O54" s="50">
        <v>3</v>
      </c>
      <c r="P54" s="50">
        <v>3</v>
      </c>
      <c r="Q54" s="52">
        <v>0</v>
      </c>
      <c r="R54" s="49" t="s">
        <v>39</v>
      </c>
      <c r="T54" s="49" t="s">
        <v>136</v>
      </c>
      <c r="U54" s="49" t="s">
        <v>136</v>
      </c>
    </row>
    <row r="55" spans="1:21" s="49" customFormat="1">
      <c r="A55" s="94">
        <v>2021</v>
      </c>
      <c r="B55" s="50" t="s">
        <v>139</v>
      </c>
      <c r="C55" s="51">
        <v>26807</v>
      </c>
      <c r="D55" s="51">
        <v>36</v>
      </c>
      <c r="E55" s="66">
        <v>44446</v>
      </c>
      <c r="F55" s="50" t="s">
        <v>50</v>
      </c>
      <c r="G55" s="97" t="s">
        <v>134</v>
      </c>
      <c r="H55" s="50" t="s">
        <v>138</v>
      </c>
      <c r="I55" s="49" t="s">
        <v>134</v>
      </c>
      <c r="J55" s="50" t="s">
        <v>35</v>
      </c>
      <c r="K55" s="50" t="s">
        <v>36</v>
      </c>
      <c r="L55" s="50" t="s">
        <v>55</v>
      </c>
      <c r="M55" s="50" t="s">
        <v>38</v>
      </c>
      <c r="N55" s="50"/>
      <c r="O55" s="50">
        <v>1</v>
      </c>
      <c r="P55" s="50">
        <v>1</v>
      </c>
      <c r="Q55" s="52">
        <v>0</v>
      </c>
      <c r="R55" s="49" t="s">
        <v>39</v>
      </c>
      <c r="T55" s="49" t="s">
        <v>140</v>
      </c>
      <c r="U55" s="49" t="s">
        <v>140</v>
      </c>
    </row>
    <row r="56" spans="1:21" s="49" customFormat="1">
      <c r="A56" s="94">
        <v>2021</v>
      </c>
      <c r="B56" s="50" t="s">
        <v>141</v>
      </c>
      <c r="C56" s="51">
        <v>26808</v>
      </c>
      <c r="D56" s="51">
        <v>36</v>
      </c>
      <c r="E56" s="66">
        <v>44446</v>
      </c>
      <c r="F56" s="50" t="s">
        <v>50</v>
      </c>
      <c r="G56" s="50" t="s">
        <v>51</v>
      </c>
      <c r="H56" s="50" t="s">
        <v>142</v>
      </c>
      <c r="I56" s="49" t="s">
        <v>102</v>
      </c>
      <c r="J56" s="50" t="s">
        <v>35</v>
      </c>
      <c r="K56" s="50" t="s">
        <v>36</v>
      </c>
      <c r="L56" s="50" t="s">
        <v>37</v>
      </c>
      <c r="M56" s="50" t="s">
        <v>38</v>
      </c>
      <c r="N56" s="50"/>
      <c r="O56" s="50">
        <v>3</v>
      </c>
      <c r="P56" s="50">
        <v>3</v>
      </c>
      <c r="Q56" s="52">
        <v>0</v>
      </c>
      <c r="R56" s="49" t="s">
        <v>39</v>
      </c>
      <c r="T56" s="49" t="s">
        <v>61</v>
      </c>
      <c r="U56" s="49" t="s">
        <v>103</v>
      </c>
    </row>
    <row r="57" spans="1:21" s="49" customFormat="1">
      <c r="A57" s="94">
        <v>2021</v>
      </c>
      <c r="B57" s="50" t="s">
        <v>143</v>
      </c>
      <c r="C57" s="51">
        <v>26809</v>
      </c>
      <c r="D57" s="51">
        <v>36</v>
      </c>
      <c r="E57" s="66">
        <v>44446</v>
      </c>
      <c r="F57" s="50" t="s">
        <v>50</v>
      </c>
      <c r="G57" s="50" t="s">
        <v>51</v>
      </c>
      <c r="H57" s="50" t="s">
        <v>144</v>
      </c>
      <c r="I57" s="49" t="s">
        <v>102</v>
      </c>
      <c r="J57" s="50" t="s">
        <v>35</v>
      </c>
      <c r="K57" s="50" t="s">
        <v>36</v>
      </c>
      <c r="L57" s="50" t="s">
        <v>37</v>
      </c>
      <c r="M57" s="50" t="s">
        <v>38</v>
      </c>
      <c r="N57" s="50"/>
      <c r="O57" s="50">
        <v>1</v>
      </c>
      <c r="P57" s="50">
        <v>1</v>
      </c>
      <c r="Q57" s="52">
        <v>0</v>
      </c>
      <c r="R57" s="49" t="s">
        <v>39</v>
      </c>
      <c r="T57" s="49" t="s">
        <v>61</v>
      </c>
      <c r="U57" s="49" t="s">
        <v>103</v>
      </c>
    </row>
    <row r="58" spans="1:21" s="49" customFormat="1">
      <c r="A58" s="94">
        <v>2021</v>
      </c>
      <c r="B58" s="50" t="s">
        <v>145</v>
      </c>
      <c r="C58" s="51">
        <v>26810</v>
      </c>
      <c r="D58" s="51">
        <v>36</v>
      </c>
      <c r="E58" s="66">
        <v>44446</v>
      </c>
      <c r="F58" s="50" t="s">
        <v>50</v>
      </c>
      <c r="G58" s="50" t="s">
        <v>51</v>
      </c>
      <c r="H58" s="50" t="s">
        <v>144</v>
      </c>
      <c r="I58" s="49" t="s">
        <v>102</v>
      </c>
      <c r="J58" s="50" t="s">
        <v>35</v>
      </c>
      <c r="K58" s="50" t="s">
        <v>36</v>
      </c>
      <c r="L58" s="50" t="s">
        <v>55</v>
      </c>
      <c r="M58" s="50" t="s">
        <v>38</v>
      </c>
      <c r="N58" s="50"/>
      <c r="O58" s="50">
        <v>10</v>
      </c>
      <c r="P58" s="50">
        <v>10</v>
      </c>
      <c r="Q58" s="52">
        <v>0</v>
      </c>
      <c r="R58" s="49" t="s">
        <v>39</v>
      </c>
      <c r="T58" s="49" t="s">
        <v>57</v>
      </c>
      <c r="U58" s="49" t="s">
        <v>146</v>
      </c>
    </row>
    <row r="59" spans="1:21" s="49" customFormat="1">
      <c r="A59" s="94">
        <v>2021</v>
      </c>
      <c r="B59" s="50" t="s">
        <v>147</v>
      </c>
      <c r="C59" s="51">
        <v>26811</v>
      </c>
      <c r="D59" s="51">
        <v>36</v>
      </c>
      <c r="E59" s="66">
        <v>44446</v>
      </c>
      <c r="F59" s="50" t="s">
        <v>50</v>
      </c>
      <c r="G59" s="50" t="s">
        <v>51</v>
      </c>
      <c r="H59" s="50" t="s">
        <v>148</v>
      </c>
      <c r="I59" s="49" t="s">
        <v>102</v>
      </c>
      <c r="J59" s="50" t="s">
        <v>54</v>
      </c>
      <c r="K59" s="50" t="s">
        <v>36</v>
      </c>
      <c r="L59" s="50" t="s">
        <v>55</v>
      </c>
      <c r="M59" s="50" t="s">
        <v>38</v>
      </c>
      <c r="N59" s="50">
        <v>17</v>
      </c>
      <c r="O59" s="50"/>
      <c r="P59" s="50">
        <v>17</v>
      </c>
      <c r="Q59" s="52">
        <v>0</v>
      </c>
      <c r="R59" s="49" t="s">
        <v>39</v>
      </c>
      <c r="T59" s="49" t="s">
        <v>57</v>
      </c>
      <c r="U59" s="49" t="s">
        <v>146</v>
      </c>
    </row>
    <row r="60" spans="1:21" s="49" customFormat="1">
      <c r="A60" s="94">
        <v>2021</v>
      </c>
      <c r="B60" s="50" t="s">
        <v>149</v>
      </c>
      <c r="C60" s="51">
        <v>26812</v>
      </c>
      <c r="D60" s="51">
        <v>36</v>
      </c>
      <c r="E60" s="66">
        <v>44446</v>
      </c>
      <c r="F60" s="50" t="s">
        <v>50</v>
      </c>
      <c r="G60" s="50" t="s">
        <v>51</v>
      </c>
      <c r="H60" s="50" t="s">
        <v>150</v>
      </c>
      <c r="I60" s="49" t="s">
        <v>102</v>
      </c>
      <c r="J60" s="50" t="s">
        <v>35</v>
      </c>
      <c r="K60" s="50" t="s">
        <v>36</v>
      </c>
      <c r="L60" s="50" t="s">
        <v>55</v>
      </c>
      <c r="M60" s="50" t="s">
        <v>38</v>
      </c>
      <c r="N60" s="50"/>
      <c r="O60" s="50">
        <v>1</v>
      </c>
      <c r="P60" s="50">
        <v>1</v>
      </c>
      <c r="Q60" s="52">
        <v>0</v>
      </c>
      <c r="R60" s="49" t="s">
        <v>39</v>
      </c>
      <c r="T60" s="49" t="s">
        <v>57</v>
      </c>
      <c r="U60" s="49" t="s">
        <v>146</v>
      </c>
    </row>
    <row r="61" spans="1:21" s="49" customFormat="1">
      <c r="A61" s="94">
        <v>2021</v>
      </c>
      <c r="B61" s="50" t="s">
        <v>151</v>
      </c>
      <c r="C61" s="51">
        <v>26813</v>
      </c>
      <c r="D61" s="51">
        <v>36</v>
      </c>
      <c r="E61" s="66">
        <v>44446</v>
      </c>
      <c r="F61" s="50" t="s">
        <v>50</v>
      </c>
      <c r="G61" s="50" t="s">
        <v>51</v>
      </c>
      <c r="H61" s="50" t="s">
        <v>152</v>
      </c>
      <c r="I61" s="50" t="s">
        <v>102</v>
      </c>
      <c r="J61" s="50" t="s">
        <v>35</v>
      </c>
      <c r="K61" s="50" t="s">
        <v>36</v>
      </c>
      <c r="L61" s="50" t="s">
        <v>55</v>
      </c>
      <c r="M61" s="50" t="s">
        <v>38</v>
      </c>
      <c r="N61" s="50"/>
      <c r="O61" s="50">
        <v>3</v>
      </c>
      <c r="P61" s="50">
        <v>3</v>
      </c>
      <c r="Q61" s="52">
        <v>0</v>
      </c>
      <c r="R61" s="49" t="s">
        <v>39</v>
      </c>
      <c r="T61" s="49" t="s">
        <v>57</v>
      </c>
      <c r="U61" s="49" t="s">
        <v>146</v>
      </c>
    </row>
    <row r="62" spans="1:21" s="49" customFormat="1">
      <c r="A62" s="94">
        <v>2021</v>
      </c>
      <c r="B62" s="50" t="s">
        <v>153</v>
      </c>
      <c r="C62" s="51">
        <v>26814</v>
      </c>
      <c r="D62" s="51">
        <v>36</v>
      </c>
      <c r="E62" s="66">
        <v>44446</v>
      </c>
      <c r="F62" s="50" t="s">
        <v>50</v>
      </c>
      <c r="G62" s="50" t="s">
        <v>51</v>
      </c>
      <c r="H62" s="50" t="s">
        <v>154</v>
      </c>
      <c r="I62" s="50" t="s">
        <v>102</v>
      </c>
      <c r="J62" s="50" t="s">
        <v>35</v>
      </c>
      <c r="K62" s="50" t="s">
        <v>36</v>
      </c>
      <c r="L62" s="50" t="s">
        <v>55</v>
      </c>
      <c r="M62" s="50" t="s">
        <v>38</v>
      </c>
      <c r="N62" s="50"/>
      <c r="O62" s="50">
        <v>2</v>
      </c>
      <c r="P62" s="50">
        <v>2</v>
      </c>
      <c r="Q62" s="52">
        <v>0</v>
      </c>
      <c r="R62" s="49" t="s">
        <v>39</v>
      </c>
      <c r="T62" s="49" t="s">
        <v>57</v>
      </c>
      <c r="U62" s="49" t="s">
        <v>146</v>
      </c>
    </row>
    <row r="63" spans="1:21" s="49" customFormat="1">
      <c r="A63" s="93">
        <v>2021</v>
      </c>
      <c r="B63" s="75" t="s">
        <v>155</v>
      </c>
      <c r="C63" s="81">
        <v>26815</v>
      </c>
      <c r="D63" s="81">
        <v>36</v>
      </c>
      <c r="E63" s="78">
        <v>44446</v>
      </c>
      <c r="F63" s="75" t="s">
        <v>50</v>
      </c>
      <c r="G63" s="75" t="s">
        <v>51</v>
      </c>
      <c r="H63" s="75" t="s">
        <v>156</v>
      </c>
      <c r="I63" s="75" t="s">
        <v>102</v>
      </c>
      <c r="J63" s="75" t="s">
        <v>54</v>
      </c>
      <c r="K63" s="75" t="s">
        <v>36</v>
      </c>
      <c r="L63" s="75" t="s">
        <v>55</v>
      </c>
      <c r="M63" s="75" t="s">
        <v>38</v>
      </c>
      <c r="N63" s="75">
        <v>35</v>
      </c>
      <c r="O63" s="75"/>
      <c r="P63" s="75">
        <v>35</v>
      </c>
      <c r="Q63" s="76">
        <v>1</v>
      </c>
      <c r="R63" s="74" t="s">
        <v>56</v>
      </c>
      <c r="S63" s="74"/>
      <c r="T63" s="74" t="s">
        <v>57</v>
      </c>
      <c r="U63" s="74" t="s">
        <v>146</v>
      </c>
    </row>
    <row r="64" spans="1:21" s="49" customFormat="1">
      <c r="A64" s="94">
        <v>2021</v>
      </c>
      <c r="B64" s="50" t="s">
        <v>157</v>
      </c>
      <c r="C64" s="51">
        <v>26816</v>
      </c>
      <c r="D64" s="51">
        <v>36</v>
      </c>
      <c r="E64" s="66">
        <v>44446</v>
      </c>
      <c r="F64" s="50" t="s">
        <v>50</v>
      </c>
      <c r="G64" s="50" t="s">
        <v>51</v>
      </c>
      <c r="H64" s="50" t="s">
        <v>158</v>
      </c>
      <c r="I64" s="50" t="s">
        <v>102</v>
      </c>
      <c r="J64" s="50" t="s">
        <v>35</v>
      </c>
      <c r="K64" s="50" t="s">
        <v>36</v>
      </c>
      <c r="L64" s="50" t="s">
        <v>55</v>
      </c>
      <c r="M64" s="50" t="s">
        <v>38</v>
      </c>
      <c r="N64" s="50"/>
      <c r="O64" s="50">
        <v>2</v>
      </c>
      <c r="P64" s="50">
        <v>2</v>
      </c>
      <c r="Q64" s="52">
        <v>0</v>
      </c>
      <c r="R64" s="49" t="s">
        <v>39</v>
      </c>
      <c r="T64" s="49" t="s">
        <v>57</v>
      </c>
      <c r="U64" s="49" t="s">
        <v>146</v>
      </c>
    </row>
    <row r="65" spans="1:21" s="49" customFormat="1">
      <c r="A65" s="94">
        <v>2021</v>
      </c>
      <c r="B65" s="50" t="s">
        <v>159</v>
      </c>
      <c r="C65" s="51">
        <v>26817</v>
      </c>
      <c r="D65" s="51">
        <v>36</v>
      </c>
      <c r="E65" s="66">
        <v>44446</v>
      </c>
      <c r="F65" s="50" t="s">
        <v>50</v>
      </c>
      <c r="G65" s="50" t="s">
        <v>51</v>
      </c>
      <c r="H65" s="50" t="s">
        <v>160</v>
      </c>
      <c r="I65" s="50" t="s">
        <v>161</v>
      </c>
      <c r="J65" s="50" t="s">
        <v>35</v>
      </c>
      <c r="K65" s="50" t="s">
        <v>36</v>
      </c>
      <c r="L65" s="50" t="s">
        <v>37</v>
      </c>
      <c r="M65" s="50" t="s">
        <v>38</v>
      </c>
      <c r="N65" s="50"/>
      <c r="O65" s="50">
        <v>2</v>
      </c>
      <c r="P65" s="50">
        <v>2</v>
      </c>
      <c r="Q65" s="52">
        <v>0</v>
      </c>
      <c r="R65" s="49" t="s">
        <v>39</v>
      </c>
      <c r="T65" s="49" t="s">
        <v>61</v>
      </c>
      <c r="U65" s="49" t="s">
        <v>162</v>
      </c>
    </row>
    <row r="66" spans="1:21" s="49" customFormat="1">
      <c r="A66" s="94">
        <v>2021</v>
      </c>
      <c r="B66" s="50" t="s">
        <v>163</v>
      </c>
      <c r="C66" s="51">
        <v>26818</v>
      </c>
      <c r="D66" s="51">
        <v>36</v>
      </c>
      <c r="E66" s="66">
        <v>44447</v>
      </c>
      <c r="F66" s="50" t="s">
        <v>50</v>
      </c>
      <c r="G66" s="50" t="s">
        <v>51</v>
      </c>
      <c r="H66" s="50" t="s">
        <v>164</v>
      </c>
      <c r="I66" s="49" t="s">
        <v>161</v>
      </c>
      <c r="J66" s="50" t="s">
        <v>35</v>
      </c>
      <c r="K66" s="50" t="s">
        <v>36</v>
      </c>
      <c r="L66" s="50" t="s">
        <v>37</v>
      </c>
      <c r="M66" s="50" t="s">
        <v>38</v>
      </c>
      <c r="N66" s="50"/>
      <c r="O66" s="50">
        <v>1</v>
      </c>
      <c r="P66" s="50">
        <v>1</v>
      </c>
      <c r="Q66" s="52">
        <v>0</v>
      </c>
      <c r="R66" s="49" t="s">
        <v>39</v>
      </c>
      <c r="T66" s="49" t="s">
        <v>61</v>
      </c>
      <c r="U66" s="49" t="s">
        <v>162</v>
      </c>
    </row>
    <row r="67" spans="1:21" s="49" customFormat="1">
      <c r="A67" s="94">
        <v>2021</v>
      </c>
      <c r="B67" s="50" t="s">
        <v>165</v>
      </c>
      <c r="C67" s="51">
        <v>26819</v>
      </c>
      <c r="D67" s="51">
        <v>36</v>
      </c>
      <c r="E67" s="66">
        <v>44447</v>
      </c>
      <c r="F67" s="50" t="s">
        <v>50</v>
      </c>
      <c r="G67" s="50" t="s">
        <v>51</v>
      </c>
      <c r="H67" s="50" t="s">
        <v>164</v>
      </c>
      <c r="I67" s="49" t="s">
        <v>161</v>
      </c>
      <c r="J67" s="50" t="s">
        <v>35</v>
      </c>
      <c r="K67" s="50" t="s">
        <v>36</v>
      </c>
      <c r="L67" s="50" t="s">
        <v>55</v>
      </c>
      <c r="M67" s="50" t="s">
        <v>38</v>
      </c>
      <c r="N67" s="50"/>
      <c r="O67" s="50">
        <v>7</v>
      </c>
      <c r="P67" s="50">
        <v>7</v>
      </c>
      <c r="Q67" s="52">
        <v>0</v>
      </c>
      <c r="R67" s="49" t="s">
        <v>39</v>
      </c>
      <c r="T67" s="49" t="s">
        <v>57</v>
      </c>
      <c r="U67" s="49" t="s">
        <v>166</v>
      </c>
    </row>
    <row r="68" spans="1:21" s="49" customFormat="1">
      <c r="A68" s="94">
        <v>2021</v>
      </c>
      <c r="B68" s="50" t="s">
        <v>167</v>
      </c>
      <c r="C68" s="51">
        <v>26820</v>
      </c>
      <c r="D68" s="51">
        <v>36</v>
      </c>
      <c r="E68" s="66">
        <v>44447</v>
      </c>
      <c r="F68" s="50" t="s">
        <v>50</v>
      </c>
      <c r="G68" s="50" t="s">
        <v>51</v>
      </c>
      <c r="H68" s="50" t="s">
        <v>168</v>
      </c>
      <c r="I68" s="49" t="s">
        <v>161</v>
      </c>
      <c r="J68" s="50" t="s">
        <v>35</v>
      </c>
      <c r="K68" s="50" t="s">
        <v>36</v>
      </c>
      <c r="L68" s="50" t="s">
        <v>37</v>
      </c>
      <c r="M68" s="50" t="s">
        <v>38</v>
      </c>
      <c r="N68" s="50"/>
      <c r="O68" s="50">
        <v>2</v>
      </c>
      <c r="P68" s="50">
        <v>2</v>
      </c>
      <c r="Q68" s="52">
        <v>0</v>
      </c>
      <c r="R68" s="49" t="s">
        <v>39</v>
      </c>
      <c r="T68" s="49" t="s">
        <v>61</v>
      </c>
      <c r="U68" s="49" t="s">
        <v>162</v>
      </c>
    </row>
    <row r="69" spans="1:21" s="49" customFormat="1">
      <c r="A69" s="94">
        <v>2021</v>
      </c>
      <c r="B69" s="50" t="s">
        <v>169</v>
      </c>
      <c r="C69" s="51">
        <v>26821</v>
      </c>
      <c r="D69" s="51">
        <v>36</v>
      </c>
      <c r="E69" s="66">
        <v>44447</v>
      </c>
      <c r="F69" s="50" t="s">
        <v>50</v>
      </c>
      <c r="G69" s="50" t="s">
        <v>51</v>
      </c>
      <c r="H69" s="50" t="s">
        <v>168</v>
      </c>
      <c r="I69" s="49" t="s">
        <v>161</v>
      </c>
      <c r="J69" s="50" t="s">
        <v>35</v>
      </c>
      <c r="K69" s="50" t="s">
        <v>36</v>
      </c>
      <c r="L69" s="50" t="s">
        <v>55</v>
      </c>
      <c r="M69" s="50" t="s">
        <v>38</v>
      </c>
      <c r="N69" s="50"/>
      <c r="O69" s="50">
        <v>1</v>
      </c>
      <c r="P69" s="50">
        <v>1</v>
      </c>
      <c r="Q69" s="52">
        <v>0</v>
      </c>
      <c r="R69" s="49" t="s">
        <v>39</v>
      </c>
      <c r="T69" s="49" t="s">
        <v>57</v>
      </c>
      <c r="U69" s="49" t="s">
        <v>166</v>
      </c>
    </row>
    <row r="70" spans="1:21" s="49" customFormat="1">
      <c r="A70" s="93">
        <v>2021</v>
      </c>
      <c r="B70" s="75" t="s">
        <v>170</v>
      </c>
      <c r="C70" s="81">
        <v>26822</v>
      </c>
      <c r="D70" s="81">
        <v>36</v>
      </c>
      <c r="E70" s="78">
        <v>44447</v>
      </c>
      <c r="F70" s="75" t="s">
        <v>50</v>
      </c>
      <c r="G70" s="75" t="s">
        <v>51</v>
      </c>
      <c r="H70" s="75" t="s">
        <v>171</v>
      </c>
      <c r="I70" s="74" t="s">
        <v>53</v>
      </c>
      <c r="J70" s="75" t="s">
        <v>54</v>
      </c>
      <c r="K70" s="75" t="s">
        <v>36</v>
      </c>
      <c r="L70" s="75" t="s">
        <v>55</v>
      </c>
      <c r="M70" s="75" t="s">
        <v>38</v>
      </c>
      <c r="N70" s="75">
        <v>47</v>
      </c>
      <c r="O70" s="75"/>
      <c r="P70" s="75">
        <v>47</v>
      </c>
      <c r="Q70" s="76">
        <v>1</v>
      </c>
      <c r="R70" s="74" t="s">
        <v>56</v>
      </c>
      <c r="S70" s="74"/>
      <c r="T70" s="74" t="s">
        <v>57</v>
      </c>
      <c r="U70" s="74" t="s">
        <v>58</v>
      </c>
    </row>
    <row r="71" spans="1:21" s="49" customFormat="1">
      <c r="A71" s="50">
        <v>2021</v>
      </c>
      <c r="B71" s="50" t="s">
        <v>172</v>
      </c>
      <c r="C71" s="51">
        <v>26823</v>
      </c>
      <c r="D71" s="51">
        <v>36</v>
      </c>
      <c r="E71" s="66">
        <v>44447</v>
      </c>
      <c r="F71" s="50" t="s">
        <v>50</v>
      </c>
      <c r="G71" s="50" t="s">
        <v>51</v>
      </c>
      <c r="H71" s="50" t="s">
        <v>173</v>
      </c>
      <c r="I71" s="50" t="s">
        <v>161</v>
      </c>
      <c r="J71" s="50" t="s">
        <v>35</v>
      </c>
      <c r="K71" s="50" t="s">
        <v>36</v>
      </c>
      <c r="L71" s="50" t="s">
        <v>55</v>
      </c>
      <c r="M71" s="50" t="s">
        <v>38</v>
      </c>
      <c r="N71" s="50"/>
      <c r="O71" s="50">
        <v>2</v>
      </c>
      <c r="P71" s="50">
        <v>2</v>
      </c>
      <c r="Q71" s="52">
        <v>0</v>
      </c>
      <c r="R71" s="49" t="s">
        <v>39</v>
      </c>
      <c r="T71" s="49" t="s">
        <v>57</v>
      </c>
      <c r="U71" s="49" t="s">
        <v>166</v>
      </c>
    </row>
    <row r="72" spans="1:21" s="49" customFormat="1">
      <c r="A72" s="50">
        <v>2021</v>
      </c>
      <c r="B72" s="50" t="s">
        <v>174</v>
      </c>
      <c r="C72" s="51">
        <v>26824</v>
      </c>
      <c r="D72" s="51">
        <v>36</v>
      </c>
      <c r="E72" s="66">
        <v>44447</v>
      </c>
      <c r="F72" s="50" t="s">
        <v>50</v>
      </c>
      <c r="G72" s="50" t="s">
        <v>51</v>
      </c>
      <c r="H72" s="50" t="s">
        <v>175</v>
      </c>
      <c r="I72" s="50" t="s">
        <v>161</v>
      </c>
      <c r="J72" s="50" t="s">
        <v>35</v>
      </c>
      <c r="K72" s="50" t="s">
        <v>36</v>
      </c>
      <c r="L72" s="50" t="s">
        <v>37</v>
      </c>
      <c r="M72" s="50" t="s">
        <v>38</v>
      </c>
      <c r="N72" s="50"/>
      <c r="O72" s="50">
        <v>1</v>
      </c>
      <c r="P72" s="50">
        <v>1</v>
      </c>
      <c r="Q72" s="52">
        <v>0</v>
      </c>
      <c r="R72" s="49" t="s">
        <v>39</v>
      </c>
      <c r="T72" s="49" t="s">
        <v>61</v>
      </c>
      <c r="U72" s="49" t="s">
        <v>162</v>
      </c>
    </row>
    <row r="73" spans="1:21" s="49" customFormat="1">
      <c r="A73" s="50">
        <v>2021</v>
      </c>
      <c r="B73" s="50" t="s">
        <v>176</v>
      </c>
      <c r="C73" s="51">
        <v>26825</v>
      </c>
      <c r="D73" s="51">
        <v>36</v>
      </c>
      <c r="E73" s="66">
        <v>44447</v>
      </c>
      <c r="F73" s="50" t="s">
        <v>50</v>
      </c>
      <c r="G73" s="50" t="s">
        <v>51</v>
      </c>
      <c r="H73" s="50" t="s">
        <v>175</v>
      </c>
      <c r="I73" s="50" t="s">
        <v>161</v>
      </c>
      <c r="J73" s="50" t="s">
        <v>35</v>
      </c>
      <c r="K73" s="50" t="s">
        <v>36</v>
      </c>
      <c r="L73" s="50" t="s">
        <v>55</v>
      </c>
      <c r="M73" s="50" t="s">
        <v>38</v>
      </c>
      <c r="N73" s="50"/>
      <c r="O73" s="50">
        <v>1</v>
      </c>
      <c r="P73" s="50">
        <v>1</v>
      </c>
      <c r="Q73" s="52">
        <v>0</v>
      </c>
      <c r="R73" s="49" t="s">
        <v>39</v>
      </c>
      <c r="T73" s="49" t="s">
        <v>57</v>
      </c>
      <c r="U73" s="49" t="s">
        <v>166</v>
      </c>
    </row>
    <row r="74" spans="1:21" s="49" customFormat="1">
      <c r="A74" s="50">
        <v>2021</v>
      </c>
      <c r="B74" s="50" t="s">
        <v>177</v>
      </c>
      <c r="C74" s="51">
        <v>26826</v>
      </c>
      <c r="D74" s="51">
        <v>36</v>
      </c>
      <c r="E74" s="66">
        <v>44447</v>
      </c>
      <c r="F74" s="50" t="s">
        <v>50</v>
      </c>
      <c r="G74" s="50" t="s">
        <v>51</v>
      </c>
      <c r="H74" s="50" t="s">
        <v>178</v>
      </c>
      <c r="I74" s="49" t="s">
        <v>161</v>
      </c>
      <c r="J74" s="50" t="s">
        <v>35</v>
      </c>
      <c r="K74" s="50" t="s">
        <v>36</v>
      </c>
      <c r="L74" s="50" t="s">
        <v>55</v>
      </c>
      <c r="M74" s="50" t="s">
        <v>38</v>
      </c>
      <c r="N74" s="50"/>
      <c r="O74" s="50">
        <v>3</v>
      </c>
      <c r="P74" s="50">
        <v>3</v>
      </c>
      <c r="Q74" s="52">
        <v>0</v>
      </c>
      <c r="R74" s="49" t="s">
        <v>39</v>
      </c>
      <c r="T74" s="49" t="s">
        <v>57</v>
      </c>
      <c r="U74" s="49" t="s">
        <v>166</v>
      </c>
    </row>
    <row r="75" spans="1:21" s="49" customFormat="1">
      <c r="A75" s="75">
        <v>2021</v>
      </c>
      <c r="B75" s="75" t="s">
        <v>179</v>
      </c>
      <c r="C75" s="81">
        <v>26827</v>
      </c>
      <c r="D75" s="81">
        <v>36</v>
      </c>
      <c r="E75" s="78">
        <v>44447</v>
      </c>
      <c r="F75" s="75" t="s">
        <v>50</v>
      </c>
      <c r="G75" s="75" t="s">
        <v>51</v>
      </c>
      <c r="H75" s="75" t="s">
        <v>180</v>
      </c>
      <c r="I75" s="74" t="s">
        <v>161</v>
      </c>
      <c r="J75" s="75" t="s">
        <v>54</v>
      </c>
      <c r="K75" s="75" t="s">
        <v>36</v>
      </c>
      <c r="L75" s="75" t="s">
        <v>55</v>
      </c>
      <c r="M75" s="75" t="s">
        <v>38</v>
      </c>
      <c r="N75" s="75">
        <v>29</v>
      </c>
      <c r="O75" s="75"/>
      <c r="P75" s="75">
        <v>29</v>
      </c>
      <c r="Q75" s="76">
        <v>1</v>
      </c>
      <c r="R75" s="74" t="s">
        <v>56</v>
      </c>
      <c r="S75" s="74"/>
      <c r="T75" s="74" t="s">
        <v>57</v>
      </c>
      <c r="U75" s="74" t="s">
        <v>166</v>
      </c>
    </row>
    <row r="76" spans="1:21" s="49" customFormat="1">
      <c r="A76" s="50">
        <v>2021</v>
      </c>
      <c r="B76" s="50" t="s">
        <v>181</v>
      </c>
      <c r="C76" s="51">
        <v>26828</v>
      </c>
      <c r="D76" s="51">
        <v>36</v>
      </c>
      <c r="E76" s="66">
        <v>44447</v>
      </c>
      <c r="F76" s="50" t="s">
        <v>50</v>
      </c>
      <c r="G76" s="50" t="s">
        <v>51</v>
      </c>
      <c r="H76" s="50" t="s">
        <v>182</v>
      </c>
      <c r="I76" s="49" t="s">
        <v>161</v>
      </c>
      <c r="J76" s="50" t="s">
        <v>35</v>
      </c>
      <c r="K76" s="50" t="s">
        <v>36</v>
      </c>
      <c r="L76" s="50" t="s">
        <v>37</v>
      </c>
      <c r="M76" s="50" t="s">
        <v>38</v>
      </c>
      <c r="N76" s="50"/>
      <c r="O76" s="50">
        <v>1</v>
      </c>
      <c r="P76" s="50">
        <v>1</v>
      </c>
      <c r="Q76" s="52">
        <v>0</v>
      </c>
      <c r="R76" s="49" t="s">
        <v>39</v>
      </c>
      <c r="T76" s="49" t="s">
        <v>61</v>
      </c>
      <c r="U76" s="49" t="s">
        <v>162</v>
      </c>
    </row>
    <row r="77" spans="1:21" s="49" customFormat="1">
      <c r="A77" s="61">
        <v>2021</v>
      </c>
      <c r="B77" s="49" t="s">
        <v>183</v>
      </c>
      <c r="C77" s="51">
        <v>26829</v>
      </c>
      <c r="D77" s="52">
        <v>36</v>
      </c>
      <c r="E77" s="66">
        <v>44447</v>
      </c>
      <c r="F77" s="49" t="s">
        <v>50</v>
      </c>
      <c r="G77" s="50" t="s">
        <v>51</v>
      </c>
      <c r="H77" s="49" t="s">
        <v>182</v>
      </c>
      <c r="I77" s="49" t="s">
        <v>161</v>
      </c>
      <c r="J77" s="49" t="s">
        <v>35</v>
      </c>
      <c r="K77" s="49" t="s">
        <v>36</v>
      </c>
      <c r="L77" s="49" t="s">
        <v>55</v>
      </c>
      <c r="M77" s="49" t="s">
        <v>38</v>
      </c>
      <c r="N77" s="61"/>
      <c r="O77" s="61">
        <v>1</v>
      </c>
      <c r="P77" s="61">
        <v>1</v>
      </c>
      <c r="Q77" s="52">
        <v>0</v>
      </c>
      <c r="R77" s="49" t="s">
        <v>39</v>
      </c>
      <c r="T77" s="49" t="s">
        <v>57</v>
      </c>
      <c r="U77" s="49" t="s">
        <v>166</v>
      </c>
    </row>
    <row r="78" spans="1:21" s="49" customFormat="1">
      <c r="A78" s="61"/>
      <c r="C78" s="51"/>
      <c r="D78" s="52"/>
      <c r="E78" s="66"/>
      <c r="G78" s="50"/>
      <c r="I78" s="50"/>
      <c r="N78" s="61"/>
      <c r="O78" s="61"/>
      <c r="P78" s="61"/>
      <c r="Q78" s="52"/>
    </row>
    <row r="79" spans="1:21" s="49" customFormat="1">
      <c r="A79" s="61"/>
      <c r="C79" s="51"/>
      <c r="D79" s="52"/>
      <c r="E79" s="66"/>
      <c r="G79" s="50"/>
      <c r="I79" s="50"/>
      <c r="N79" s="61"/>
      <c r="O79" s="61"/>
      <c r="P79" s="61"/>
      <c r="Q79" s="52"/>
    </row>
    <row r="80" spans="1:21" s="49" customFormat="1">
      <c r="A80" s="61"/>
      <c r="C80" s="51"/>
      <c r="D80" s="52"/>
      <c r="E80" s="66"/>
      <c r="G80" s="50"/>
      <c r="I80" s="50"/>
      <c r="N80" s="61"/>
      <c r="O80" s="61"/>
      <c r="P80" s="61"/>
      <c r="Q80" s="52"/>
    </row>
    <row r="81" spans="1:17" s="49" customFormat="1">
      <c r="A81" s="61"/>
      <c r="C81" s="51"/>
      <c r="D81" s="52"/>
      <c r="E81" s="66"/>
      <c r="G81" s="50"/>
      <c r="I81" s="50"/>
      <c r="N81" s="61"/>
      <c r="O81" s="61"/>
      <c r="P81" s="61"/>
      <c r="Q81" s="52"/>
    </row>
    <row r="82" spans="1:17" s="49" customFormat="1">
      <c r="A82" s="61"/>
      <c r="C82" s="51"/>
      <c r="D82" s="52"/>
      <c r="E82" s="66"/>
      <c r="G82" s="50"/>
      <c r="I82" s="50"/>
      <c r="N82" s="61"/>
      <c r="O82" s="61"/>
      <c r="P82" s="61"/>
      <c r="Q82" s="52"/>
    </row>
    <row r="83" spans="1:17" s="49" customFormat="1">
      <c r="A83" s="61"/>
      <c r="C83" s="51"/>
      <c r="D83" s="52"/>
      <c r="E83" s="66"/>
      <c r="G83" s="50"/>
      <c r="I83" s="50"/>
      <c r="N83" s="61"/>
      <c r="O83" s="61"/>
      <c r="P83" s="61"/>
      <c r="Q83" s="52"/>
    </row>
    <row r="84" spans="1:17" s="49" customFormat="1">
      <c r="A84" s="61"/>
      <c r="C84" s="51"/>
      <c r="D84" s="52"/>
      <c r="E84" s="66"/>
      <c r="G84" s="50"/>
      <c r="I84" s="50"/>
      <c r="N84" s="61"/>
      <c r="O84" s="61"/>
      <c r="P84" s="61"/>
      <c r="Q84" s="52"/>
    </row>
    <row r="85" spans="1:17" s="49" customFormat="1">
      <c r="A85" s="61"/>
      <c r="C85" s="51"/>
      <c r="D85" s="52"/>
      <c r="E85" s="66"/>
      <c r="G85" s="50"/>
      <c r="I85" s="50"/>
      <c r="N85" s="61"/>
      <c r="O85" s="61"/>
      <c r="P85" s="61"/>
      <c r="Q85" s="52"/>
    </row>
    <row r="86" spans="1:17" s="49" customFormat="1">
      <c r="A86" s="61"/>
      <c r="C86" s="51"/>
      <c r="D86" s="52"/>
      <c r="E86" s="66"/>
      <c r="G86" s="50"/>
      <c r="I86" s="50"/>
      <c r="N86" s="61"/>
      <c r="O86" s="61"/>
      <c r="P86" s="61"/>
      <c r="Q86" s="52"/>
    </row>
    <row r="87" spans="1:17" s="49" customFormat="1">
      <c r="A87" s="61"/>
      <c r="C87" s="51"/>
      <c r="D87" s="52"/>
      <c r="E87" s="66"/>
      <c r="G87" s="50"/>
      <c r="I87" s="50"/>
      <c r="N87" s="61"/>
      <c r="O87" s="61"/>
      <c r="P87" s="61"/>
      <c r="Q87" s="52"/>
    </row>
    <row r="88" spans="1:17" s="49" customFormat="1">
      <c r="A88" s="61"/>
      <c r="C88" s="51"/>
      <c r="D88" s="52"/>
      <c r="E88" s="66"/>
      <c r="G88" s="50"/>
      <c r="I88" s="50"/>
      <c r="N88" s="61"/>
      <c r="O88" s="61"/>
      <c r="P88" s="61"/>
      <c r="Q88" s="52"/>
    </row>
    <row r="89" spans="1:17" s="49" customFormat="1">
      <c r="A89" s="61"/>
      <c r="C89" s="51"/>
      <c r="D89" s="52"/>
      <c r="E89" s="66"/>
      <c r="G89" s="50"/>
      <c r="I89" s="50"/>
      <c r="N89" s="61"/>
      <c r="O89" s="61"/>
      <c r="P89" s="61"/>
      <c r="Q89" s="52"/>
    </row>
    <row r="90" spans="1:17" s="49" customFormat="1">
      <c r="A90" s="61"/>
      <c r="C90" s="51"/>
      <c r="D90" s="52"/>
      <c r="E90" s="66"/>
      <c r="G90" s="50"/>
      <c r="I90" s="50"/>
      <c r="L90" s="50"/>
      <c r="N90" s="61"/>
      <c r="O90" s="61"/>
      <c r="P90" s="61"/>
      <c r="Q90" s="52"/>
    </row>
    <row r="91" spans="1:17" s="49" customFormat="1">
      <c r="A91" s="61"/>
      <c r="C91" s="51"/>
      <c r="D91" s="52"/>
      <c r="E91" s="66"/>
      <c r="G91" s="50"/>
      <c r="I91" s="50"/>
      <c r="N91" s="61"/>
      <c r="O91" s="61"/>
      <c r="P91" s="61"/>
      <c r="Q91" s="52"/>
    </row>
    <row r="92" spans="1:17" s="49" customFormat="1">
      <c r="A92" s="61"/>
      <c r="C92" s="51"/>
      <c r="D92" s="52"/>
      <c r="E92" s="66"/>
      <c r="G92" s="50"/>
      <c r="I92" s="50"/>
      <c r="N92" s="61"/>
      <c r="O92" s="61"/>
      <c r="P92" s="61"/>
      <c r="Q92" s="52"/>
    </row>
    <row r="93" spans="1:17" s="49" customFormat="1">
      <c r="A93" s="61"/>
      <c r="C93" s="51"/>
      <c r="D93" s="52"/>
      <c r="E93" s="66"/>
      <c r="G93" s="50"/>
      <c r="I93" s="50"/>
      <c r="N93" s="61"/>
      <c r="O93" s="61"/>
      <c r="P93" s="61"/>
      <c r="Q93" s="52"/>
    </row>
    <row r="94" spans="1:17" s="49" customFormat="1">
      <c r="A94" s="61"/>
      <c r="C94" s="51"/>
      <c r="D94" s="52"/>
      <c r="E94" s="66"/>
      <c r="G94" s="50"/>
      <c r="I94" s="50"/>
      <c r="N94" s="61"/>
      <c r="O94" s="61"/>
      <c r="P94" s="61"/>
      <c r="Q94" s="52"/>
    </row>
    <row r="95" spans="1:17" s="49" customFormat="1">
      <c r="A95" s="61"/>
      <c r="C95" s="51"/>
      <c r="D95" s="52"/>
      <c r="E95" s="66"/>
      <c r="G95" s="50"/>
      <c r="I95" s="50"/>
      <c r="N95" s="61"/>
      <c r="O95" s="61"/>
      <c r="P95" s="61"/>
      <c r="Q95" s="52"/>
    </row>
    <row r="96" spans="1:17" s="49" customFormat="1">
      <c r="A96" s="61"/>
      <c r="C96" s="51"/>
      <c r="D96" s="52"/>
      <c r="E96" s="66"/>
      <c r="G96" s="50"/>
      <c r="I96" s="50"/>
      <c r="N96" s="61"/>
      <c r="O96" s="61"/>
      <c r="P96" s="61"/>
      <c r="Q96" s="52"/>
    </row>
    <row r="97" spans="1:21" s="49" customFormat="1">
      <c r="A97" s="61"/>
      <c r="C97" s="51"/>
      <c r="D97" s="52"/>
      <c r="E97" s="66"/>
      <c r="G97" s="50"/>
      <c r="I97" s="50"/>
      <c r="N97" s="61"/>
      <c r="O97" s="61"/>
      <c r="P97" s="61"/>
      <c r="Q97" s="52"/>
    </row>
    <row r="98" spans="1:21" s="49" customFormat="1">
      <c r="A98" s="61"/>
      <c r="C98" s="51"/>
      <c r="D98" s="52"/>
      <c r="E98" s="66"/>
      <c r="G98" s="50"/>
      <c r="I98" s="50"/>
      <c r="N98" s="61"/>
      <c r="O98" s="61"/>
      <c r="P98" s="61"/>
      <c r="Q98" s="52"/>
    </row>
    <row r="99" spans="1:21" s="49" customFormat="1">
      <c r="A99" s="61"/>
      <c r="C99" s="51"/>
      <c r="D99" s="52"/>
      <c r="E99" s="66"/>
      <c r="G99" s="50"/>
      <c r="I99" s="50"/>
      <c r="N99" s="61"/>
      <c r="O99" s="61"/>
      <c r="P99" s="61"/>
      <c r="Q99" s="52"/>
    </row>
    <row r="100" spans="1:21" s="49" customFormat="1">
      <c r="A100" s="61"/>
      <c r="C100" s="51"/>
      <c r="D100" s="52"/>
      <c r="E100" s="66"/>
      <c r="G100" s="50"/>
      <c r="I100" s="50"/>
      <c r="N100" s="61"/>
      <c r="O100" s="61"/>
      <c r="P100" s="61"/>
      <c r="Q100" s="52"/>
    </row>
    <row r="101" spans="1:21" s="49" customFormat="1">
      <c r="A101" s="61"/>
      <c r="C101" s="51"/>
      <c r="D101" s="52"/>
      <c r="E101" s="66"/>
      <c r="G101" s="50"/>
      <c r="I101" s="50"/>
      <c r="N101" s="61"/>
      <c r="O101" s="61"/>
      <c r="P101" s="61"/>
      <c r="Q101" s="52"/>
    </row>
    <row r="102" spans="1:21" s="49" customFormat="1">
      <c r="A102" s="61"/>
      <c r="C102" s="51"/>
      <c r="D102" s="52"/>
      <c r="E102" s="66"/>
      <c r="G102" s="50"/>
      <c r="I102" s="50"/>
      <c r="N102" s="61"/>
      <c r="O102" s="61"/>
      <c r="P102" s="61"/>
      <c r="Q102" s="52"/>
    </row>
    <row r="103" spans="1:21" s="49" customFormat="1">
      <c r="A103" s="61"/>
      <c r="C103" s="51"/>
      <c r="D103" s="52"/>
      <c r="E103" s="66"/>
      <c r="G103" s="50"/>
      <c r="I103" s="50"/>
      <c r="N103" s="61"/>
      <c r="O103" s="61"/>
      <c r="P103" s="61"/>
      <c r="Q103" s="52"/>
    </row>
    <row r="104" spans="1:21" s="49" customFormat="1">
      <c r="A104" s="61"/>
      <c r="C104" s="51"/>
      <c r="D104" s="52"/>
      <c r="E104" s="66"/>
      <c r="G104" s="50"/>
      <c r="I104" s="50"/>
      <c r="N104" s="61"/>
      <c r="O104" s="61"/>
      <c r="P104" s="61"/>
      <c r="Q104" s="52"/>
    </row>
    <row r="105" spans="1:21" s="49" customFormat="1">
      <c r="A105" s="61"/>
      <c r="C105" s="51"/>
      <c r="D105" s="52"/>
      <c r="E105" s="66"/>
      <c r="G105" s="50"/>
      <c r="I105" s="50"/>
      <c r="N105" s="61"/>
      <c r="O105" s="61"/>
      <c r="P105" s="61"/>
      <c r="Q105" s="52"/>
    </row>
    <row r="106" spans="1:21" s="49" customFormat="1">
      <c r="A106" s="61"/>
      <c r="C106" s="51"/>
      <c r="D106" s="52"/>
      <c r="E106" s="66"/>
      <c r="G106" s="50"/>
      <c r="I106" s="50"/>
      <c r="N106" s="61"/>
      <c r="O106" s="61"/>
      <c r="P106" s="61"/>
      <c r="Q106" s="52"/>
    </row>
    <row r="107" spans="1:21" s="49" customFormat="1">
      <c r="A107" s="85"/>
      <c r="B107" s="86"/>
      <c r="C107" s="87"/>
      <c r="D107" s="88"/>
      <c r="E107" s="89"/>
      <c r="F107" s="86"/>
      <c r="G107" s="90"/>
      <c r="H107" s="86"/>
      <c r="I107" s="90"/>
      <c r="J107" s="86"/>
      <c r="K107" s="86"/>
      <c r="L107" s="86"/>
      <c r="M107" s="86"/>
      <c r="N107" s="85"/>
      <c r="O107" s="85"/>
      <c r="P107" s="85"/>
      <c r="Q107" s="88"/>
      <c r="R107" s="86"/>
      <c r="S107" s="86"/>
      <c r="T107" s="86"/>
      <c r="U107" s="86"/>
    </row>
    <row r="108" spans="1:21" s="49" customFormat="1">
      <c r="A108" s="85"/>
      <c r="B108" s="86"/>
      <c r="C108" s="87"/>
      <c r="D108" s="88"/>
      <c r="E108" s="89"/>
      <c r="F108" s="86"/>
      <c r="G108" s="90"/>
      <c r="H108" s="86"/>
      <c r="I108" s="90"/>
      <c r="J108" s="86"/>
      <c r="K108" s="86"/>
      <c r="L108" s="86"/>
      <c r="M108" s="86"/>
      <c r="N108" s="85"/>
      <c r="O108" s="85"/>
      <c r="P108" s="85"/>
      <c r="Q108" s="88"/>
      <c r="R108" s="86"/>
      <c r="S108" s="86"/>
      <c r="T108" s="86"/>
      <c r="U108" s="86"/>
    </row>
    <row r="109" spans="1:21" s="49" customFormat="1">
      <c r="A109" s="85"/>
      <c r="B109" s="86"/>
      <c r="C109" s="87"/>
      <c r="D109" s="88"/>
      <c r="E109" s="89"/>
      <c r="F109" s="86"/>
      <c r="G109" s="90"/>
      <c r="H109" s="86"/>
      <c r="I109" s="90"/>
      <c r="J109" s="86"/>
      <c r="K109" s="86"/>
      <c r="L109" s="86"/>
      <c r="M109" s="86"/>
      <c r="N109" s="85"/>
      <c r="O109" s="85"/>
      <c r="P109" s="85"/>
      <c r="Q109" s="88"/>
      <c r="R109" s="86"/>
      <c r="S109" s="86"/>
      <c r="T109" s="86"/>
      <c r="U109" s="86"/>
    </row>
    <row r="110" spans="1:21" s="49" customFormat="1">
      <c r="A110" s="85"/>
      <c r="B110" s="86"/>
      <c r="C110" s="87"/>
      <c r="D110" s="88"/>
      <c r="E110" s="89"/>
      <c r="F110" s="86"/>
      <c r="G110" s="90"/>
      <c r="H110" s="86"/>
      <c r="I110" s="90"/>
      <c r="J110" s="86"/>
      <c r="K110" s="86"/>
      <c r="L110" s="86"/>
      <c r="M110" s="86"/>
      <c r="N110" s="85"/>
      <c r="O110" s="85"/>
      <c r="P110" s="85"/>
      <c r="Q110" s="88"/>
      <c r="R110" s="86"/>
      <c r="S110" s="86"/>
      <c r="T110" s="86"/>
      <c r="U110" s="86"/>
    </row>
    <row r="111" spans="1:21" s="49" customFormat="1">
      <c r="A111" s="85"/>
      <c r="B111" s="86"/>
      <c r="C111" s="87"/>
      <c r="D111" s="88"/>
      <c r="E111" s="89"/>
      <c r="F111" s="86"/>
      <c r="G111" s="90"/>
      <c r="H111" s="86"/>
      <c r="I111" s="90"/>
      <c r="J111" s="86"/>
      <c r="K111" s="86"/>
      <c r="L111" s="86"/>
      <c r="M111" s="86"/>
      <c r="N111" s="85"/>
      <c r="O111" s="85"/>
      <c r="P111" s="85"/>
      <c r="Q111" s="88"/>
      <c r="R111" s="86"/>
      <c r="S111" s="86"/>
      <c r="T111" s="86"/>
      <c r="U111" s="86"/>
    </row>
    <row r="112" spans="1:21" s="49" customFormat="1">
      <c r="A112" s="85"/>
      <c r="B112" s="86"/>
      <c r="C112" s="87"/>
      <c r="D112" s="88"/>
      <c r="E112" s="89"/>
      <c r="F112" s="86"/>
      <c r="G112" s="90"/>
      <c r="H112" s="86"/>
      <c r="I112" s="90"/>
      <c r="J112" s="86"/>
      <c r="K112" s="86"/>
      <c r="L112" s="86"/>
      <c r="M112" s="86"/>
      <c r="N112" s="85"/>
      <c r="O112" s="85"/>
      <c r="P112" s="85"/>
      <c r="Q112" s="88"/>
      <c r="R112" s="86"/>
      <c r="S112" s="86"/>
      <c r="T112" s="86"/>
      <c r="U112" s="86"/>
    </row>
    <row r="113" spans="1:21" s="49" customFormat="1">
      <c r="A113" s="85"/>
      <c r="B113" s="86"/>
      <c r="C113" s="87"/>
      <c r="D113" s="88"/>
      <c r="E113" s="89"/>
      <c r="F113" s="86"/>
      <c r="G113" s="90"/>
      <c r="H113" s="86"/>
      <c r="I113" s="90"/>
      <c r="J113" s="86"/>
      <c r="K113" s="86"/>
      <c r="L113" s="86"/>
      <c r="M113" s="86"/>
      <c r="N113" s="85"/>
      <c r="O113" s="85"/>
      <c r="P113" s="85"/>
      <c r="Q113" s="88"/>
      <c r="R113" s="86"/>
      <c r="S113" s="86"/>
      <c r="T113" s="86"/>
      <c r="U113" s="86"/>
    </row>
    <row r="114" spans="1:21" s="49" customFormat="1">
      <c r="A114" s="85"/>
      <c r="B114" s="86"/>
      <c r="C114" s="87"/>
      <c r="D114" s="88"/>
      <c r="E114" s="89"/>
      <c r="F114" s="86"/>
      <c r="G114" s="90"/>
      <c r="H114" s="86"/>
      <c r="I114" s="90"/>
      <c r="J114" s="86"/>
      <c r="K114" s="86"/>
      <c r="L114" s="86"/>
      <c r="M114" s="86"/>
      <c r="N114" s="85"/>
      <c r="O114" s="85"/>
      <c r="P114" s="85"/>
      <c r="Q114" s="88"/>
      <c r="R114" s="86"/>
      <c r="S114" s="86"/>
      <c r="T114" s="86"/>
      <c r="U114" s="86"/>
    </row>
    <row r="115" spans="1:21" s="49" customFormat="1">
      <c r="A115" s="85"/>
      <c r="B115" s="86"/>
      <c r="C115" s="87"/>
      <c r="D115" s="88"/>
      <c r="E115" s="89"/>
      <c r="F115" s="86"/>
      <c r="G115" s="90"/>
      <c r="H115" s="86"/>
      <c r="I115" s="90"/>
      <c r="J115" s="86"/>
      <c r="K115" s="86"/>
      <c r="L115" s="86"/>
      <c r="M115" s="86"/>
      <c r="N115" s="85"/>
      <c r="O115" s="85"/>
      <c r="P115" s="85"/>
      <c r="Q115" s="88"/>
      <c r="R115" s="86"/>
      <c r="S115" s="86"/>
      <c r="T115" s="86"/>
      <c r="U115" s="86"/>
    </row>
    <row r="116" spans="1:21" s="49" customFormat="1">
      <c r="A116" s="85"/>
      <c r="B116" s="86"/>
      <c r="C116" s="87"/>
      <c r="D116" s="88"/>
      <c r="E116" s="89"/>
      <c r="F116" s="86"/>
      <c r="G116" s="90"/>
      <c r="H116" s="86"/>
      <c r="I116" s="90"/>
      <c r="J116" s="86"/>
      <c r="K116" s="86"/>
      <c r="L116" s="86"/>
      <c r="M116" s="86"/>
      <c r="N116" s="85"/>
      <c r="O116" s="85"/>
      <c r="P116" s="85"/>
      <c r="Q116" s="88"/>
      <c r="R116" s="86"/>
      <c r="S116" s="86"/>
      <c r="T116" s="86"/>
      <c r="U116" s="86"/>
    </row>
    <row r="117" spans="1:21" s="49" customFormat="1">
      <c r="A117" s="85"/>
      <c r="B117" s="86"/>
      <c r="C117" s="87"/>
      <c r="D117" s="88"/>
      <c r="E117" s="89"/>
      <c r="F117" s="86"/>
      <c r="G117" s="90"/>
      <c r="H117" s="86"/>
      <c r="I117" s="90"/>
      <c r="J117" s="86"/>
      <c r="K117" s="86"/>
      <c r="L117" s="86"/>
      <c r="M117" s="86"/>
      <c r="N117" s="85"/>
      <c r="O117" s="85"/>
      <c r="P117" s="85"/>
      <c r="Q117" s="88"/>
      <c r="R117" s="86"/>
      <c r="S117" s="86"/>
      <c r="T117" s="86"/>
      <c r="U117" s="86"/>
    </row>
    <row r="118" spans="1:21" s="49" customFormat="1">
      <c r="A118" s="61"/>
      <c r="C118" s="51"/>
      <c r="D118" s="52"/>
      <c r="E118" s="66"/>
      <c r="G118" s="50"/>
      <c r="I118" s="50"/>
      <c r="N118" s="61"/>
      <c r="O118" s="61"/>
      <c r="P118" s="61"/>
      <c r="Q118" s="52"/>
    </row>
    <row r="119" spans="1:21" s="49" customFormat="1">
      <c r="A119" s="61"/>
      <c r="C119" s="51"/>
      <c r="D119" s="52"/>
      <c r="E119" s="66"/>
      <c r="G119" s="50"/>
      <c r="I119" s="50"/>
      <c r="N119" s="61"/>
      <c r="O119" s="61"/>
      <c r="P119" s="61"/>
      <c r="Q119" s="52"/>
    </row>
    <row r="120" spans="1:21" s="49" customFormat="1">
      <c r="A120" s="61"/>
      <c r="C120" s="51"/>
      <c r="D120" s="52"/>
      <c r="E120" s="66"/>
      <c r="G120" s="50"/>
      <c r="I120" s="50"/>
      <c r="N120" s="61"/>
      <c r="O120" s="61"/>
      <c r="P120" s="61"/>
      <c r="Q120" s="52"/>
    </row>
    <row r="121" spans="1:21" s="49" customFormat="1">
      <c r="A121" s="61"/>
      <c r="C121" s="51"/>
      <c r="D121" s="52"/>
      <c r="E121" s="66"/>
      <c r="G121" s="50"/>
      <c r="I121" s="50"/>
      <c r="N121" s="61"/>
      <c r="O121" s="61"/>
      <c r="P121" s="61"/>
      <c r="Q121" s="52"/>
    </row>
    <row r="122" spans="1:21" s="49" customFormat="1">
      <c r="A122" s="61"/>
      <c r="C122" s="51"/>
      <c r="D122" s="52"/>
      <c r="E122" s="66"/>
      <c r="G122" s="50"/>
      <c r="N122" s="61"/>
      <c r="O122" s="61"/>
      <c r="P122" s="61"/>
      <c r="Q122" s="52"/>
    </row>
    <row r="123" spans="1:21" s="49" customFormat="1">
      <c r="A123" s="61"/>
      <c r="C123" s="51"/>
      <c r="D123" s="52"/>
      <c r="E123" s="66"/>
      <c r="G123" s="50"/>
      <c r="N123" s="61"/>
      <c r="O123" s="61"/>
      <c r="P123" s="61"/>
      <c r="Q123" s="52"/>
    </row>
    <row r="124" spans="1:21" s="49" customFormat="1">
      <c r="A124" s="61"/>
      <c r="C124" s="51"/>
      <c r="D124" s="52"/>
      <c r="E124" s="66"/>
      <c r="G124" s="50"/>
      <c r="N124" s="61"/>
      <c r="O124" s="61"/>
      <c r="P124" s="61"/>
      <c r="Q124" s="52"/>
    </row>
    <row r="125" spans="1:21" s="49" customFormat="1">
      <c r="A125" s="61"/>
      <c r="C125" s="51"/>
      <c r="D125" s="52"/>
      <c r="E125" s="66"/>
      <c r="G125" s="50"/>
      <c r="N125" s="61"/>
      <c r="O125" s="61"/>
      <c r="P125" s="61"/>
      <c r="Q125" s="52"/>
    </row>
    <row r="126" spans="1:21" s="49" customFormat="1">
      <c r="A126" s="61"/>
      <c r="C126" s="51"/>
      <c r="D126" s="52"/>
      <c r="E126" s="66"/>
      <c r="G126" s="50"/>
      <c r="N126" s="61"/>
      <c r="O126" s="61"/>
      <c r="P126" s="61"/>
      <c r="Q126" s="52"/>
    </row>
    <row r="127" spans="1:21" s="49" customFormat="1">
      <c r="A127" s="61"/>
      <c r="C127" s="51"/>
      <c r="D127" s="52"/>
      <c r="E127" s="66"/>
      <c r="G127" s="50"/>
      <c r="I127" s="50"/>
      <c r="N127" s="61"/>
      <c r="O127" s="61"/>
      <c r="P127" s="61"/>
      <c r="Q127" s="52"/>
    </row>
    <row r="128" spans="1:21" s="49" customFormat="1">
      <c r="A128" s="61"/>
      <c r="C128" s="51"/>
      <c r="D128" s="52"/>
      <c r="E128" s="66"/>
      <c r="G128" s="50"/>
      <c r="I128" s="50"/>
      <c r="N128" s="61"/>
      <c r="O128" s="61"/>
      <c r="P128" s="61"/>
      <c r="Q128" s="52"/>
    </row>
    <row r="129" spans="1:17" s="49" customFormat="1">
      <c r="A129" s="61"/>
      <c r="C129" s="51"/>
      <c r="D129" s="52"/>
      <c r="E129" s="66"/>
      <c r="G129" s="50"/>
      <c r="I129" s="50"/>
      <c r="N129" s="61"/>
      <c r="O129" s="61"/>
      <c r="P129" s="61"/>
      <c r="Q129" s="52"/>
    </row>
    <row r="130" spans="1:17" s="49" customFormat="1">
      <c r="A130" s="61"/>
      <c r="C130" s="51"/>
      <c r="D130" s="52"/>
      <c r="E130" s="66"/>
      <c r="G130" s="50"/>
      <c r="I130" s="50"/>
      <c r="N130" s="61"/>
      <c r="O130" s="61"/>
      <c r="P130" s="61"/>
      <c r="Q130" s="52"/>
    </row>
    <row r="131" spans="1:17" s="49" customFormat="1">
      <c r="A131" s="61"/>
      <c r="C131" s="51"/>
      <c r="D131" s="52"/>
      <c r="E131" s="66"/>
      <c r="G131" s="50"/>
      <c r="I131" s="50"/>
      <c r="N131" s="61"/>
      <c r="O131" s="61"/>
      <c r="P131" s="61"/>
      <c r="Q131" s="52"/>
    </row>
    <row r="132" spans="1:17" s="49" customFormat="1">
      <c r="A132" s="61"/>
      <c r="C132" s="51"/>
      <c r="D132" s="52"/>
      <c r="E132" s="66"/>
      <c r="G132" s="50"/>
      <c r="I132" s="50"/>
      <c r="N132" s="61"/>
      <c r="O132" s="61"/>
      <c r="P132" s="61"/>
      <c r="Q132" s="52"/>
    </row>
    <row r="133" spans="1:17" s="49" customFormat="1">
      <c r="A133" s="61"/>
      <c r="C133" s="51"/>
      <c r="D133" s="52"/>
      <c r="E133" s="66"/>
      <c r="I133" s="50"/>
      <c r="N133" s="61"/>
      <c r="O133" s="61"/>
      <c r="P133" s="61"/>
      <c r="Q133" s="52"/>
    </row>
    <row r="134" spans="1:17" s="49" customFormat="1">
      <c r="A134" s="61"/>
      <c r="C134" s="51"/>
      <c r="D134" s="52"/>
      <c r="E134" s="66"/>
      <c r="I134" s="50"/>
      <c r="N134" s="61"/>
      <c r="O134" s="61"/>
      <c r="P134" s="61"/>
      <c r="Q134" s="52"/>
    </row>
    <row r="135" spans="1:17" s="49" customFormat="1">
      <c r="A135" s="61"/>
      <c r="C135" s="51"/>
      <c r="D135" s="52"/>
      <c r="E135" s="66"/>
      <c r="N135" s="61"/>
      <c r="O135" s="61"/>
      <c r="P135" s="61"/>
      <c r="Q135" s="52"/>
    </row>
    <row r="136" spans="1:17" s="49" customFormat="1">
      <c r="A136" s="61"/>
      <c r="C136" s="51"/>
      <c r="D136" s="52"/>
      <c r="E136" s="66"/>
      <c r="N136" s="61"/>
      <c r="O136" s="61"/>
      <c r="P136" s="61"/>
      <c r="Q136" s="52"/>
    </row>
    <row r="137" spans="1:17" s="49" customFormat="1">
      <c r="A137" s="61"/>
      <c r="C137" s="51"/>
      <c r="D137" s="52"/>
      <c r="E137" s="66"/>
      <c r="N137" s="61"/>
      <c r="O137" s="61"/>
      <c r="P137" s="61"/>
      <c r="Q137" s="52"/>
    </row>
    <row r="138" spans="1:17" s="49" customFormat="1">
      <c r="A138" s="61"/>
      <c r="C138" s="51"/>
      <c r="D138" s="52"/>
      <c r="E138" s="66"/>
      <c r="N138" s="61"/>
      <c r="O138" s="61"/>
      <c r="P138" s="61"/>
      <c r="Q138" s="52"/>
    </row>
    <row r="139" spans="1:17" s="49" customFormat="1">
      <c r="A139" s="61"/>
      <c r="C139" s="51"/>
      <c r="D139" s="52"/>
      <c r="E139" s="66"/>
      <c r="N139" s="61"/>
      <c r="O139" s="61"/>
      <c r="P139" s="61"/>
      <c r="Q139" s="52"/>
    </row>
    <row r="140" spans="1:17" s="49" customFormat="1">
      <c r="A140" s="61"/>
      <c r="C140" s="51"/>
      <c r="D140" s="52"/>
      <c r="E140" s="66"/>
      <c r="N140" s="61"/>
      <c r="O140" s="61"/>
      <c r="P140" s="61"/>
      <c r="Q140" s="52"/>
    </row>
    <row r="141" spans="1:17" s="49" customFormat="1">
      <c r="A141" s="61"/>
      <c r="C141" s="51"/>
      <c r="D141" s="52"/>
      <c r="E141" s="66"/>
      <c r="N141" s="61"/>
      <c r="O141" s="61"/>
      <c r="P141" s="61"/>
      <c r="Q141" s="52"/>
    </row>
    <row r="142" spans="1:17" s="49" customFormat="1">
      <c r="A142" s="61"/>
      <c r="C142" s="51"/>
      <c r="D142" s="52"/>
      <c r="E142" s="56"/>
      <c r="N142" s="61"/>
      <c r="O142" s="61"/>
      <c r="P142" s="61"/>
      <c r="Q142" s="52"/>
    </row>
    <row r="143" spans="1:17" s="49" customFormat="1">
      <c r="A143" s="61"/>
      <c r="C143" s="51"/>
      <c r="D143" s="52"/>
      <c r="E143" s="56"/>
      <c r="N143" s="61"/>
      <c r="O143" s="61"/>
      <c r="P143" s="61"/>
      <c r="Q143" s="52"/>
    </row>
    <row r="144" spans="1:17" s="49" customFormat="1">
      <c r="A144" s="61"/>
      <c r="C144" s="51"/>
      <c r="D144" s="52"/>
      <c r="E144" s="56"/>
      <c r="N144" s="61"/>
      <c r="O144" s="61"/>
      <c r="P144" s="61"/>
      <c r="Q144" s="52"/>
    </row>
    <row r="145" spans="1:17" s="49" customFormat="1">
      <c r="A145" s="61"/>
      <c r="C145" s="51"/>
      <c r="D145" s="52"/>
      <c r="E145" s="56"/>
      <c r="N145" s="61"/>
      <c r="O145" s="61"/>
      <c r="P145" s="61"/>
      <c r="Q145" s="52"/>
    </row>
    <row r="146" spans="1:17" s="49" customFormat="1">
      <c r="A146" s="61"/>
      <c r="C146" s="51"/>
      <c r="D146" s="52"/>
      <c r="E146" s="56"/>
      <c r="N146" s="61"/>
      <c r="O146" s="61"/>
      <c r="P146" s="61"/>
      <c r="Q146" s="52"/>
    </row>
    <row r="147" spans="1:17" s="49" customFormat="1">
      <c r="A147" s="61"/>
      <c r="C147" s="51"/>
      <c r="D147" s="52"/>
      <c r="E147" s="56"/>
      <c r="N147" s="61"/>
      <c r="O147" s="61"/>
      <c r="P147" s="61"/>
      <c r="Q147" s="52"/>
    </row>
    <row r="148" spans="1:17" s="49" customFormat="1">
      <c r="A148" s="61"/>
      <c r="C148" s="51"/>
      <c r="D148" s="52"/>
      <c r="E148" s="56"/>
      <c r="N148" s="61"/>
      <c r="O148" s="61"/>
      <c r="P148" s="61"/>
      <c r="Q148" s="52"/>
    </row>
    <row r="149" spans="1:17" s="49" customFormat="1">
      <c r="A149" s="61"/>
      <c r="C149" s="51"/>
      <c r="D149" s="52"/>
      <c r="E149" s="56"/>
      <c r="N149" s="61"/>
      <c r="O149" s="61"/>
      <c r="P149" s="61"/>
      <c r="Q149" s="52"/>
    </row>
    <row r="150" spans="1:17" s="49" customFormat="1">
      <c r="A150" s="61"/>
      <c r="C150" s="51"/>
      <c r="D150" s="52"/>
      <c r="E150" s="56"/>
      <c r="N150" s="61"/>
      <c r="O150" s="61"/>
      <c r="P150" s="61"/>
      <c r="Q150" s="52"/>
    </row>
    <row r="151" spans="1:17" s="49" customFormat="1">
      <c r="A151" s="61"/>
      <c r="C151" s="51"/>
      <c r="D151" s="52"/>
      <c r="E151" s="56"/>
      <c r="N151" s="61"/>
      <c r="O151" s="61"/>
      <c r="P151" s="61"/>
      <c r="Q151" s="52"/>
    </row>
    <row r="152" spans="1:17" s="49" customFormat="1">
      <c r="A152" s="61"/>
      <c r="C152" s="51"/>
      <c r="D152" s="52"/>
      <c r="E152" s="56"/>
      <c r="N152" s="61"/>
      <c r="O152" s="61"/>
      <c r="P152" s="61"/>
      <c r="Q152" s="52"/>
    </row>
    <row r="153" spans="1:17" s="49" customFormat="1">
      <c r="A153" s="61"/>
      <c r="C153" s="51"/>
      <c r="D153" s="52"/>
      <c r="E153" s="56"/>
      <c r="N153" s="61"/>
      <c r="O153" s="61"/>
      <c r="P153" s="61"/>
      <c r="Q153" s="52"/>
    </row>
    <row r="154" spans="1:17" s="49" customFormat="1">
      <c r="A154" s="61"/>
      <c r="C154" s="51"/>
      <c r="D154" s="52"/>
      <c r="E154" s="56"/>
      <c r="N154" s="61"/>
      <c r="O154" s="61"/>
      <c r="P154" s="61"/>
      <c r="Q154" s="52"/>
    </row>
    <row r="155" spans="1:17" s="49" customFormat="1">
      <c r="A155" s="61"/>
      <c r="C155" s="51"/>
      <c r="D155" s="52"/>
      <c r="E155" s="56"/>
      <c r="N155" s="61"/>
      <c r="O155" s="61"/>
      <c r="P155" s="61"/>
      <c r="Q155" s="52"/>
    </row>
    <row r="156" spans="1:17" s="49" customFormat="1">
      <c r="A156" s="61"/>
      <c r="C156" s="51"/>
      <c r="D156" s="52"/>
      <c r="E156" s="56"/>
      <c r="N156" s="61"/>
      <c r="O156" s="61"/>
      <c r="P156" s="61"/>
      <c r="Q156" s="52"/>
    </row>
    <row r="157" spans="1:17" s="49" customFormat="1">
      <c r="A157" s="61"/>
      <c r="C157" s="51"/>
      <c r="D157" s="52"/>
      <c r="E157" s="56"/>
      <c r="N157" s="61"/>
      <c r="O157" s="61"/>
      <c r="P157" s="61"/>
      <c r="Q157" s="52"/>
    </row>
    <row r="158" spans="1:17" s="49" customFormat="1">
      <c r="A158" s="61"/>
      <c r="C158" s="51"/>
      <c r="D158" s="52"/>
      <c r="E158" s="56"/>
      <c r="N158" s="61"/>
      <c r="O158" s="61"/>
      <c r="P158" s="61"/>
      <c r="Q158" s="52"/>
    </row>
    <row r="159" spans="1:17" s="49" customFormat="1">
      <c r="A159" s="61"/>
      <c r="C159" s="51"/>
      <c r="D159" s="52"/>
      <c r="E159" s="56"/>
      <c r="N159" s="61"/>
      <c r="O159" s="61"/>
      <c r="P159" s="61"/>
      <c r="Q159" s="52"/>
    </row>
    <row r="160" spans="1:17" s="49" customFormat="1">
      <c r="A160" s="61"/>
      <c r="C160" s="51"/>
      <c r="D160" s="52"/>
      <c r="E160" s="56"/>
      <c r="N160" s="61"/>
      <c r="O160" s="61"/>
      <c r="P160" s="61"/>
      <c r="Q160" s="52"/>
    </row>
    <row r="161" spans="1:23" s="49" customFormat="1">
      <c r="A161" s="61"/>
      <c r="C161" s="50"/>
      <c r="D161" s="52"/>
      <c r="E161" s="56"/>
      <c r="N161" s="61"/>
      <c r="O161" s="61"/>
      <c r="P161" s="61"/>
      <c r="Q161" s="52"/>
    </row>
    <row r="162" spans="1:23" s="49" customFormat="1">
      <c r="A162" s="61"/>
      <c r="C162" s="50"/>
      <c r="D162" s="52"/>
      <c r="E162" s="56"/>
      <c r="N162" s="61"/>
      <c r="O162" s="61"/>
      <c r="P162" s="61"/>
      <c r="Q162" s="52"/>
    </row>
    <row r="163" spans="1:23" s="49" customFormat="1">
      <c r="A163" s="61"/>
      <c r="C163" s="50"/>
      <c r="D163" s="52"/>
      <c r="E163" s="56"/>
      <c r="I163" s="50"/>
      <c r="N163" s="61"/>
      <c r="O163" s="61"/>
      <c r="P163" s="61"/>
      <c r="Q163" s="52"/>
    </row>
    <row r="164" spans="1:23" s="49" customFormat="1">
      <c r="A164" s="61"/>
      <c r="C164" s="50"/>
      <c r="D164" s="52"/>
      <c r="E164" s="56"/>
      <c r="I164" s="50"/>
      <c r="N164" s="61"/>
      <c r="O164" s="61"/>
      <c r="P164" s="61"/>
      <c r="Q164" s="52"/>
    </row>
    <row r="165" spans="1:23" s="49" customFormat="1">
      <c r="A165" s="61"/>
      <c r="C165" s="50"/>
      <c r="D165" s="52"/>
      <c r="E165" s="56"/>
      <c r="I165" s="50"/>
      <c r="N165" s="61"/>
      <c r="O165" s="61"/>
      <c r="P165" s="61"/>
      <c r="Q165" s="52"/>
    </row>
    <row r="166" spans="1:23" s="49" customFormat="1">
      <c r="A166" s="61"/>
      <c r="C166" s="50"/>
      <c r="D166" s="52"/>
      <c r="E166" s="56"/>
      <c r="I166" s="50"/>
      <c r="N166" s="61"/>
      <c r="O166" s="61"/>
      <c r="P166" s="61"/>
      <c r="Q166" s="52"/>
    </row>
    <row r="167" spans="1:23" s="49" customFormat="1">
      <c r="A167" s="61"/>
      <c r="C167" s="50"/>
      <c r="D167" s="52"/>
      <c r="E167" s="56"/>
      <c r="N167" s="61"/>
      <c r="O167" s="61"/>
      <c r="P167" s="61"/>
      <c r="Q167" s="52"/>
    </row>
    <row r="168" spans="1:23" s="49" customFormat="1">
      <c r="A168" s="61"/>
      <c r="C168" s="50"/>
      <c r="D168" s="52"/>
      <c r="E168" s="56"/>
      <c r="N168" s="61"/>
      <c r="O168" s="61"/>
      <c r="P168" s="61"/>
      <c r="Q168" s="52"/>
    </row>
    <row r="169" spans="1:23" s="49" customFormat="1">
      <c r="A169" s="61"/>
      <c r="C169" s="50"/>
      <c r="D169" s="52"/>
      <c r="E169" s="56"/>
      <c r="N169" s="61"/>
      <c r="O169" s="61"/>
      <c r="P169" s="61"/>
      <c r="Q169" s="52"/>
    </row>
    <row r="170" spans="1:23" s="49" customFormat="1">
      <c r="A170" s="61"/>
      <c r="C170" s="50"/>
      <c r="D170" s="52"/>
      <c r="E170" s="56"/>
      <c r="N170" s="61"/>
      <c r="O170" s="61"/>
      <c r="P170" s="61"/>
      <c r="Q170" s="52"/>
    </row>
    <row r="171" spans="1:23" s="49" customFormat="1">
      <c r="A171" s="61"/>
      <c r="C171" s="50"/>
      <c r="D171" s="52"/>
      <c r="E171" s="56"/>
      <c r="N171" s="61"/>
      <c r="O171" s="61"/>
      <c r="P171" s="61"/>
      <c r="Q171" s="52"/>
    </row>
    <row r="172" spans="1:23" s="49" customFormat="1">
      <c r="A172" s="61"/>
      <c r="C172" s="50"/>
      <c r="D172" s="52"/>
      <c r="E172" s="56"/>
      <c r="N172" s="61"/>
      <c r="O172" s="61"/>
      <c r="P172" s="61"/>
      <c r="Q172" s="52"/>
    </row>
    <row r="173" spans="1:23">
      <c r="A173" s="61"/>
      <c r="B173" s="49"/>
      <c r="C173" s="50"/>
      <c r="D173" s="52"/>
      <c r="E173" s="56"/>
      <c r="F173" s="49"/>
      <c r="G173" s="49"/>
      <c r="H173" s="49"/>
      <c r="I173" s="49"/>
      <c r="J173" s="49"/>
      <c r="K173" s="49"/>
      <c r="L173" s="49"/>
      <c r="M173" s="49"/>
      <c r="N173" s="61"/>
      <c r="O173" s="61"/>
      <c r="P173" s="61"/>
      <c r="Q173" s="52"/>
      <c r="R173" s="49"/>
      <c r="S173" s="49"/>
      <c r="T173" s="49"/>
      <c r="U173" s="49"/>
      <c r="W173" s="49"/>
    </row>
    <row r="174" spans="1:23">
      <c r="A174" s="61"/>
      <c r="B174" s="49"/>
      <c r="C174" s="50"/>
      <c r="D174" s="52"/>
      <c r="E174" s="56"/>
      <c r="F174" s="49"/>
      <c r="G174" s="49"/>
      <c r="H174" s="49"/>
      <c r="I174" s="49"/>
      <c r="J174" s="49"/>
      <c r="K174" s="49"/>
      <c r="L174" s="49"/>
      <c r="M174" s="49"/>
      <c r="N174" s="61"/>
      <c r="O174" s="61"/>
      <c r="P174" s="61"/>
      <c r="Q174" s="52"/>
      <c r="R174" s="49"/>
      <c r="S174" s="49"/>
      <c r="T174" s="49"/>
      <c r="U174" s="49"/>
      <c r="W174" s="49"/>
    </row>
    <row r="175" spans="1:23">
      <c r="A175" s="61"/>
      <c r="B175" s="49"/>
      <c r="C175" s="50"/>
      <c r="D175" s="52"/>
      <c r="E175" s="56"/>
      <c r="F175" s="49"/>
      <c r="G175" s="49"/>
      <c r="H175" s="49"/>
      <c r="I175" s="49"/>
      <c r="J175" s="49"/>
      <c r="K175" s="49"/>
      <c r="L175" s="49"/>
      <c r="M175" s="49"/>
      <c r="N175" s="61"/>
      <c r="O175" s="61"/>
      <c r="P175" s="61"/>
      <c r="Q175" s="52"/>
      <c r="R175" s="49"/>
      <c r="S175" s="49"/>
      <c r="T175" s="49"/>
      <c r="U175" s="49"/>
      <c r="W175" s="49"/>
    </row>
    <row r="176" spans="1:23">
      <c r="A176" s="61"/>
      <c r="B176" s="49"/>
      <c r="C176" s="50"/>
      <c r="D176" s="52"/>
      <c r="E176" s="56"/>
      <c r="F176" s="49"/>
      <c r="G176" s="49"/>
      <c r="H176" s="49"/>
      <c r="I176" s="49"/>
      <c r="J176" s="49"/>
      <c r="K176" s="49"/>
      <c r="L176" s="49"/>
      <c r="M176" s="49"/>
      <c r="N176" s="61"/>
      <c r="O176" s="61"/>
      <c r="P176" s="61"/>
      <c r="Q176" s="52"/>
      <c r="R176" s="49"/>
      <c r="S176" s="49"/>
      <c r="T176" s="49"/>
      <c r="U176" s="49"/>
      <c r="W176" s="49"/>
    </row>
    <row r="177" spans="1:23">
      <c r="A177" s="61"/>
      <c r="B177" s="49"/>
      <c r="C177" s="50"/>
      <c r="D177" s="52"/>
      <c r="E177" s="56"/>
      <c r="F177" s="49"/>
      <c r="G177" s="49"/>
      <c r="H177" s="49"/>
      <c r="I177" s="49"/>
      <c r="J177" s="49"/>
      <c r="K177" s="49"/>
      <c r="L177" s="49"/>
      <c r="M177" s="49"/>
      <c r="N177" s="61"/>
      <c r="O177" s="61"/>
      <c r="P177" s="61"/>
      <c r="Q177" s="52"/>
      <c r="R177" s="49"/>
      <c r="S177" s="49"/>
      <c r="T177" s="49"/>
      <c r="U177" s="49"/>
      <c r="W177" s="49"/>
    </row>
    <row r="178" spans="1:23">
      <c r="A178" s="61"/>
      <c r="B178" s="49"/>
      <c r="C178" s="50"/>
      <c r="D178" s="52"/>
      <c r="E178" s="56"/>
      <c r="F178" s="49"/>
      <c r="G178" s="49"/>
      <c r="H178" s="49"/>
      <c r="I178" s="49"/>
      <c r="J178" s="49"/>
      <c r="K178" s="49"/>
      <c r="L178" s="49"/>
      <c r="M178" s="49"/>
      <c r="N178" s="61"/>
      <c r="O178" s="61"/>
      <c r="P178" s="61"/>
      <c r="Q178" s="52"/>
      <c r="R178" s="49"/>
      <c r="S178" s="49"/>
      <c r="T178" s="49"/>
      <c r="U178" s="49"/>
      <c r="W178" s="49"/>
    </row>
    <row r="179" spans="1:23">
      <c r="A179" s="61"/>
      <c r="B179" s="49"/>
      <c r="C179" s="50"/>
      <c r="D179" s="52"/>
      <c r="E179" s="56"/>
      <c r="F179" s="49"/>
      <c r="G179" s="49"/>
      <c r="H179" s="49"/>
      <c r="I179" s="49"/>
      <c r="J179" s="49"/>
      <c r="K179" s="49"/>
      <c r="L179" s="49"/>
      <c r="M179" s="49"/>
      <c r="N179" s="61"/>
      <c r="O179" s="61"/>
      <c r="P179" s="61"/>
      <c r="Q179" s="52"/>
      <c r="R179" s="49"/>
      <c r="S179" s="49"/>
      <c r="T179" s="49"/>
      <c r="U179" s="49"/>
      <c r="W179" s="49"/>
    </row>
    <row r="180" spans="1:23">
      <c r="A180" s="61"/>
      <c r="B180" s="49"/>
      <c r="C180" s="50"/>
      <c r="D180" s="52"/>
      <c r="E180" s="56"/>
      <c r="F180" s="49"/>
      <c r="G180" s="49"/>
      <c r="H180" s="49"/>
      <c r="I180" s="49"/>
      <c r="J180" s="49"/>
      <c r="K180" s="49"/>
      <c r="L180" s="49"/>
      <c r="M180" s="49"/>
      <c r="N180" s="61"/>
      <c r="O180" s="61"/>
      <c r="P180" s="61"/>
      <c r="Q180" s="52"/>
      <c r="R180" s="49"/>
      <c r="S180" s="49"/>
      <c r="T180" s="49"/>
      <c r="U180" s="49"/>
      <c r="W180" s="49"/>
    </row>
    <row r="181" spans="1:23">
      <c r="A181" s="61"/>
      <c r="B181" s="49"/>
      <c r="C181" s="50"/>
      <c r="D181" s="52"/>
      <c r="E181" s="56"/>
      <c r="F181" s="49"/>
      <c r="G181" s="49"/>
      <c r="H181" s="49"/>
      <c r="I181" s="49"/>
      <c r="J181" s="49"/>
      <c r="K181" s="49"/>
      <c r="L181" s="49"/>
      <c r="M181" s="49"/>
      <c r="N181" s="61"/>
      <c r="O181" s="61"/>
      <c r="P181" s="61"/>
      <c r="Q181" s="52"/>
      <c r="R181" s="49"/>
      <c r="S181" s="49"/>
      <c r="T181" s="49"/>
      <c r="U181" s="49"/>
      <c r="W181" s="49"/>
    </row>
    <row r="182" spans="1:23">
      <c r="A182" s="61"/>
      <c r="B182" s="49"/>
      <c r="C182" s="50"/>
      <c r="D182" s="52"/>
      <c r="E182" s="56"/>
      <c r="F182" s="49"/>
      <c r="G182" s="49"/>
      <c r="H182" s="49"/>
      <c r="I182" s="49"/>
      <c r="J182" s="49"/>
      <c r="K182" s="49"/>
      <c r="L182" s="49"/>
      <c r="M182" s="49"/>
      <c r="N182" s="61"/>
      <c r="O182" s="61"/>
      <c r="P182" s="61"/>
      <c r="Q182" s="52"/>
      <c r="R182" s="49"/>
      <c r="S182" s="49"/>
      <c r="T182" s="49"/>
      <c r="U182" s="49"/>
      <c r="W182" s="49"/>
    </row>
    <row r="183" spans="1:23">
      <c r="A183" s="61"/>
      <c r="B183" s="49"/>
      <c r="C183" s="50"/>
      <c r="D183" s="52"/>
      <c r="E183" s="56"/>
      <c r="F183" s="49"/>
      <c r="G183" s="49"/>
      <c r="H183" s="49"/>
      <c r="I183" s="49"/>
      <c r="J183" s="49"/>
      <c r="K183" s="49"/>
      <c r="L183" s="49"/>
      <c r="M183" s="49"/>
      <c r="N183" s="61"/>
      <c r="O183" s="61"/>
      <c r="P183" s="61"/>
      <c r="Q183" s="52"/>
      <c r="R183" s="49"/>
      <c r="S183" s="49"/>
      <c r="T183" s="49"/>
      <c r="U183" s="49"/>
      <c r="W183" s="49"/>
    </row>
    <row r="184" spans="1:23">
      <c r="A184" s="61"/>
      <c r="B184" s="49"/>
      <c r="C184" s="50"/>
      <c r="D184" s="52"/>
      <c r="E184" s="56"/>
      <c r="F184" s="49"/>
      <c r="G184" s="49"/>
      <c r="H184" s="49"/>
      <c r="I184" s="49"/>
      <c r="J184" s="49"/>
      <c r="K184" s="49"/>
      <c r="L184" s="49"/>
      <c r="M184" s="49"/>
      <c r="N184" s="61"/>
      <c r="O184" s="61"/>
      <c r="P184" s="61"/>
      <c r="Q184" s="52"/>
      <c r="R184" s="49"/>
      <c r="S184" s="49"/>
      <c r="T184" s="49"/>
      <c r="U184" s="49"/>
      <c r="W184" s="49"/>
    </row>
    <row r="185" spans="1:23">
      <c r="A185" s="61"/>
      <c r="B185" s="49"/>
      <c r="C185" s="50"/>
      <c r="D185" s="52"/>
      <c r="E185" s="56"/>
      <c r="F185" s="49"/>
      <c r="G185" s="49"/>
      <c r="H185" s="49"/>
      <c r="I185" s="49"/>
      <c r="J185" s="49"/>
      <c r="K185" s="49"/>
      <c r="L185" s="49"/>
      <c r="M185" s="49"/>
      <c r="N185" s="61"/>
      <c r="O185" s="61"/>
      <c r="P185" s="61"/>
      <c r="Q185" s="52"/>
      <c r="R185" s="49"/>
      <c r="S185" s="49"/>
      <c r="T185" s="49"/>
      <c r="U185" s="49"/>
      <c r="W185" s="49"/>
    </row>
    <row r="186" spans="1:23">
      <c r="A186" s="61"/>
      <c r="B186" s="49"/>
      <c r="C186" s="50"/>
      <c r="D186" s="52"/>
      <c r="E186" s="56"/>
      <c r="F186" s="49"/>
      <c r="G186" s="49"/>
      <c r="H186" s="49"/>
      <c r="I186" s="49"/>
      <c r="J186" s="49"/>
      <c r="K186" s="49"/>
      <c r="L186" s="49"/>
      <c r="M186" s="49"/>
      <c r="N186" s="61"/>
      <c r="O186" s="61"/>
      <c r="P186" s="61"/>
      <c r="Q186" s="52"/>
      <c r="R186" s="49"/>
      <c r="S186" s="49"/>
      <c r="T186" s="49"/>
      <c r="U186" s="49"/>
      <c r="W186" s="49"/>
    </row>
    <row r="187" spans="1:23">
      <c r="A187" s="61"/>
      <c r="B187" s="49"/>
      <c r="C187" s="50"/>
      <c r="D187" s="52"/>
      <c r="E187" s="56"/>
      <c r="F187" s="49"/>
      <c r="G187" s="49"/>
      <c r="H187" s="49"/>
      <c r="I187" s="49"/>
      <c r="J187" s="49"/>
      <c r="K187" s="49"/>
      <c r="L187" s="49"/>
      <c r="M187" s="49"/>
      <c r="N187" s="61"/>
      <c r="O187" s="61"/>
      <c r="P187" s="61"/>
      <c r="Q187" s="52"/>
      <c r="R187" s="49"/>
      <c r="S187" s="49"/>
      <c r="T187" s="49"/>
      <c r="U187" s="49"/>
      <c r="W187" s="49"/>
    </row>
    <row r="188" spans="1:23">
      <c r="A188" s="61"/>
      <c r="B188" s="49"/>
      <c r="C188" s="50"/>
      <c r="D188" s="52"/>
      <c r="E188" s="56"/>
      <c r="F188" s="49"/>
      <c r="G188" s="49"/>
      <c r="H188" s="49"/>
      <c r="I188" s="49"/>
      <c r="J188" s="49"/>
      <c r="K188" s="49"/>
      <c r="L188" s="49"/>
      <c r="M188" s="49"/>
      <c r="N188" s="61"/>
      <c r="O188" s="61"/>
      <c r="P188" s="61"/>
      <c r="Q188" s="52"/>
      <c r="R188" s="49"/>
      <c r="S188" s="49"/>
      <c r="T188" s="49"/>
      <c r="U188" s="49"/>
      <c r="W188" s="49"/>
    </row>
    <row r="189" spans="1:23">
      <c r="A189" s="61"/>
      <c r="B189" s="49"/>
      <c r="C189" s="50"/>
      <c r="D189" s="52"/>
      <c r="E189" s="56"/>
      <c r="F189" s="49"/>
      <c r="G189" s="49"/>
      <c r="H189" s="49"/>
      <c r="I189" s="49"/>
      <c r="J189" s="49"/>
      <c r="K189" s="49"/>
      <c r="L189" s="49"/>
      <c r="M189" s="49"/>
      <c r="N189" s="61"/>
      <c r="O189" s="61"/>
      <c r="P189" s="61"/>
      <c r="Q189" s="52"/>
      <c r="R189" s="49"/>
      <c r="S189" s="49"/>
      <c r="T189" s="49"/>
      <c r="U189" s="49"/>
      <c r="W189" s="49"/>
    </row>
    <row r="190" spans="1:23">
      <c r="A190" s="61"/>
      <c r="B190" s="49"/>
      <c r="C190" s="50"/>
      <c r="D190" s="52"/>
      <c r="E190" s="56"/>
      <c r="F190" s="49"/>
      <c r="G190" s="49"/>
      <c r="H190" s="49"/>
      <c r="I190" s="49"/>
      <c r="J190" s="49"/>
      <c r="K190" s="49"/>
      <c r="L190" s="49"/>
      <c r="M190" s="49"/>
      <c r="N190" s="61"/>
      <c r="O190" s="61"/>
      <c r="P190" s="61"/>
      <c r="Q190" s="52"/>
      <c r="R190" s="49"/>
      <c r="S190" s="49"/>
      <c r="T190" s="49"/>
      <c r="U190" s="49"/>
      <c r="W190" s="49"/>
    </row>
    <row r="191" spans="1:23">
      <c r="A191" s="61"/>
      <c r="B191" s="49"/>
      <c r="C191" s="50"/>
      <c r="D191" s="52"/>
      <c r="E191" s="56"/>
      <c r="F191" s="49"/>
      <c r="G191" s="49"/>
      <c r="H191" s="49"/>
      <c r="I191" s="49"/>
      <c r="J191" s="49"/>
      <c r="K191" s="49"/>
      <c r="L191" s="49"/>
      <c r="M191" s="49"/>
      <c r="N191" s="61"/>
      <c r="O191" s="61"/>
      <c r="P191" s="61"/>
      <c r="Q191" s="52"/>
      <c r="R191" s="49"/>
      <c r="S191" s="49"/>
      <c r="T191" s="49"/>
      <c r="U191" s="49"/>
      <c r="W191" s="49"/>
    </row>
    <row r="192" spans="1:23">
      <c r="A192" s="61"/>
      <c r="B192" s="49"/>
      <c r="C192" s="50"/>
      <c r="D192" s="52"/>
      <c r="E192" s="56"/>
      <c r="F192" s="49"/>
      <c r="G192" s="49"/>
      <c r="H192" s="49"/>
      <c r="I192" s="49"/>
      <c r="J192" s="49"/>
      <c r="K192" s="49"/>
      <c r="L192" s="49"/>
      <c r="M192" s="49"/>
      <c r="N192" s="61"/>
      <c r="O192" s="61"/>
      <c r="P192" s="61"/>
      <c r="Q192" s="52"/>
      <c r="R192" s="49"/>
      <c r="S192" s="49"/>
      <c r="T192" s="49"/>
      <c r="U192" s="49"/>
      <c r="W192" s="49"/>
    </row>
    <row r="193" spans="1:23">
      <c r="A193" s="61"/>
      <c r="B193" s="49"/>
      <c r="C193" s="50"/>
      <c r="D193" s="52"/>
      <c r="E193" s="56"/>
      <c r="F193" s="49"/>
      <c r="G193" s="49"/>
      <c r="H193" s="49"/>
      <c r="I193" s="49"/>
      <c r="J193" s="49"/>
      <c r="K193" s="49"/>
      <c r="L193" s="49"/>
      <c r="M193" s="49"/>
      <c r="N193" s="61"/>
      <c r="O193" s="61"/>
      <c r="P193" s="61"/>
      <c r="Q193" s="52"/>
      <c r="R193" s="49"/>
      <c r="S193" s="49"/>
      <c r="T193" s="49"/>
      <c r="U193" s="49"/>
      <c r="W193" s="49"/>
    </row>
    <row r="194" spans="1:23">
      <c r="A194" s="61"/>
      <c r="B194" s="49"/>
      <c r="C194" s="50"/>
      <c r="D194" s="52"/>
      <c r="E194" s="56"/>
      <c r="F194" s="49"/>
      <c r="G194" s="49"/>
      <c r="H194" s="49"/>
      <c r="I194" s="49"/>
      <c r="J194" s="49"/>
      <c r="K194" s="49"/>
      <c r="L194" s="49"/>
      <c r="M194" s="49"/>
      <c r="N194" s="61"/>
      <c r="O194" s="61"/>
      <c r="P194" s="61"/>
      <c r="Q194" s="52"/>
      <c r="R194" s="49"/>
      <c r="S194" s="49"/>
      <c r="T194" s="49"/>
      <c r="U194" s="49"/>
      <c r="W194" s="49"/>
    </row>
    <row r="195" spans="1:23">
      <c r="A195" s="61"/>
      <c r="B195" s="49"/>
      <c r="C195" s="50"/>
      <c r="D195" s="52"/>
      <c r="E195" s="56"/>
      <c r="F195" s="49"/>
      <c r="G195" s="49"/>
      <c r="H195" s="49"/>
      <c r="I195" s="49"/>
      <c r="J195" s="49"/>
      <c r="K195" s="49"/>
      <c r="L195" s="49"/>
      <c r="M195" s="49"/>
      <c r="N195" s="61"/>
      <c r="O195" s="61"/>
      <c r="P195" s="61"/>
      <c r="Q195" s="52"/>
      <c r="R195" s="49"/>
      <c r="S195" s="49"/>
      <c r="T195" s="49"/>
      <c r="U195" s="49"/>
      <c r="W195" s="49"/>
    </row>
    <row r="196" spans="1:23">
      <c r="A196" s="61"/>
      <c r="B196" s="49"/>
      <c r="C196" s="50"/>
      <c r="D196" s="52"/>
      <c r="E196" s="56"/>
      <c r="F196" s="49"/>
      <c r="G196" s="49"/>
      <c r="H196" s="49"/>
      <c r="I196" s="49"/>
      <c r="J196" s="49"/>
      <c r="K196" s="49"/>
      <c r="L196" s="49"/>
      <c r="M196" s="49"/>
      <c r="N196" s="61"/>
      <c r="O196" s="61"/>
      <c r="P196" s="61"/>
      <c r="Q196" s="52"/>
      <c r="R196" s="49"/>
      <c r="S196" s="49"/>
      <c r="T196" s="49"/>
      <c r="U196" s="49"/>
      <c r="W196" s="49"/>
    </row>
    <row r="197" spans="1:23">
      <c r="A197" s="61"/>
      <c r="B197" s="49"/>
      <c r="C197" s="50"/>
      <c r="D197" s="52"/>
      <c r="E197" s="56"/>
      <c r="F197" s="49"/>
      <c r="G197" s="49"/>
      <c r="H197" s="49"/>
      <c r="I197" s="49"/>
      <c r="J197" s="49"/>
      <c r="K197" s="49"/>
      <c r="L197" s="49"/>
      <c r="M197" s="49"/>
      <c r="N197" s="61"/>
      <c r="O197" s="61"/>
      <c r="P197" s="61"/>
      <c r="Q197" s="52"/>
      <c r="R197" s="49"/>
      <c r="S197" s="49"/>
      <c r="T197" s="49"/>
      <c r="U197" s="49"/>
      <c r="W197" s="49"/>
    </row>
    <row r="198" spans="1:23">
      <c r="A198" s="61"/>
      <c r="B198" s="49"/>
      <c r="C198" s="50"/>
      <c r="D198" s="52"/>
      <c r="E198" s="56"/>
      <c r="F198" s="49"/>
      <c r="G198" s="49"/>
      <c r="H198" s="49"/>
      <c r="I198" s="49"/>
      <c r="J198" s="49"/>
      <c r="K198" s="49"/>
      <c r="L198" s="49"/>
      <c r="M198" s="49"/>
      <c r="N198" s="61"/>
      <c r="O198" s="61"/>
      <c r="P198" s="61"/>
      <c r="Q198" s="52"/>
      <c r="R198" s="49"/>
      <c r="S198" s="49"/>
      <c r="T198" s="49"/>
      <c r="U198" s="49"/>
      <c r="W198" s="49"/>
    </row>
    <row r="199" spans="1:23">
      <c r="A199" s="61"/>
      <c r="B199" s="49"/>
      <c r="C199" s="50"/>
      <c r="D199" s="52"/>
      <c r="E199" s="56"/>
      <c r="F199" s="49"/>
      <c r="G199" s="49"/>
      <c r="H199" s="49"/>
      <c r="I199" s="49"/>
      <c r="J199" s="49"/>
      <c r="K199" s="49"/>
      <c r="L199" s="49"/>
      <c r="M199" s="49"/>
      <c r="N199" s="61"/>
      <c r="O199" s="61"/>
      <c r="P199" s="61"/>
      <c r="Q199" s="52"/>
      <c r="R199" s="49"/>
      <c r="S199" s="49"/>
      <c r="T199" s="49"/>
      <c r="U199" s="49"/>
      <c r="W199" s="49"/>
    </row>
    <row r="200" spans="1:23">
      <c r="A200" s="61"/>
      <c r="B200" s="49"/>
      <c r="C200" s="50"/>
      <c r="D200" s="52"/>
      <c r="E200" s="56"/>
      <c r="F200" s="49"/>
      <c r="G200" s="49"/>
      <c r="H200" s="49"/>
      <c r="I200" s="49"/>
      <c r="J200" s="49"/>
      <c r="K200" s="49"/>
      <c r="L200" s="49"/>
      <c r="M200" s="49"/>
      <c r="N200" s="61"/>
      <c r="O200" s="61"/>
      <c r="P200" s="61"/>
      <c r="Q200" s="52"/>
      <c r="R200" s="49"/>
      <c r="S200" s="49"/>
      <c r="T200" s="49"/>
      <c r="U200" s="49"/>
      <c r="W200" s="49"/>
    </row>
    <row r="201" spans="1:23">
      <c r="A201" s="61"/>
      <c r="B201" s="49"/>
      <c r="C201" s="50"/>
      <c r="D201" s="52"/>
      <c r="E201" s="56"/>
      <c r="F201" s="49"/>
      <c r="G201" s="49"/>
      <c r="H201" s="49"/>
      <c r="I201" s="49"/>
      <c r="J201" s="49"/>
      <c r="K201" s="49"/>
      <c r="L201" s="49"/>
      <c r="M201" s="49"/>
      <c r="N201" s="61"/>
      <c r="O201" s="61"/>
      <c r="P201" s="61"/>
      <c r="Q201" s="52"/>
      <c r="R201" s="49"/>
      <c r="S201" s="49"/>
      <c r="T201" s="49"/>
      <c r="U201" s="49"/>
      <c r="W201" s="49"/>
    </row>
    <row r="202" spans="1:23">
      <c r="A202" s="61"/>
      <c r="B202" s="49"/>
      <c r="C202" s="50"/>
      <c r="D202" s="52"/>
      <c r="E202" s="56"/>
      <c r="F202" s="49"/>
      <c r="G202" s="49"/>
      <c r="H202" s="49"/>
      <c r="I202" s="49"/>
      <c r="J202" s="49"/>
      <c r="K202" s="49"/>
      <c r="L202" s="49"/>
      <c r="M202" s="49"/>
      <c r="N202" s="61"/>
      <c r="O202" s="61"/>
      <c r="P202" s="61"/>
      <c r="Q202" s="52"/>
      <c r="R202" s="49"/>
      <c r="S202" s="49"/>
      <c r="T202" s="49"/>
      <c r="U202" s="49"/>
      <c r="W202" s="49"/>
    </row>
    <row r="203" spans="1:23">
      <c r="A203" s="61"/>
      <c r="B203" s="49"/>
      <c r="C203" s="50"/>
      <c r="D203" s="52"/>
      <c r="E203" s="56"/>
      <c r="F203" s="49"/>
      <c r="G203" s="49"/>
      <c r="H203" s="49"/>
      <c r="I203" s="49"/>
      <c r="J203" s="49"/>
      <c r="K203" s="49"/>
      <c r="L203" s="49"/>
      <c r="M203" s="49"/>
      <c r="N203" s="61"/>
      <c r="O203" s="61"/>
      <c r="P203" s="61"/>
      <c r="Q203" s="52"/>
      <c r="R203" s="49"/>
      <c r="S203" s="49"/>
      <c r="T203" s="49"/>
      <c r="U203" s="49"/>
      <c r="W203" s="49"/>
    </row>
    <row r="204" spans="1:23">
      <c r="A204" s="61"/>
      <c r="B204" s="49"/>
      <c r="C204" s="50"/>
      <c r="D204" s="52"/>
      <c r="E204" s="56"/>
      <c r="F204" s="49"/>
      <c r="G204" s="49"/>
      <c r="H204" s="49"/>
      <c r="I204" s="49"/>
      <c r="J204" s="49"/>
      <c r="K204" s="49"/>
      <c r="L204" s="49"/>
      <c r="M204" s="49"/>
      <c r="N204" s="61"/>
      <c r="O204" s="61"/>
      <c r="P204" s="61"/>
      <c r="Q204" s="52"/>
      <c r="R204" s="49"/>
      <c r="S204" s="49"/>
      <c r="T204" s="49"/>
      <c r="U204" s="49"/>
      <c r="W204" s="49"/>
    </row>
    <row r="205" spans="1:23">
      <c r="A205" s="61"/>
      <c r="B205" s="49"/>
      <c r="C205" s="50"/>
      <c r="D205" s="52"/>
      <c r="E205" s="56"/>
      <c r="F205" s="49"/>
      <c r="G205" s="49"/>
      <c r="H205" s="49"/>
      <c r="I205" s="49"/>
      <c r="J205" s="49"/>
      <c r="K205" s="49"/>
      <c r="L205" s="49"/>
      <c r="M205" s="49"/>
      <c r="N205" s="61"/>
      <c r="O205" s="61"/>
      <c r="P205" s="61"/>
      <c r="Q205" s="52"/>
      <c r="R205" s="49"/>
      <c r="S205" s="49"/>
      <c r="T205" s="49"/>
      <c r="U205" s="49"/>
      <c r="W205" s="49"/>
    </row>
    <row r="206" spans="1:23">
      <c r="A206" s="64"/>
      <c r="B206" s="49"/>
      <c r="C206" s="50"/>
      <c r="D206" s="52"/>
      <c r="E206" s="56"/>
      <c r="F206" s="49"/>
      <c r="G206" s="49"/>
      <c r="H206" s="49"/>
      <c r="I206" s="49"/>
      <c r="J206" s="49"/>
      <c r="K206" s="49"/>
      <c r="L206" s="49"/>
      <c r="M206" s="49"/>
      <c r="N206" s="61"/>
      <c r="O206" s="61"/>
      <c r="P206" s="61"/>
      <c r="Q206" s="52"/>
      <c r="R206" s="49"/>
      <c r="S206" s="49"/>
      <c r="T206" s="49"/>
      <c r="U206" s="49"/>
      <c r="W206" s="49"/>
    </row>
    <row r="207" spans="1:23">
      <c r="A207" s="64"/>
      <c r="B207" s="49"/>
      <c r="C207" s="50"/>
      <c r="D207" s="52"/>
      <c r="E207" s="56"/>
      <c r="F207" s="49"/>
      <c r="G207" s="49"/>
      <c r="H207" s="49"/>
      <c r="I207" s="49"/>
      <c r="J207" s="49"/>
      <c r="K207" s="49"/>
      <c r="L207" s="49"/>
      <c r="M207" s="49"/>
      <c r="N207" s="61"/>
      <c r="O207" s="61"/>
      <c r="P207" s="61"/>
      <c r="Q207" s="52"/>
      <c r="R207" s="49"/>
      <c r="S207" s="49"/>
      <c r="T207" s="49"/>
      <c r="U207" s="49"/>
      <c r="W207" s="49"/>
    </row>
    <row r="208" spans="1:23">
      <c r="A208" s="64"/>
      <c r="B208" s="49"/>
      <c r="C208" s="50"/>
      <c r="D208" s="52"/>
      <c r="E208" s="56"/>
      <c r="F208" s="49"/>
      <c r="G208" s="49"/>
      <c r="H208" s="49"/>
      <c r="I208" s="49"/>
      <c r="J208" s="49"/>
      <c r="K208" s="49"/>
      <c r="L208" s="49"/>
      <c r="M208" s="49"/>
      <c r="N208" s="61"/>
      <c r="O208" s="61"/>
      <c r="P208" s="61"/>
      <c r="Q208" s="52"/>
      <c r="R208" s="49"/>
      <c r="S208" s="49"/>
      <c r="T208" s="49"/>
      <c r="U208" s="49"/>
      <c r="W208" s="49"/>
    </row>
    <row r="209" spans="1:23">
      <c r="A209" s="64"/>
      <c r="B209" s="49"/>
      <c r="C209" s="50"/>
      <c r="D209" s="52"/>
      <c r="E209" s="56"/>
      <c r="F209" s="49"/>
      <c r="G209" s="49"/>
      <c r="H209" s="49"/>
      <c r="I209" s="49"/>
      <c r="J209" s="49"/>
      <c r="K209" s="49"/>
      <c r="L209" s="49"/>
      <c r="M209" s="49"/>
      <c r="N209" s="61"/>
      <c r="O209" s="61"/>
      <c r="P209" s="61"/>
      <c r="Q209" s="52"/>
      <c r="R209" s="49"/>
      <c r="S209" s="49"/>
      <c r="T209" s="49"/>
      <c r="U209" s="49"/>
      <c r="W209" s="49"/>
    </row>
    <row r="210" spans="1:23">
      <c r="A210" s="64"/>
      <c r="B210" s="49"/>
      <c r="C210" s="50"/>
      <c r="D210" s="52"/>
      <c r="E210" s="56"/>
      <c r="F210" s="49"/>
      <c r="G210" s="49"/>
      <c r="H210" s="49"/>
      <c r="I210" s="49"/>
      <c r="J210" s="49"/>
      <c r="K210" s="49"/>
      <c r="L210" s="49"/>
      <c r="M210" s="49"/>
      <c r="N210" s="61"/>
      <c r="O210" s="61"/>
      <c r="P210" s="61"/>
      <c r="Q210" s="52"/>
      <c r="R210" s="49"/>
      <c r="S210" s="49"/>
      <c r="T210" s="49"/>
      <c r="U210" s="49"/>
      <c r="W210" s="49"/>
    </row>
    <row r="211" spans="1:23">
      <c r="A211" s="64"/>
      <c r="B211" s="49"/>
      <c r="C211" s="50"/>
      <c r="D211" s="52"/>
      <c r="E211" s="56"/>
      <c r="F211" s="49"/>
      <c r="G211" s="49"/>
      <c r="H211" s="49"/>
      <c r="I211" s="49"/>
      <c r="J211" s="49"/>
      <c r="K211" s="49"/>
      <c r="L211" s="49"/>
      <c r="M211" s="49"/>
      <c r="N211" s="61"/>
      <c r="O211" s="61"/>
      <c r="P211" s="61"/>
      <c r="Q211" s="52"/>
      <c r="R211" s="49"/>
      <c r="S211" s="49"/>
      <c r="T211" s="49"/>
      <c r="U211" s="49"/>
      <c r="W211" s="49"/>
    </row>
    <row r="212" spans="1:23">
      <c r="A212" s="64"/>
      <c r="B212" s="49"/>
      <c r="C212" s="50"/>
      <c r="D212" s="52"/>
      <c r="E212" s="56"/>
      <c r="F212" s="49"/>
      <c r="G212" s="49"/>
      <c r="H212" s="49"/>
      <c r="I212" s="49"/>
      <c r="J212" s="49"/>
      <c r="K212" s="49"/>
      <c r="L212" s="49"/>
      <c r="M212" s="49"/>
      <c r="N212" s="61"/>
      <c r="O212" s="61"/>
      <c r="P212" s="61"/>
      <c r="Q212" s="52"/>
      <c r="R212" s="49"/>
      <c r="S212" s="49"/>
      <c r="T212" s="49"/>
      <c r="U212" s="49"/>
      <c r="W212" s="49"/>
    </row>
    <row r="213" spans="1:23">
      <c r="A213" s="64"/>
      <c r="B213" s="49"/>
      <c r="C213" s="50"/>
      <c r="D213" s="52"/>
      <c r="E213" s="56"/>
      <c r="F213" s="49"/>
      <c r="G213" s="49"/>
      <c r="H213" s="49"/>
      <c r="I213" s="49"/>
      <c r="J213" s="49"/>
      <c r="K213" s="49"/>
      <c r="L213" s="49"/>
      <c r="M213" s="49"/>
      <c r="N213" s="61"/>
      <c r="O213" s="61"/>
      <c r="P213" s="61"/>
      <c r="Q213" s="52"/>
      <c r="R213" s="49"/>
      <c r="S213" s="49"/>
      <c r="T213" s="49"/>
      <c r="U213" s="49"/>
      <c r="W213" s="49"/>
    </row>
    <row r="214" spans="1:23">
      <c r="A214" s="64"/>
      <c r="B214" s="49"/>
      <c r="C214" s="50"/>
      <c r="D214" s="52"/>
      <c r="E214" s="56"/>
      <c r="F214" s="49"/>
      <c r="G214" s="49"/>
      <c r="H214" s="49"/>
      <c r="I214" s="49"/>
      <c r="J214" s="49"/>
      <c r="K214" s="49"/>
      <c r="L214" s="49"/>
      <c r="M214" s="49"/>
      <c r="N214" s="61"/>
      <c r="O214" s="61"/>
      <c r="P214" s="61"/>
      <c r="Q214" s="52"/>
      <c r="R214" s="49"/>
      <c r="S214" s="49"/>
      <c r="T214" s="49"/>
      <c r="U214" s="49"/>
      <c r="W214" s="49"/>
    </row>
    <row r="215" spans="1:23">
      <c r="A215" s="64"/>
      <c r="B215" s="49"/>
      <c r="C215" s="50"/>
      <c r="D215" s="52"/>
      <c r="E215" s="56"/>
      <c r="F215" s="49"/>
      <c r="G215" s="49"/>
      <c r="H215" s="49"/>
      <c r="I215" s="49"/>
      <c r="J215" s="49"/>
      <c r="K215" s="49"/>
      <c r="L215" s="49"/>
      <c r="M215" s="49"/>
      <c r="N215" s="61"/>
      <c r="O215" s="61"/>
      <c r="P215" s="61"/>
      <c r="Q215" s="52"/>
      <c r="R215" s="49"/>
      <c r="S215" s="49"/>
      <c r="T215" s="49"/>
      <c r="U215" s="49"/>
      <c r="W215" s="49"/>
    </row>
    <row r="216" spans="1:23">
      <c r="A216" s="64"/>
      <c r="B216" s="49"/>
      <c r="C216" s="50"/>
      <c r="D216" s="52"/>
      <c r="E216" s="56"/>
      <c r="F216" s="49"/>
      <c r="G216" s="49"/>
      <c r="H216" s="49"/>
      <c r="I216" s="49"/>
      <c r="J216" s="49"/>
      <c r="K216" s="49"/>
      <c r="L216" s="49"/>
      <c r="M216" s="49"/>
      <c r="N216" s="61"/>
      <c r="O216" s="61"/>
      <c r="P216" s="61"/>
      <c r="Q216" s="52"/>
      <c r="R216" s="49"/>
      <c r="S216" s="49"/>
      <c r="T216" s="49"/>
      <c r="U216" s="49"/>
      <c r="W216" s="49"/>
    </row>
    <row r="217" spans="1:23">
      <c r="A217" s="64"/>
      <c r="B217" s="49"/>
      <c r="C217" s="50"/>
      <c r="D217" s="52"/>
      <c r="E217" s="56"/>
      <c r="F217" s="49"/>
      <c r="G217" s="49"/>
      <c r="H217" s="49"/>
      <c r="I217" s="49"/>
      <c r="J217" s="49"/>
      <c r="K217" s="49"/>
      <c r="L217" s="49"/>
      <c r="M217" s="49"/>
      <c r="N217" s="61"/>
      <c r="O217" s="61"/>
      <c r="P217" s="61"/>
      <c r="Q217" s="52"/>
      <c r="R217" s="49"/>
      <c r="S217" s="49"/>
      <c r="T217" s="49"/>
      <c r="U217" s="49"/>
      <c r="W217" s="49"/>
    </row>
    <row r="218" spans="1:23">
      <c r="A218" s="64"/>
      <c r="B218" s="49"/>
      <c r="C218" s="50"/>
      <c r="D218" s="52"/>
      <c r="E218" s="56"/>
      <c r="F218" s="49"/>
      <c r="G218" s="49"/>
      <c r="H218" s="49"/>
      <c r="I218" s="49"/>
      <c r="J218" s="49"/>
      <c r="K218" s="49"/>
      <c r="L218" s="49"/>
      <c r="M218" s="49"/>
      <c r="N218" s="61"/>
      <c r="O218" s="61"/>
      <c r="P218" s="61"/>
      <c r="Q218" s="52"/>
      <c r="R218" s="49"/>
      <c r="S218" s="49"/>
      <c r="T218" s="49"/>
      <c r="U218" s="49"/>
      <c r="W218" s="49"/>
    </row>
    <row r="219" spans="1:23">
      <c r="A219" s="64"/>
      <c r="B219" s="49"/>
      <c r="C219" s="50"/>
      <c r="D219" s="52"/>
      <c r="E219" s="56"/>
      <c r="F219" s="49"/>
      <c r="G219" s="49"/>
      <c r="H219" s="49"/>
      <c r="I219" s="49"/>
      <c r="J219" s="49"/>
      <c r="K219" s="49"/>
      <c r="L219" s="49"/>
      <c r="M219" s="49"/>
      <c r="N219" s="61"/>
      <c r="O219" s="61"/>
      <c r="P219" s="61"/>
      <c r="Q219" s="52"/>
      <c r="R219" s="49"/>
      <c r="S219" s="49"/>
      <c r="T219" s="49"/>
      <c r="U219" s="49"/>
      <c r="W219" s="49"/>
    </row>
    <row r="220" spans="1:23">
      <c r="A220" s="64"/>
      <c r="B220" s="49"/>
      <c r="C220" s="50"/>
      <c r="D220" s="52"/>
      <c r="E220" s="56"/>
      <c r="F220" s="49"/>
      <c r="G220" s="49"/>
      <c r="H220" s="49"/>
      <c r="I220" s="49"/>
      <c r="J220" s="49"/>
      <c r="K220" s="49"/>
      <c r="L220" s="49"/>
      <c r="M220" s="49"/>
      <c r="N220" s="61"/>
      <c r="O220" s="61"/>
      <c r="P220" s="61"/>
      <c r="Q220" s="52"/>
      <c r="R220" s="49"/>
      <c r="S220" s="49"/>
      <c r="T220" s="49"/>
      <c r="U220" s="49"/>
      <c r="W220" s="49"/>
    </row>
    <row r="221" spans="1:23">
      <c r="A221" s="64"/>
      <c r="B221" s="49"/>
      <c r="C221" s="50"/>
      <c r="D221" s="52"/>
      <c r="E221" s="56"/>
      <c r="F221" s="49"/>
      <c r="G221" s="49"/>
      <c r="H221" s="49"/>
      <c r="I221" s="49"/>
      <c r="J221" s="49"/>
      <c r="K221" s="49"/>
      <c r="L221" s="49"/>
      <c r="M221" s="49"/>
      <c r="N221" s="61"/>
      <c r="O221" s="61"/>
      <c r="P221" s="61"/>
      <c r="Q221" s="52"/>
      <c r="R221" s="49"/>
      <c r="S221" s="49"/>
      <c r="T221" s="49"/>
      <c r="U221" s="49"/>
      <c r="W221" s="49"/>
    </row>
    <row r="222" spans="1:23">
      <c r="A222" s="64"/>
      <c r="B222" s="49"/>
      <c r="C222" s="50"/>
      <c r="D222" s="52"/>
      <c r="E222" s="56"/>
      <c r="F222" s="49"/>
      <c r="G222" s="49"/>
      <c r="H222" s="49"/>
      <c r="I222" s="49"/>
      <c r="J222" s="49"/>
      <c r="K222" s="49"/>
      <c r="L222" s="49"/>
      <c r="M222" s="49"/>
      <c r="N222" s="61"/>
      <c r="O222" s="61"/>
      <c r="P222" s="61"/>
      <c r="Q222" s="52"/>
      <c r="R222" s="49"/>
      <c r="S222" s="49"/>
      <c r="T222" s="49"/>
      <c r="U222" s="49"/>
      <c r="W222" s="49"/>
    </row>
    <row r="223" spans="1:23">
      <c r="A223" s="64"/>
      <c r="B223" s="49"/>
      <c r="C223" s="50"/>
      <c r="D223" s="52"/>
      <c r="E223" s="56"/>
      <c r="F223" s="49"/>
      <c r="G223" s="49"/>
      <c r="H223" s="49"/>
      <c r="I223" s="49"/>
      <c r="J223" s="49"/>
      <c r="K223" s="49"/>
      <c r="L223" s="49"/>
      <c r="M223" s="49"/>
      <c r="N223" s="61"/>
      <c r="O223" s="61"/>
      <c r="P223" s="61"/>
      <c r="Q223" s="52"/>
      <c r="R223" s="49"/>
      <c r="S223" s="49"/>
      <c r="T223" s="49"/>
      <c r="U223" s="49"/>
      <c r="W223" s="49"/>
    </row>
    <row r="224" spans="1:23">
      <c r="A224" s="64"/>
      <c r="B224" s="49"/>
      <c r="C224" s="50"/>
      <c r="D224" s="52"/>
      <c r="E224" s="56"/>
      <c r="F224" s="49"/>
      <c r="G224" s="49"/>
      <c r="H224" s="49"/>
      <c r="I224" s="49"/>
      <c r="J224" s="49"/>
      <c r="K224" s="49"/>
      <c r="L224" s="49"/>
      <c r="M224" s="49"/>
      <c r="N224" s="61"/>
      <c r="O224" s="61"/>
      <c r="P224" s="61"/>
      <c r="Q224" s="52"/>
      <c r="R224" s="49"/>
      <c r="S224" s="49"/>
      <c r="T224" s="49"/>
      <c r="U224" s="49"/>
      <c r="W224" s="49"/>
    </row>
    <row r="225" spans="1:23">
      <c r="A225" s="64"/>
      <c r="B225" s="49"/>
      <c r="C225" s="50"/>
      <c r="D225" s="52"/>
      <c r="E225" s="56"/>
      <c r="F225" s="49"/>
      <c r="G225" s="49"/>
      <c r="H225" s="49"/>
      <c r="I225" s="49"/>
      <c r="J225" s="49"/>
      <c r="K225" s="49"/>
      <c r="L225" s="49"/>
      <c r="M225" s="49"/>
      <c r="N225" s="61"/>
      <c r="O225" s="61"/>
      <c r="P225" s="61"/>
      <c r="Q225" s="52"/>
      <c r="R225" s="49"/>
      <c r="S225" s="49"/>
      <c r="T225" s="49"/>
      <c r="U225" s="49"/>
      <c r="W225" s="49"/>
    </row>
    <row r="226" spans="1:23">
      <c r="A226" s="64"/>
      <c r="B226" s="49"/>
      <c r="C226" s="50"/>
      <c r="D226" s="52"/>
      <c r="E226" s="56"/>
      <c r="F226" s="49"/>
      <c r="G226" s="49"/>
      <c r="H226" s="49"/>
      <c r="I226" s="49"/>
      <c r="J226" s="49"/>
      <c r="K226" s="49"/>
      <c r="L226" s="49"/>
      <c r="M226" s="49"/>
      <c r="N226" s="61"/>
      <c r="O226" s="61"/>
      <c r="P226" s="61"/>
      <c r="Q226" s="52"/>
      <c r="R226" s="49"/>
      <c r="S226" s="49"/>
      <c r="T226" s="49"/>
      <c r="U226" s="49"/>
      <c r="W226" s="49"/>
    </row>
    <row r="227" spans="1:23">
      <c r="A227" s="64"/>
      <c r="B227" s="49"/>
      <c r="C227" s="50"/>
      <c r="D227" s="52"/>
      <c r="E227" s="56"/>
      <c r="F227" s="49"/>
      <c r="G227" s="49"/>
      <c r="H227" s="49"/>
      <c r="I227" s="49"/>
      <c r="J227" s="49"/>
      <c r="K227" s="49"/>
      <c r="L227" s="49"/>
      <c r="M227" s="49"/>
      <c r="N227" s="61"/>
      <c r="O227" s="61"/>
      <c r="P227" s="61"/>
      <c r="Q227" s="52"/>
      <c r="R227" s="49"/>
      <c r="S227" s="49"/>
      <c r="T227" s="49"/>
      <c r="U227" s="49"/>
      <c r="W227" s="49"/>
    </row>
    <row r="228" spans="1:23">
      <c r="A228" s="64"/>
      <c r="B228" s="49"/>
      <c r="C228" s="50"/>
      <c r="D228" s="52"/>
      <c r="E228" s="56"/>
      <c r="F228" s="49"/>
      <c r="G228" s="49"/>
      <c r="H228" s="49"/>
      <c r="I228" s="49"/>
      <c r="J228" s="49"/>
      <c r="K228" s="49"/>
      <c r="L228" s="49"/>
      <c r="M228" s="49"/>
      <c r="N228" s="61"/>
      <c r="O228" s="61"/>
      <c r="P228" s="61"/>
      <c r="Q228" s="52"/>
      <c r="R228" s="49"/>
      <c r="S228" s="49"/>
      <c r="T228" s="49"/>
      <c r="U228" s="49"/>
      <c r="W228" s="49"/>
    </row>
    <row r="229" spans="1:23">
      <c r="A229" s="64"/>
      <c r="B229" s="49"/>
      <c r="C229" s="50"/>
      <c r="D229" s="52"/>
      <c r="E229" s="56"/>
      <c r="F229" s="49"/>
      <c r="G229" s="49"/>
      <c r="H229" s="49"/>
      <c r="I229" s="49"/>
      <c r="J229" s="49"/>
      <c r="K229" s="49"/>
      <c r="L229" s="49"/>
      <c r="M229" s="49"/>
      <c r="N229" s="61"/>
      <c r="O229" s="61"/>
      <c r="P229" s="61"/>
      <c r="Q229" s="52"/>
      <c r="R229" s="49"/>
      <c r="S229" s="49"/>
      <c r="T229" s="49"/>
      <c r="U229" s="49"/>
      <c r="W229" s="49"/>
    </row>
    <row r="230" spans="1:23">
      <c r="A230" s="64"/>
      <c r="B230" s="49"/>
      <c r="C230" s="50"/>
      <c r="D230" s="52"/>
      <c r="E230" s="56"/>
      <c r="F230" s="49"/>
      <c r="G230" s="49"/>
      <c r="H230" s="49"/>
      <c r="I230" s="49"/>
      <c r="J230" s="49"/>
      <c r="K230" s="49"/>
      <c r="L230" s="49"/>
      <c r="M230" s="49"/>
      <c r="N230" s="61"/>
      <c r="O230" s="61"/>
      <c r="P230" s="61"/>
      <c r="Q230" s="52"/>
      <c r="R230" s="49"/>
      <c r="S230" s="49"/>
      <c r="T230" s="49"/>
      <c r="U230" s="49"/>
      <c r="W230" s="49"/>
    </row>
    <row r="231" spans="1:23">
      <c r="A231" s="64"/>
      <c r="B231" s="49"/>
      <c r="C231" s="50"/>
      <c r="D231" s="52"/>
      <c r="E231" s="56"/>
      <c r="F231" s="49"/>
      <c r="G231" s="49"/>
      <c r="H231" s="49"/>
      <c r="I231" s="49"/>
      <c r="J231" s="49"/>
      <c r="K231" s="49"/>
      <c r="L231" s="49"/>
      <c r="M231" s="49"/>
      <c r="N231" s="61"/>
      <c r="O231" s="61"/>
      <c r="P231" s="61"/>
      <c r="Q231" s="52"/>
      <c r="R231" s="49"/>
      <c r="S231" s="49"/>
      <c r="T231" s="49"/>
      <c r="U231" s="49"/>
      <c r="W231" s="49"/>
    </row>
    <row r="232" spans="1:23">
      <c r="A232" s="64"/>
      <c r="B232" s="49"/>
      <c r="C232" s="50"/>
      <c r="D232" s="52"/>
      <c r="E232" s="56"/>
      <c r="F232" s="49"/>
      <c r="G232" s="49"/>
      <c r="H232" s="49"/>
      <c r="I232" s="49"/>
      <c r="J232" s="49"/>
      <c r="K232" s="49"/>
      <c r="L232" s="49"/>
      <c r="M232" s="49"/>
      <c r="N232" s="61"/>
      <c r="O232" s="61"/>
      <c r="P232" s="61"/>
      <c r="Q232" s="52"/>
      <c r="R232" s="49"/>
      <c r="S232" s="49"/>
      <c r="T232" s="49"/>
      <c r="U232" s="49"/>
      <c r="W232" s="49"/>
    </row>
    <row r="233" spans="1:23">
      <c r="A233" s="64"/>
      <c r="B233" s="49"/>
      <c r="C233" s="50"/>
      <c r="D233" s="52"/>
      <c r="E233" s="56"/>
      <c r="F233" s="49"/>
      <c r="G233" s="49"/>
      <c r="H233" s="49"/>
      <c r="I233" s="49"/>
      <c r="J233" s="49"/>
      <c r="K233" s="49"/>
      <c r="L233" s="49"/>
      <c r="M233" s="49"/>
      <c r="N233" s="61"/>
      <c r="O233" s="61"/>
      <c r="P233" s="61"/>
      <c r="Q233" s="52"/>
      <c r="R233" s="49"/>
      <c r="S233" s="49"/>
      <c r="T233" s="49"/>
      <c r="U233" s="49"/>
      <c r="W233" s="49"/>
    </row>
    <row r="234" spans="1:23">
      <c r="A234" s="64"/>
      <c r="B234" s="49"/>
      <c r="C234" s="50"/>
      <c r="D234" s="52"/>
      <c r="E234" s="56"/>
      <c r="F234" s="49"/>
      <c r="G234" s="49"/>
      <c r="H234" s="49"/>
      <c r="I234" s="49"/>
      <c r="J234" s="49"/>
      <c r="K234" s="49"/>
      <c r="L234" s="49"/>
      <c r="M234" s="49"/>
      <c r="N234" s="61"/>
      <c r="O234" s="61"/>
      <c r="P234" s="61"/>
      <c r="Q234" s="52"/>
      <c r="R234" s="49"/>
      <c r="S234" s="49"/>
      <c r="T234" s="49"/>
      <c r="U234" s="49"/>
      <c r="W234" s="49"/>
    </row>
    <row r="235" spans="1:23">
      <c r="A235" s="64"/>
      <c r="B235" s="49"/>
      <c r="C235" s="50"/>
      <c r="D235" s="52"/>
      <c r="E235" s="56"/>
      <c r="F235" s="49"/>
      <c r="G235" s="49"/>
      <c r="H235" s="49"/>
      <c r="I235" s="49"/>
      <c r="J235" s="49"/>
      <c r="K235" s="49"/>
      <c r="L235" s="49"/>
      <c r="M235" s="49"/>
      <c r="N235" s="61"/>
      <c r="O235" s="61"/>
      <c r="P235" s="61"/>
      <c r="Q235" s="52"/>
      <c r="R235" s="49"/>
      <c r="S235" s="49"/>
      <c r="T235" s="49"/>
      <c r="U235" s="49"/>
      <c r="W235" s="49"/>
    </row>
    <row r="236" spans="1:23">
      <c r="A236" s="64"/>
      <c r="B236" s="49"/>
      <c r="C236" s="50"/>
      <c r="D236" s="52"/>
      <c r="E236" s="56"/>
      <c r="F236" s="49"/>
      <c r="G236" s="49"/>
      <c r="H236" s="49"/>
      <c r="I236" s="49"/>
      <c r="J236" s="49"/>
      <c r="K236" s="49"/>
      <c r="L236" s="49"/>
      <c r="M236" s="49"/>
      <c r="N236" s="61"/>
      <c r="O236" s="61"/>
      <c r="P236" s="61"/>
      <c r="Q236" s="52"/>
      <c r="R236" s="49"/>
      <c r="S236" s="49"/>
      <c r="T236" s="49"/>
      <c r="U236" s="49"/>
      <c r="W236" s="49"/>
    </row>
    <row r="237" spans="1:23">
      <c r="A237" s="64"/>
      <c r="B237" s="49"/>
      <c r="C237" s="50"/>
      <c r="D237" s="52"/>
      <c r="E237" s="56"/>
      <c r="F237" s="49"/>
      <c r="G237" s="49"/>
      <c r="H237" s="49"/>
      <c r="I237" s="49"/>
      <c r="J237" s="49"/>
      <c r="K237" s="49"/>
      <c r="L237" s="49"/>
      <c r="M237" s="49"/>
      <c r="N237" s="61"/>
      <c r="O237" s="61"/>
      <c r="P237" s="61"/>
      <c r="Q237" s="52"/>
      <c r="R237" s="49"/>
      <c r="S237" s="49"/>
      <c r="T237" s="49"/>
      <c r="U237" s="49"/>
      <c r="W237" s="49"/>
    </row>
    <row r="238" spans="1:23">
      <c r="A238" s="64"/>
      <c r="B238" s="49"/>
      <c r="C238" s="50"/>
      <c r="D238" s="52"/>
      <c r="E238" s="56"/>
      <c r="F238" s="49"/>
      <c r="G238" s="49"/>
      <c r="H238" s="49"/>
      <c r="I238" s="49"/>
      <c r="J238" s="49"/>
      <c r="K238" s="49"/>
      <c r="L238" s="49"/>
      <c r="M238" s="49"/>
      <c r="N238" s="61"/>
      <c r="O238" s="61"/>
      <c r="P238" s="61"/>
      <c r="Q238" s="52"/>
      <c r="R238" s="49"/>
      <c r="S238" s="49"/>
      <c r="T238" s="49"/>
      <c r="U238" s="49"/>
      <c r="W238" s="49"/>
    </row>
    <row r="239" spans="1:23">
      <c r="A239" s="64"/>
      <c r="B239" s="49"/>
      <c r="C239" s="50"/>
      <c r="D239" s="52"/>
      <c r="E239" s="56"/>
      <c r="F239" s="49"/>
      <c r="G239" s="49"/>
      <c r="H239" s="49"/>
      <c r="I239" s="49"/>
      <c r="J239" s="49"/>
      <c r="K239" s="49"/>
      <c r="L239" s="49"/>
      <c r="M239" s="49"/>
      <c r="N239" s="61"/>
      <c r="O239" s="61"/>
      <c r="P239" s="61"/>
      <c r="Q239" s="52"/>
      <c r="R239" s="49"/>
      <c r="S239" s="49"/>
      <c r="T239" s="49"/>
      <c r="U239" s="49"/>
      <c r="W239" s="49"/>
    </row>
    <row r="240" spans="1:23">
      <c r="A240" s="64"/>
      <c r="B240" s="49"/>
      <c r="C240" s="50"/>
      <c r="D240" s="52"/>
      <c r="E240" s="56"/>
      <c r="F240" s="49"/>
      <c r="G240" s="49"/>
      <c r="H240" s="49"/>
      <c r="I240" s="49"/>
      <c r="J240" s="49"/>
      <c r="K240" s="49"/>
      <c r="L240" s="49"/>
      <c r="M240" s="49"/>
      <c r="N240" s="61"/>
      <c r="O240" s="61"/>
      <c r="P240" s="61"/>
      <c r="Q240" s="52"/>
      <c r="R240" s="49"/>
      <c r="S240" s="49"/>
      <c r="T240" s="49"/>
      <c r="U240" s="49"/>
      <c r="W240" s="49"/>
    </row>
    <row r="241" spans="1:23">
      <c r="A241" s="64"/>
      <c r="B241" s="49"/>
      <c r="C241" s="50"/>
      <c r="D241" s="52"/>
      <c r="E241" s="56"/>
      <c r="F241" s="49"/>
      <c r="G241" s="49"/>
      <c r="H241" s="49"/>
      <c r="I241" s="49"/>
      <c r="J241" s="49"/>
      <c r="K241" s="49"/>
      <c r="L241" s="49"/>
      <c r="M241" s="49"/>
      <c r="N241" s="61"/>
      <c r="O241" s="61"/>
      <c r="P241" s="61"/>
      <c r="Q241" s="52"/>
      <c r="R241" s="49"/>
      <c r="S241" s="49"/>
      <c r="T241" s="49"/>
      <c r="U241" s="49"/>
      <c r="W241" s="49"/>
    </row>
    <row r="242" spans="1:23">
      <c r="A242" s="64"/>
      <c r="B242" s="49"/>
      <c r="C242" s="50"/>
      <c r="D242" s="52"/>
      <c r="E242" s="56"/>
      <c r="F242" s="49"/>
      <c r="G242" s="49"/>
      <c r="H242" s="49"/>
      <c r="I242" s="49"/>
      <c r="J242" s="49"/>
      <c r="K242" s="49"/>
      <c r="L242" s="49"/>
      <c r="M242" s="49"/>
      <c r="N242" s="61"/>
      <c r="O242" s="61"/>
      <c r="P242" s="61"/>
      <c r="Q242" s="52"/>
      <c r="R242" s="49"/>
      <c r="S242" s="49"/>
      <c r="T242" s="49"/>
      <c r="U242" s="49"/>
      <c r="W242" s="49"/>
    </row>
    <row r="243" spans="1:23">
      <c r="A243" s="64"/>
      <c r="B243" s="49"/>
      <c r="C243" s="50"/>
      <c r="D243" s="52"/>
      <c r="E243" s="56"/>
      <c r="F243" s="49"/>
      <c r="G243" s="49"/>
      <c r="H243" s="49"/>
      <c r="I243" s="49"/>
      <c r="J243" s="49"/>
      <c r="K243" s="49"/>
      <c r="L243" s="49"/>
      <c r="M243" s="49"/>
      <c r="N243" s="61"/>
      <c r="O243" s="61"/>
      <c r="P243" s="61"/>
      <c r="Q243" s="52"/>
      <c r="R243" s="49"/>
      <c r="S243" s="49"/>
      <c r="T243" s="49"/>
      <c r="U243" s="49"/>
      <c r="W243" s="49"/>
    </row>
    <row r="244" spans="1:23">
      <c r="A244" s="64"/>
      <c r="B244" s="49"/>
      <c r="C244" s="50"/>
      <c r="D244" s="52"/>
      <c r="E244" s="56"/>
      <c r="F244" s="49"/>
      <c r="G244" s="49"/>
      <c r="H244" s="49"/>
      <c r="I244" s="49"/>
      <c r="J244" s="49"/>
      <c r="K244" s="49"/>
      <c r="L244" s="49"/>
      <c r="M244" s="49"/>
      <c r="N244" s="61"/>
      <c r="O244" s="61"/>
      <c r="P244" s="61"/>
      <c r="Q244" s="52"/>
      <c r="R244" s="49"/>
      <c r="S244" s="49"/>
      <c r="T244" s="49"/>
      <c r="U244" s="49"/>
      <c r="W244" s="49"/>
    </row>
    <row r="245" spans="1:23">
      <c r="A245" s="64"/>
      <c r="B245" s="49"/>
      <c r="C245" s="50"/>
      <c r="D245" s="52"/>
      <c r="E245" s="56"/>
      <c r="F245" s="49"/>
      <c r="G245" s="49"/>
      <c r="H245" s="49"/>
      <c r="I245" s="49"/>
      <c r="J245" s="49"/>
      <c r="K245" s="49"/>
      <c r="L245" s="49"/>
      <c r="M245" s="49"/>
      <c r="N245" s="61"/>
      <c r="O245" s="61"/>
      <c r="P245" s="61"/>
      <c r="Q245" s="52"/>
      <c r="R245" s="49"/>
      <c r="S245" s="49"/>
      <c r="T245" s="49"/>
      <c r="U245" s="49"/>
      <c r="W245" s="49"/>
    </row>
    <row r="246" spans="1:23">
      <c r="A246" s="64"/>
      <c r="B246" s="49"/>
      <c r="C246" s="50"/>
      <c r="D246" s="52"/>
      <c r="E246" s="56"/>
      <c r="F246" s="49"/>
      <c r="G246" s="49"/>
      <c r="H246" s="49"/>
      <c r="I246" s="49"/>
      <c r="J246" s="49"/>
      <c r="K246" s="49"/>
      <c r="L246" s="49"/>
      <c r="M246" s="49"/>
      <c r="N246" s="61"/>
      <c r="O246" s="61"/>
      <c r="P246" s="61"/>
      <c r="Q246" s="52"/>
      <c r="R246" s="49"/>
      <c r="S246" s="49"/>
      <c r="T246" s="49"/>
      <c r="U246" s="49"/>
    </row>
    <row r="247" spans="1:23">
      <c r="A247" s="64"/>
      <c r="B247" s="49"/>
      <c r="C247" s="50"/>
      <c r="D247" s="52"/>
      <c r="E247" s="56"/>
      <c r="F247" s="49"/>
      <c r="G247" s="49"/>
      <c r="H247" s="49"/>
      <c r="I247" s="49"/>
      <c r="J247" s="49"/>
      <c r="K247" s="49"/>
      <c r="L247" s="49"/>
      <c r="M247" s="49"/>
      <c r="N247" s="61"/>
      <c r="O247" s="61"/>
      <c r="P247" s="61"/>
      <c r="Q247" s="52"/>
      <c r="R247" s="49"/>
      <c r="S247" s="49"/>
      <c r="T247" s="49"/>
      <c r="U247" s="49"/>
    </row>
    <row r="248" spans="1:23">
      <c r="A248" s="64"/>
      <c r="B248" s="49"/>
      <c r="C248" s="50"/>
      <c r="D248" s="52"/>
      <c r="E248" s="56"/>
      <c r="F248" s="49"/>
      <c r="G248" s="49"/>
      <c r="H248" s="49"/>
      <c r="I248" s="49"/>
      <c r="J248" s="49"/>
      <c r="K248" s="49"/>
      <c r="L248" s="49"/>
      <c r="M248" s="49"/>
      <c r="N248" s="61"/>
      <c r="O248" s="61"/>
      <c r="P248" s="61"/>
      <c r="Q248" s="52"/>
      <c r="R248" s="49"/>
      <c r="S248" s="49"/>
      <c r="T248" s="49"/>
      <c r="U248" s="49"/>
    </row>
    <row r="249" spans="1:23">
      <c r="A249" s="64"/>
      <c r="B249" s="49"/>
      <c r="C249" s="50"/>
      <c r="D249" s="52"/>
      <c r="E249" s="56"/>
      <c r="F249" s="49"/>
      <c r="G249" s="49"/>
      <c r="H249" s="49"/>
      <c r="I249" s="49"/>
      <c r="J249" s="49"/>
      <c r="K249" s="49"/>
      <c r="L249" s="49"/>
      <c r="M249" s="49"/>
      <c r="N249" s="61"/>
      <c r="O249" s="61"/>
      <c r="P249" s="61"/>
      <c r="Q249" s="52"/>
      <c r="R249" s="49"/>
      <c r="S249" s="49"/>
      <c r="T249" s="49"/>
      <c r="U249" s="49"/>
    </row>
    <row r="250" spans="1:23">
      <c r="A250" s="64"/>
      <c r="B250" s="49"/>
      <c r="C250" s="50"/>
      <c r="D250" s="52"/>
      <c r="E250" s="56"/>
      <c r="F250" s="49"/>
      <c r="G250" s="49"/>
      <c r="H250" s="49"/>
      <c r="I250" s="49"/>
      <c r="J250" s="49"/>
      <c r="K250" s="49"/>
      <c r="L250" s="49"/>
      <c r="M250" s="49"/>
      <c r="N250" s="61"/>
      <c r="O250" s="61"/>
      <c r="P250" s="61"/>
      <c r="Q250" s="52"/>
      <c r="R250" s="49"/>
      <c r="S250" s="49"/>
      <c r="T250" s="49"/>
      <c r="U250" s="49"/>
    </row>
    <row r="251" spans="1:23">
      <c r="A251" s="64"/>
      <c r="B251" s="49"/>
      <c r="C251" s="50"/>
      <c r="D251" s="52"/>
      <c r="E251" s="56"/>
      <c r="F251" s="49"/>
      <c r="G251" s="49"/>
      <c r="H251" s="49"/>
      <c r="I251" s="49"/>
      <c r="J251" s="49"/>
      <c r="K251" s="49"/>
      <c r="L251" s="49"/>
      <c r="M251" s="49"/>
      <c r="N251" s="61"/>
      <c r="O251" s="61"/>
      <c r="P251" s="61"/>
      <c r="Q251" s="52"/>
      <c r="R251" s="49"/>
      <c r="S251" s="49"/>
      <c r="T251" s="49"/>
      <c r="U251" s="49"/>
    </row>
    <row r="252" spans="1:23">
      <c r="A252" s="64"/>
      <c r="B252" s="49"/>
      <c r="C252" s="52"/>
      <c r="D252" s="52"/>
      <c r="E252" s="56"/>
      <c r="F252" s="49"/>
      <c r="G252" s="49"/>
      <c r="H252" s="49"/>
      <c r="I252" s="49"/>
      <c r="J252" s="49"/>
      <c r="K252" s="49"/>
      <c r="L252" s="49"/>
      <c r="M252" s="49"/>
      <c r="N252" s="61"/>
      <c r="O252" s="61"/>
      <c r="P252" s="61"/>
      <c r="Q252" s="52"/>
      <c r="R252" s="49"/>
      <c r="S252" s="49"/>
      <c r="T252" s="49"/>
      <c r="U252" s="49"/>
    </row>
    <row r="253" spans="1:23">
      <c r="A253" s="64"/>
      <c r="B253" s="49"/>
      <c r="C253" s="52"/>
      <c r="D253" s="52"/>
      <c r="E253" s="56"/>
      <c r="F253" s="49"/>
      <c r="G253" s="49"/>
      <c r="H253" s="49"/>
      <c r="I253" s="49"/>
      <c r="J253" s="49"/>
      <c r="K253" s="49"/>
      <c r="L253" s="49"/>
      <c r="M253" s="49"/>
      <c r="N253" s="61"/>
      <c r="O253" s="61"/>
      <c r="P253" s="61"/>
      <c r="Q253" s="52"/>
      <c r="R253" s="49"/>
      <c r="S253" s="49"/>
      <c r="T253" s="49"/>
      <c r="U253" s="49"/>
    </row>
    <row r="254" spans="1:23">
      <c r="A254" s="64"/>
      <c r="B254" s="49"/>
      <c r="C254" s="52"/>
      <c r="D254" s="52"/>
      <c r="E254" s="56"/>
      <c r="F254" s="49"/>
      <c r="G254" s="49"/>
      <c r="H254" s="49"/>
      <c r="I254" s="49"/>
      <c r="J254" s="49"/>
      <c r="K254" s="49"/>
      <c r="L254" s="49"/>
      <c r="M254" s="49"/>
      <c r="N254" s="61"/>
      <c r="O254" s="61"/>
      <c r="P254" s="61"/>
      <c r="Q254" s="52"/>
      <c r="R254" s="49"/>
      <c r="S254" s="49"/>
      <c r="T254" s="49"/>
      <c r="U254" s="49"/>
    </row>
    <row r="255" spans="1:23">
      <c r="A255" s="64"/>
      <c r="B255" s="49"/>
      <c r="C255" s="52"/>
      <c r="D255" s="52"/>
      <c r="E255" s="56"/>
      <c r="F255" s="49"/>
      <c r="G255" s="49"/>
      <c r="H255" s="49"/>
      <c r="I255" s="49"/>
      <c r="J255" s="49"/>
      <c r="K255" s="49"/>
      <c r="L255" s="49"/>
      <c r="M255" s="49"/>
      <c r="N255" s="61"/>
      <c r="O255" s="61"/>
      <c r="P255" s="61"/>
      <c r="Q255" s="52"/>
      <c r="R255" s="49"/>
      <c r="S255" s="49"/>
      <c r="T255" s="49"/>
      <c r="U255" s="49"/>
    </row>
    <row r="256" spans="1:23">
      <c r="A256" s="64"/>
      <c r="B256" s="49"/>
      <c r="C256" s="52"/>
      <c r="D256" s="52"/>
      <c r="E256" s="56"/>
      <c r="F256" s="49"/>
      <c r="G256" s="49"/>
      <c r="H256" s="49"/>
      <c r="I256" s="49"/>
      <c r="J256" s="49"/>
      <c r="K256" s="49"/>
      <c r="L256" s="49"/>
      <c r="M256" s="49"/>
      <c r="N256" s="61"/>
      <c r="O256" s="61"/>
      <c r="P256" s="61"/>
      <c r="Q256" s="52"/>
      <c r="R256" s="49"/>
      <c r="S256" s="49"/>
      <c r="T256" s="49"/>
      <c r="U256" s="49"/>
    </row>
    <row r="257" spans="1:21">
      <c r="A257" s="64"/>
      <c r="B257" s="49"/>
      <c r="C257" s="52"/>
      <c r="D257" s="52"/>
      <c r="E257" s="56"/>
      <c r="F257" s="49"/>
      <c r="G257" s="49"/>
      <c r="H257" s="49"/>
      <c r="I257" s="49"/>
      <c r="J257" s="49"/>
      <c r="K257" s="49"/>
      <c r="L257" s="49"/>
      <c r="M257" s="49"/>
      <c r="N257" s="61"/>
      <c r="O257" s="61"/>
      <c r="P257" s="61"/>
      <c r="Q257" s="52"/>
      <c r="R257" s="49"/>
      <c r="S257" s="49"/>
      <c r="T257" s="49"/>
      <c r="U257" s="49"/>
    </row>
  </sheetData>
  <sortState xmlns:xlrd2="http://schemas.microsoft.com/office/spreadsheetml/2017/richdata2" ref="A2:AB257">
    <sortCondition ref="B2:B25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8BA8-49E0-42DA-94AF-FAC90B4F7AB2}">
  <dimension ref="A1:J4"/>
  <sheetViews>
    <sheetView workbookViewId="0">
      <selection activeCell="A2" sqref="A2:B4"/>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16</v>
      </c>
      <c r="B1" s="54" t="s">
        <v>184</v>
      </c>
      <c r="C1" s="54" t="s">
        <v>185</v>
      </c>
      <c r="D1" s="54" t="s">
        <v>186</v>
      </c>
      <c r="E1" s="48" t="s">
        <v>187</v>
      </c>
      <c r="F1" s="48" t="s">
        <v>188</v>
      </c>
      <c r="G1" s="48" t="s">
        <v>189</v>
      </c>
      <c r="H1" s="48" t="s">
        <v>190</v>
      </c>
      <c r="I1" s="48" t="s">
        <v>191</v>
      </c>
      <c r="J1" s="48" t="s">
        <v>192</v>
      </c>
    </row>
    <row r="2" spans="1:10">
      <c r="A2" t="s">
        <v>33</v>
      </c>
      <c r="B2" s="30">
        <v>0</v>
      </c>
      <c r="C2" s="30">
        <v>0</v>
      </c>
      <c r="D2" s="30">
        <v>100.71881000582545</v>
      </c>
      <c r="E2" s="70">
        <v>1000</v>
      </c>
      <c r="F2" s="71" t="s">
        <v>193</v>
      </c>
      <c r="G2" s="71" t="s">
        <v>194</v>
      </c>
      <c r="H2">
        <v>5</v>
      </c>
      <c r="I2">
        <v>0</v>
      </c>
      <c r="J2">
        <v>26</v>
      </c>
    </row>
    <row r="3" spans="1:10">
      <c r="A3" t="s">
        <v>51</v>
      </c>
      <c r="B3" s="30">
        <v>4.0830865072644826</v>
      </c>
      <c r="C3" s="30">
        <v>1.5420903087850388</v>
      </c>
      <c r="D3" s="30">
        <v>9.0074101324864717</v>
      </c>
      <c r="E3" s="70">
        <v>1000</v>
      </c>
      <c r="F3" s="71" t="s">
        <v>195</v>
      </c>
      <c r="G3" s="71" t="s">
        <v>196</v>
      </c>
      <c r="H3">
        <v>68</v>
      </c>
      <c r="I3">
        <v>5</v>
      </c>
      <c r="J3">
        <v>1283</v>
      </c>
    </row>
    <row r="4" spans="1:10">
      <c r="A4" t="s">
        <v>134</v>
      </c>
      <c r="B4" s="30">
        <v>120.88596487389202</v>
      </c>
      <c r="C4" s="30">
        <v>7.2829919110033305</v>
      </c>
      <c r="D4" s="30">
        <v>554.25166873549415</v>
      </c>
      <c r="E4" s="70">
        <v>1000</v>
      </c>
      <c r="F4" s="71" t="s">
        <v>195</v>
      </c>
      <c r="G4" s="71" t="s">
        <v>196</v>
      </c>
      <c r="H4">
        <v>3</v>
      </c>
      <c r="I4">
        <v>1</v>
      </c>
      <c r="J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ED24-8FE4-418B-AFA8-F9992C5DC527}">
  <dimension ref="A1:J7"/>
  <sheetViews>
    <sheetView workbookViewId="0">
      <selection activeCell="A2" sqref="A2:B7"/>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18</v>
      </c>
      <c r="B1" s="54" t="s">
        <v>184</v>
      </c>
      <c r="C1" s="54" t="s">
        <v>185</v>
      </c>
      <c r="D1" s="54" t="s">
        <v>186</v>
      </c>
      <c r="E1" s="48" t="s">
        <v>187</v>
      </c>
      <c r="F1" s="48" t="s">
        <v>188</v>
      </c>
      <c r="G1" s="48" t="s">
        <v>189</v>
      </c>
      <c r="H1" s="48" t="s">
        <v>190</v>
      </c>
      <c r="I1" s="48" t="s">
        <v>191</v>
      </c>
      <c r="J1" s="48" t="s">
        <v>192</v>
      </c>
    </row>
    <row r="2" spans="1:10">
      <c r="A2" t="s">
        <v>33</v>
      </c>
      <c r="B2" s="30">
        <v>0</v>
      </c>
      <c r="C2" s="30">
        <v>0</v>
      </c>
      <c r="D2" s="30">
        <v>100.71881000582545</v>
      </c>
      <c r="E2" s="70">
        <v>1000</v>
      </c>
      <c r="F2" s="71" t="s">
        <v>193</v>
      </c>
      <c r="G2" s="71" t="s">
        <v>194</v>
      </c>
      <c r="H2">
        <v>5</v>
      </c>
      <c r="I2">
        <v>0</v>
      </c>
      <c r="J2">
        <v>26</v>
      </c>
    </row>
    <row r="3" spans="1:10">
      <c r="A3" t="s">
        <v>134</v>
      </c>
      <c r="B3" s="30">
        <v>120.88596487389202</v>
      </c>
      <c r="C3" s="30">
        <v>7.2829919110033305</v>
      </c>
      <c r="D3" s="30">
        <v>554.25166873549415</v>
      </c>
      <c r="E3" s="70">
        <v>1000</v>
      </c>
      <c r="F3" s="71" t="s">
        <v>195</v>
      </c>
      <c r="G3" s="71" t="s">
        <v>196</v>
      </c>
      <c r="H3">
        <v>3</v>
      </c>
      <c r="I3">
        <v>1</v>
      </c>
      <c r="J3">
        <v>9</v>
      </c>
    </row>
    <row r="4" spans="1:10">
      <c r="A4" t="s">
        <v>88</v>
      </c>
      <c r="B4" s="30">
        <v>0</v>
      </c>
      <c r="C4" s="30">
        <v>0</v>
      </c>
      <c r="D4" s="30">
        <v>4.8016968800124546</v>
      </c>
      <c r="E4" s="70">
        <v>1000</v>
      </c>
      <c r="F4" s="71" t="s">
        <v>193</v>
      </c>
      <c r="G4" s="71" t="s">
        <v>194</v>
      </c>
      <c r="H4">
        <v>28</v>
      </c>
      <c r="I4">
        <v>0</v>
      </c>
      <c r="J4">
        <v>715</v>
      </c>
    </row>
    <row r="5" spans="1:10">
      <c r="A5" t="s">
        <v>102</v>
      </c>
      <c r="B5" s="30">
        <v>15.04048108628675</v>
      </c>
      <c r="C5" s="30">
        <v>0.84423936366074848</v>
      </c>
      <c r="D5" s="30">
        <v>86.558966990626317</v>
      </c>
      <c r="E5" s="70">
        <v>1000</v>
      </c>
      <c r="F5" s="71" t="s">
        <v>195</v>
      </c>
      <c r="G5" s="71" t="s">
        <v>196</v>
      </c>
      <c r="H5">
        <v>10</v>
      </c>
      <c r="I5">
        <v>1</v>
      </c>
      <c r="J5">
        <v>75</v>
      </c>
    </row>
    <row r="6" spans="1:10">
      <c r="A6" t="s">
        <v>53</v>
      </c>
      <c r="B6" s="30">
        <v>7.233409591942392</v>
      </c>
      <c r="C6" s="30">
        <v>1.9840600207362813</v>
      </c>
      <c r="D6" s="30">
        <v>19.755311033561153</v>
      </c>
      <c r="E6" s="70">
        <v>1000</v>
      </c>
      <c r="F6" s="71" t="s">
        <v>195</v>
      </c>
      <c r="G6" s="71" t="s">
        <v>196</v>
      </c>
      <c r="H6">
        <v>18</v>
      </c>
      <c r="I6">
        <v>3</v>
      </c>
      <c r="J6">
        <v>442</v>
      </c>
    </row>
    <row r="7" spans="1:10">
      <c r="A7" t="s">
        <v>161</v>
      </c>
      <c r="B7" s="30">
        <v>23.435547615628078</v>
      </c>
      <c r="C7" s="30">
        <v>1.2706128906242771</v>
      </c>
      <c r="D7" s="30">
        <v>142.16348934698595</v>
      </c>
      <c r="E7" s="70">
        <v>1000</v>
      </c>
      <c r="F7" s="71" t="s">
        <v>195</v>
      </c>
      <c r="G7" s="71" t="s">
        <v>196</v>
      </c>
      <c r="H7">
        <v>12</v>
      </c>
      <c r="I7">
        <v>1</v>
      </c>
      <c r="J7">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06EA-1F70-4C87-96AC-4977CA1BD6C1}">
  <dimension ref="A1:J12"/>
  <sheetViews>
    <sheetView workbookViewId="0">
      <selection activeCell="A5" sqref="A5:B12"/>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30</v>
      </c>
      <c r="B1" s="54" t="s">
        <v>184</v>
      </c>
      <c r="C1" s="54" t="s">
        <v>185</v>
      </c>
      <c r="D1" s="54" t="s">
        <v>186</v>
      </c>
      <c r="E1" s="48" t="s">
        <v>187</v>
      </c>
      <c r="F1" s="48" t="s">
        <v>188</v>
      </c>
      <c r="G1" s="48" t="s">
        <v>189</v>
      </c>
      <c r="H1" s="48" t="s">
        <v>190</v>
      </c>
      <c r="I1" s="48" t="s">
        <v>191</v>
      </c>
      <c r="J1" s="48" t="s">
        <v>192</v>
      </c>
    </row>
    <row r="2" spans="1:10">
      <c r="A2" t="s">
        <v>40</v>
      </c>
      <c r="B2" s="30">
        <v>0</v>
      </c>
      <c r="C2" s="30">
        <v>0</v>
      </c>
      <c r="D2" s="30">
        <v>100.71881000582545</v>
      </c>
      <c r="E2" s="70">
        <v>1000</v>
      </c>
      <c r="F2" s="71" t="s">
        <v>193</v>
      </c>
      <c r="G2" s="71" t="s">
        <v>194</v>
      </c>
      <c r="H2">
        <v>5</v>
      </c>
      <c r="I2">
        <v>0</v>
      </c>
      <c r="J2">
        <v>26</v>
      </c>
    </row>
    <row r="3" spans="1:10">
      <c r="A3" t="s">
        <v>140</v>
      </c>
      <c r="B3" s="30">
        <v>0</v>
      </c>
      <c r="C3" s="30">
        <v>0</v>
      </c>
      <c r="D3" s="30">
        <v>793.45068562271626</v>
      </c>
      <c r="E3" s="70">
        <v>1000</v>
      </c>
      <c r="F3" s="71" t="s">
        <v>193</v>
      </c>
      <c r="G3" s="71" t="s">
        <v>194</v>
      </c>
      <c r="H3">
        <v>1</v>
      </c>
      <c r="I3">
        <v>0</v>
      </c>
      <c r="J3">
        <v>1</v>
      </c>
    </row>
    <row r="4" spans="1:10">
      <c r="A4" t="s">
        <v>136</v>
      </c>
      <c r="B4" s="30">
        <v>128.87737610974818</v>
      </c>
      <c r="C4" s="30">
        <v>8.4302136025979539</v>
      </c>
      <c r="D4" s="30">
        <v>657.75453474269455</v>
      </c>
      <c r="E4" s="70">
        <v>1000</v>
      </c>
      <c r="F4" s="71" t="s">
        <v>195</v>
      </c>
      <c r="G4" s="71" t="s">
        <v>196</v>
      </c>
      <c r="H4">
        <v>2</v>
      </c>
      <c r="I4">
        <v>1</v>
      </c>
      <c r="J4">
        <v>8</v>
      </c>
    </row>
    <row r="5" spans="1:10">
      <c r="A5" t="s">
        <v>91</v>
      </c>
      <c r="B5" s="30">
        <v>0</v>
      </c>
      <c r="C5" s="30">
        <v>0</v>
      </c>
      <c r="D5" s="30">
        <v>4.8833956867026727</v>
      </c>
      <c r="E5" s="70">
        <v>1000</v>
      </c>
      <c r="F5" s="71" t="s">
        <v>193</v>
      </c>
      <c r="G5" s="71" t="s">
        <v>194</v>
      </c>
      <c r="H5">
        <v>21</v>
      </c>
      <c r="I5">
        <v>0</v>
      </c>
      <c r="J5">
        <v>700</v>
      </c>
    </row>
    <row r="6" spans="1:10">
      <c r="A6" t="s">
        <v>89</v>
      </c>
      <c r="B6" s="30">
        <v>0</v>
      </c>
      <c r="C6" s="30">
        <v>0</v>
      </c>
      <c r="D6" s="30">
        <v>178.75943599363214</v>
      </c>
      <c r="E6" s="70">
        <v>1000</v>
      </c>
      <c r="F6" s="71" t="s">
        <v>193</v>
      </c>
      <c r="G6" s="71" t="s">
        <v>194</v>
      </c>
      <c r="H6">
        <v>7</v>
      </c>
      <c r="I6">
        <v>0</v>
      </c>
      <c r="J6">
        <v>15</v>
      </c>
    </row>
    <row r="7" spans="1:10">
      <c r="A7" t="s">
        <v>146</v>
      </c>
      <c r="B7" s="30">
        <v>15.991666696207641</v>
      </c>
      <c r="C7" s="30">
        <v>0.9151333355331388</v>
      </c>
      <c r="D7" s="30">
        <v>94.786600695421839</v>
      </c>
      <c r="E7" s="70">
        <v>1000</v>
      </c>
      <c r="F7" s="71" t="s">
        <v>195</v>
      </c>
      <c r="G7" s="71" t="s">
        <v>196</v>
      </c>
      <c r="H7">
        <v>7</v>
      </c>
      <c r="I7">
        <v>1</v>
      </c>
      <c r="J7">
        <v>70</v>
      </c>
    </row>
    <row r="8" spans="1:10">
      <c r="A8" t="s">
        <v>103</v>
      </c>
      <c r="B8" s="30">
        <v>0</v>
      </c>
      <c r="C8" s="30">
        <v>0</v>
      </c>
      <c r="D8" s="30">
        <v>367.00316941344209</v>
      </c>
      <c r="E8" s="70">
        <v>1000</v>
      </c>
      <c r="F8" s="71" t="s">
        <v>193</v>
      </c>
      <c r="G8" s="71" t="s">
        <v>194</v>
      </c>
      <c r="H8">
        <v>3</v>
      </c>
      <c r="I8">
        <v>0</v>
      </c>
      <c r="J8">
        <v>5</v>
      </c>
    </row>
    <row r="9" spans="1:10">
      <c r="A9" t="s">
        <v>58</v>
      </c>
      <c r="B9" s="30">
        <v>7.4004953540624561</v>
      </c>
      <c r="C9" s="30">
        <v>2.0382016713718878</v>
      </c>
      <c r="D9" s="30">
        <v>20.221205758975096</v>
      </c>
      <c r="E9" s="70">
        <v>1000</v>
      </c>
      <c r="F9" s="71" t="s">
        <v>195</v>
      </c>
      <c r="G9" s="71" t="s">
        <v>196</v>
      </c>
      <c r="H9">
        <v>14</v>
      </c>
      <c r="I9">
        <v>3</v>
      </c>
      <c r="J9">
        <v>432</v>
      </c>
    </row>
    <row r="10" spans="1:10">
      <c r="A10" t="s">
        <v>62</v>
      </c>
      <c r="B10" s="30">
        <v>0</v>
      </c>
      <c r="C10" s="30">
        <v>0</v>
      </c>
      <c r="D10" s="30">
        <v>229.98390404576159</v>
      </c>
      <c r="E10" s="70">
        <v>1000</v>
      </c>
      <c r="F10" s="71" t="s">
        <v>193</v>
      </c>
      <c r="G10" s="71" t="s">
        <v>194</v>
      </c>
      <c r="H10">
        <v>4</v>
      </c>
      <c r="I10">
        <v>0</v>
      </c>
      <c r="J10">
        <v>10</v>
      </c>
    </row>
    <row r="11" spans="1:10">
      <c r="A11" t="s">
        <v>166</v>
      </c>
      <c r="B11" s="30">
        <v>26.554842921472762</v>
      </c>
      <c r="C11" s="30">
        <v>1.5238894895902104</v>
      </c>
      <c r="D11" s="30">
        <v>179.25055501892183</v>
      </c>
      <c r="E11" s="70">
        <v>1000</v>
      </c>
      <c r="F11" s="71" t="s">
        <v>195</v>
      </c>
      <c r="G11" s="71" t="s">
        <v>196</v>
      </c>
      <c r="H11">
        <v>7</v>
      </c>
      <c r="I11">
        <v>1</v>
      </c>
      <c r="J11">
        <v>44</v>
      </c>
    </row>
    <row r="12" spans="1:10">
      <c r="A12" t="s">
        <v>162</v>
      </c>
      <c r="B12" s="30">
        <v>0</v>
      </c>
      <c r="C12" s="30">
        <v>0</v>
      </c>
      <c r="D12" s="30">
        <v>327.65836796131907</v>
      </c>
      <c r="E12" s="70">
        <v>1000</v>
      </c>
      <c r="F12" s="71" t="s">
        <v>193</v>
      </c>
      <c r="G12" s="71" t="s">
        <v>194</v>
      </c>
      <c r="H12">
        <v>5</v>
      </c>
      <c r="I12">
        <v>0</v>
      </c>
      <c r="J12">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033F-029C-4CFB-8D82-C95BF9B05620}">
  <dimension ref="A1:J6"/>
  <sheetViews>
    <sheetView workbookViewId="0">
      <selection activeCell="A2" sqref="A2:B6"/>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29</v>
      </c>
      <c r="B1" s="54" t="s">
        <v>184</v>
      </c>
      <c r="C1" s="54" t="s">
        <v>185</v>
      </c>
      <c r="D1" s="54" t="s">
        <v>186</v>
      </c>
      <c r="E1" s="48" t="s">
        <v>187</v>
      </c>
      <c r="F1" s="48" t="s">
        <v>188</v>
      </c>
      <c r="G1" s="48" t="s">
        <v>189</v>
      </c>
      <c r="H1" s="48" t="s">
        <v>190</v>
      </c>
      <c r="I1" s="48" t="s">
        <v>191</v>
      </c>
      <c r="J1" s="48" t="s">
        <v>192</v>
      </c>
    </row>
    <row r="2" spans="1:10">
      <c r="A2" t="s">
        <v>40</v>
      </c>
      <c r="B2" s="30">
        <v>0</v>
      </c>
      <c r="C2" s="30">
        <v>0</v>
      </c>
      <c r="D2" s="30">
        <v>100.71881000582545</v>
      </c>
      <c r="E2" s="70">
        <v>1000</v>
      </c>
      <c r="F2" s="71" t="s">
        <v>193</v>
      </c>
      <c r="G2" s="71" t="s">
        <v>194</v>
      </c>
      <c r="H2">
        <v>5</v>
      </c>
      <c r="I2">
        <v>0</v>
      </c>
      <c r="J2">
        <v>26</v>
      </c>
    </row>
    <row r="3" spans="1:10">
      <c r="A3" t="s">
        <v>57</v>
      </c>
      <c r="B3" s="30">
        <v>4.2079501290340184</v>
      </c>
      <c r="C3" s="30">
        <v>1.5923671955194829</v>
      </c>
      <c r="D3" s="30">
        <v>9.2779233038705087</v>
      </c>
      <c r="E3" s="70">
        <v>1000</v>
      </c>
      <c r="F3" s="71" t="s">
        <v>195</v>
      </c>
      <c r="G3" s="71" t="s">
        <v>196</v>
      </c>
      <c r="H3">
        <v>49</v>
      </c>
      <c r="I3">
        <v>5</v>
      </c>
      <c r="J3">
        <v>1246</v>
      </c>
    </row>
    <row r="4" spans="1:10">
      <c r="A4" t="s">
        <v>61</v>
      </c>
      <c r="B4" s="30">
        <v>0</v>
      </c>
      <c r="C4" s="30">
        <v>0</v>
      </c>
      <c r="D4" s="30">
        <v>88.568719169575644</v>
      </c>
      <c r="E4" s="70">
        <v>1000</v>
      </c>
      <c r="F4" s="71" t="s">
        <v>193</v>
      </c>
      <c r="G4" s="71" t="s">
        <v>194</v>
      </c>
      <c r="H4">
        <v>19</v>
      </c>
      <c r="I4">
        <v>0</v>
      </c>
      <c r="J4">
        <v>37</v>
      </c>
    </row>
    <row r="5" spans="1:10">
      <c r="A5" t="s">
        <v>140</v>
      </c>
      <c r="B5" s="30">
        <v>0</v>
      </c>
      <c r="C5" s="30">
        <v>0</v>
      </c>
      <c r="D5" s="30">
        <v>793.45068562271626</v>
      </c>
      <c r="E5" s="70">
        <v>1000</v>
      </c>
      <c r="F5" s="71" t="s">
        <v>193</v>
      </c>
      <c r="G5" s="71" t="s">
        <v>194</v>
      </c>
      <c r="H5">
        <v>1</v>
      </c>
      <c r="I5">
        <v>0</v>
      </c>
      <c r="J5">
        <v>1</v>
      </c>
    </row>
    <row r="6" spans="1:10">
      <c r="A6" t="s">
        <v>136</v>
      </c>
      <c r="B6" s="30">
        <v>128.87737610974818</v>
      </c>
      <c r="C6" s="30">
        <v>8.4302136025979539</v>
      </c>
      <c r="D6" s="30">
        <v>657.75453474269455</v>
      </c>
      <c r="E6" s="70">
        <v>1000</v>
      </c>
      <c r="F6" s="71" t="s">
        <v>195</v>
      </c>
      <c r="G6" s="71" t="s">
        <v>196</v>
      </c>
      <c r="H6">
        <v>2</v>
      </c>
      <c r="I6">
        <v>1</v>
      </c>
      <c r="J6">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D40" zoomScaleNormal="100" workbookViewId="0">
      <selection activeCell="J18" sqref="J18"/>
    </sheetView>
  </sheetViews>
  <sheetFormatPr defaultRowHeight="15"/>
  <cols>
    <col min="2" max="2" width="12.5703125" style="8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c r="A1" s="69" t="s">
        <v>13</v>
      </c>
      <c r="B1" s="79" t="s">
        <v>14</v>
      </c>
      <c r="C1" s="39" t="s">
        <v>197</v>
      </c>
      <c r="D1" s="39" t="s">
        <v>198</v>
      </c>
      <c r="E1" s="39" t="s">
        <v>18</v>
      </c>
      <c r="F1" s="39" t="s">
        <v>199</v>
      </c>
      <c r="G1" s="39" t="s">
        <v>200</v>
      </c>
      <c r="H1" s="39" t="s">
        <v>201</v>
      </c>
      <c r="I1" s="39" t="s">
        <v>202</v>
      </c>
      <c r="J1" s="69" t="s">
        <v>203</v>
      </c>
      <c r="K1" s="69" t="s">
        <v>204</v>
      </c>
    </row>
    <row r="2" spans="1:28" s="53" customFormat="1">
      <c r="A2">
        <v>36</v>
      </c>
      <c r="B2" s="80">
        <v>44445</v>
      </c>
      <c r="C2" t="s">
        <v>205</v>
      </c>
      <c r="D2" t="s">
        <v>206</v>
      </c>
      <c r="E2" t="s">
        <v>33</v>
      </c>
      <c r="F2" t="s">
        <v>207</v>
      </c>
      <c r="G2">
        <v>3</v>
      </c>
      <c r="H2" t="s">
        <v>208</v>
      </c>
      <c r="I2" t="s">
        <v>48</v>
      </c>
      <c r="J2">
        <f>IF(F2="Culex tarsalis",G2,0)</f>
        <v>3</v>
      </c>
      <c r="K2">
        <f>IF(F2="Culex pipiens",G2,0)</f>
        <v>0</v>
      </c>
      <c r="L2"/>
      <c r="M2"/>
      <c r="N2"/>
      <c r="O2"/>
      <c r="P2"/>
      <c r="Q2"/>
      <c r="R2"/>
      <c r="S2"/>
      <c r="T2"/>
      <c r="U2"/>
      <c r="V2"/>
      <c r="W2"/>
      <c r="X2"/>
      <c r="Y2"/>
      <c r="Z2"/>
      <c r="AA2"/>
      <c r="AB2"/>
    </row>
    <row r="3" spans="1:28">
      <c r="A3">
        <v>36</v>
      </c>
      <c r="B3" s="80">
        <v>44445</v>
      </c>
      <c r="C3" t="s">
        <v>205</v>
      </c>
      <c r="D3" t="s">
        <v>209</v>
      </c>
      <c r="E3" t="s">
        <v>33</v>
      </c>
      <c r="F3" t="s">
        <v>207</v>
      </c>
      <c r="G3">
        <v>5</v>
      </c>
      <c r="H3" t="s">
        <v>208</v>
      </c>
      <c r="I3" t="s">
        <v>46</v>
      </c>
      <c r="J3">
        <f>IF(F3="Culex tarsalis",G3,0)</f>
        <v>5</v>
      </c>
      <c r="K3">
        <f>IF(F3="Culex pipiens",G3,0)</f>
        <v>0</v>
      </c>
    </row>
    <row r="4" spans="1:28">
      <c r="A4">
        <v>36</v>
      </c>
      <c r="B4" s="80">
        <v>44445</v>
      </c>
      <c r="C4" t="s">
        <v>205</v>
      </c>
      <c r="D4" t="s">
        <v>210</v>
      </c>
      <c r="E4" t="s">
        <v>33</v>
      </c>
      <c r="F4" t="s">
        <v>207</v>
      </c>
      <c r="G4">
        <v>7</v>
      </c>
      <c r="H4" t="s">
        <v>208</v>
      </c>
      <c r="I4" t="s">
        <v>42</v>
      </c>
      <c r="J4">
        <f>IF(F4="Culex tarsalis",G4,0)</f>
        <v>7</v>
      </c>
      <c r="K4">
        <f>IF(F4="Culex pipiens",G4,0)</f>
        <v>0</v>
      </c>
    </row>
    <row r="5" spans="1:28">
      <c r="A5">
        <v>36</v>
      </c>
      <c r="B5" s="80">
        <v>44445</v>
      </c>
      <c r="C5" t="s">
        <v>205</v>
      </c>
      <c r="D5" t="s">
        <v>211</v>
      </c>
      <c r="E5" t="s">
        <v>33</v>
      </c>
      <c r="F5" t="s">
        <v>207</v>
      </c>
      <c r="G5">
        <v>3</v>
      </c>
      <c r="H5" t="s">
        <v>208</v>
      </c>
      <c r="I5" t="s">
        <v>44</v>
      </c>
      <c r="J5">
        <f>IF(F5="Culex tarsalis",G5,0)</f>
        <v>3</v>
      </c>
      <c r="K5">
        <f>IF(F5="Culex pipiens",G5,0)</f>
        <v>0</v>
      </c>
    </row>
    <row r="6" spans="1:28">
      <c r="A6">
        <v>36</v>
      </c>
      <c r="B6" s="80">
        <v>44445</v>
      </c>
      <c r="C6" t="s">
        <v>205</v>
      </c>
      <c r="D6" t="s">
        <v>212</v>
      </c>
      <c r="E6" t="s">
        <v>33</v>
      </c>
      <c r="F6" t="s">
        <v>207</v>
      </c>
      <c r="G6">
        <v>8</v>
      </c>
      <c r="H6" t="s">
        <v>208</v>
      </c>
      <c r="I6" t="s">
        <v>34</v>
      </c>
      <c r="J6">
        <f>IF(F6="Culex tarsalis",G6,0)</f>
        <v>8</v>
      </c>
      <c r="K6">
        <f>IF(F6="Culex pipiens",G6,0)</f>
        <v>0</v>
      </c>
    </row>
    <row r="7" spans="1:28">
      <c r="A7">
        <v>36</v>
      </c>
      <c r="B7" s="80">
        <v>44445</v>
      </c>
      <c r="C7" t="s">
        <v>213</v>
      </c>
      <c r="D7" t="s">
        <v>214</v>
      </c>
      <c r="E7" t="s">
        <v>88</v>
      </c>
      <c r="F7" t="s">
        <v>207</v>
      </c>
      <c r="G7">
        <v>2</v>
      </c>
      <c r="H7" t="s">
        <v>208</v>
      </c>
      <c r="I7" t="s">
        <v>105</v>
      </c>
      <c r="J7">
        <f>IF(F7="Culex tarsalis",G7,0)</f>
        <v>2</v>
      </c>
      <c r="K7">
        <f>IF(F7="Culex pipiens",G7,0)</f>
        <v>0</v>
      </c>
    </row>
    <row r="8" spans="1:28">
      <c r="A8">
        <v>36</v>
      </c>
      <c r="B8" s="80">
        <v>44445</v>
      </c>
      <c r="C8" t="s">
        <v>213</v>
      </c>
      <c r="D8" t="s">
        <v>215</v>
      </c>
      <c r="E8" t="s">
        <v>88</v>
      </c>
      <c r="F8" t="s">
        <v>207</v>
      </c>
      <c r="G8">
        <v>2</v>
      </c>
      <c r="H8" t="s">
        <v>208</v>
      </c>
      <c r="I8" t="s">
        <v>97</v>
      </c>
      <c r="J8">
        <f>IF(F8="Culex tarsalis",G8,0)</f>
        <v>2</v>
      </c>
      <c r="K8">
        <f>IF(F8="Culex pipiens",G8,0)</f>
        <v>0</v>
      </c>
    </row>
    <row r="9" spans="1:28">
      <c r="A9">
        <v>36</v>
      </c>
      <c r="B9" s="82">
        <v>44445</v>
      </c>
      <c r="C9" t="s">
        <v>213</v>
      </c>
      <c r="D9" t="s">
        <v>216</v>
      </c>
      <c r="E9" t="s">
        <v>88</v>
      </c>
      <c r="F9" t="s">
        <v>207</v>
      </c>
      <c r="G9">
        <v>1</v>
      </c>
      <c r="H9" t="s">
        <v>208</v>
      </c>
      <c r="I9" t="s">
        <v>114</v>
      </c>
      <c r="J9">
        <f>IF(F9="Culex tarsalis",G9,0)</f>
        <v>1</v>
      </c>
      <c r="K9">
        <f>IF(F9="Culex pipiens",G9,0)</f>
        <v>0</v>
      </c>
    </row>
    <row r="10" spans="1:28" s="53" customFormat="1">
      <c r="A10">
        <v>36</v>
      </c>
      <c r="B10" s="82">
        <v>44445</v>
      </c>
      <c r="C10" t="s">
        <v>213</v>
      </c>
      <c r="D10" t="s">
        <v>216</v>
      </c>
      <c r="E10" t="s">
        <v>88</v>
      </c>
      <c r="F10" t="s">
        <v>217</v>
      </c>
      <c r="G10">
        <v>2</v>
      </c>
      <c r="H10" t="s">
        <v>208</v>
      </c>
      <c r="I10" t="s">
        <v>114</v>
      </c>
      <c r="J10">
        <f>IF(F10="Culex tarsalis",G10,0)</f>
        <v>0</v>
      </c>
      <c r="K10">
        <f>IF(F10="Culex pipiens",G10,0)</f>
        <v>2</v>
      </c>
      <c r="L10"/>
      <c r="M10"/>
      <c r="N10"/>
      <c r="O10"/>
      <c r="P10"/>
      <c r="Q10"/>
      <c r="R10"/>
      <c r="S10"/>
      <c r="T10"/>
      <c r="U10"/>
      <c r="V10"/>
      <c r="W10"/>
      <c r="X10"/>
      <c r="Y10"/>
      <c r="Z10"/>
      <c r="AA10"/>
      <c r="AB10"/>
    </row>
    <row r="11" spans="1:28">
      <c r="A11">
        <v>36</v>
      </c>
      <c r="B11" s="80">
        <v>44445</v>
      </c>
      <c r="C11" t="s">
        <v>213</v>
      </c>
      <c r="D11" t="s">
        <v>218</v>
      </c>
      <c r="E11" t="s">
        <v>88</v>
      </c>
      <c r="F11" t="s">
        <v>207</v>
      </c>
      <c r="G11">
        <v>4</v>
      </c>
      <c r="H11" t="s">
        <v>208</v>
      </c>
      <c r="I11" t="s">
        <v>117</v>
      </c>
      <c r="J11">
        <f>IF(F11="Culex tarsalis",G11,0)</f>
        <v>4</v>
      </c>
      <c r="K11">
        <f>IF(F11="Culex pipiens",G11,0)</f>
        <v>0</v>
      </c>
    </row>
    <row r="12" spans="1:28">
      <c r="A12">
        <v>36</v>
      </c>
      <c r="B12" s="82">
        <v>44445</v>
      </c>
      <c r="C12" t="s">
        <v>213</v>
      </c>
      <c r="D12" t="s">
        <v>218</v>
      </c>
      <c r="E12" t="s">
        <v>88</v>
      </c>
      <c r="F12" t="s">
        <v>217</v>
      </c>
      <c r="G12">
        <v>81</v>
      </c>
      <c r="H12" t="s">
        <v>208</v>
      </c>
      <c r="I12" t="s">
        <v>117</v>
      </c>
      <c r="J12">
        <f>IF(F12="Culex tarsalis",G12,0)</f>
        <v>0</v>
      </c>
      <c r="K12">
        <f>IF(F12="Culex pipiens",G12,0)</f>
        <v>81</v>
      </c>
    </row>
    <row r="13" spans="1:28">
      <c r="A13">
        <v>36</v>
      </c>
      <c r="B13" s="80">
        <v>44445</v>
      </c>
      <c r="C13" t="s">
        <v>213</v>
      </c>
      <c r="D13" t="s">
        <v>219</v>
      </c>
      <c r="E13" t="s">
        <v>88</v>
      </c>
      <c r="F13" t="s">
        <v>207</v>
      </c>
      <c r="G13">
        <v>3</v>
      </c>
      <c r="H13" t="s">
        <v>208</v>
      </c>
      <c r="I13" t="s">
        <v>95</v>
      </c>
      <c r="J13">
        <f>IF(F13="Culex tarsalis",G13,0)</f>
        <v>3</v>
      </c>
      <c r="K13">
        <f>IF(F13="Culex pipiens",G13,0)</f>
        <v>0</v>
      </c>
    </row>
    <row r="14" spans="1:28" s="53" customFormat="1">
      <c r="A14">
        <v>36</v>
      </c>
      <c r="B14" s="82">
        <v>44445</v>
      </c>
      <c r="C14" t="s">
        <v>213</v>
      </c>
      <c r="D14" t="s">
        <v>220</v>
      </c>
      <c r="E14" t="s">
        <v>88</v>
      </c>
      <c r="F14" t="s">
        <v>207</v>
      </c>
      <c r="G14">
        <v>2</v>
      </c>
      <c r="H14" t="s">
        <v>208</v>
      </c>
      <c r="I14" t="s">
        <v>87</v>
      </c>
      <c r="J14">
        <f>IF(F14="Culex tarsalis",G14,0)</f>
        <v>2</v>
      </c>
      <c r="K14">
        <f>IF(F14="Culex pipiens",G14,0)</f>
        <v>0</v>
      </c>
      <c r="L14"/>
      <c r="M14"/>
      <c r="N14"/>
      <c r="O14"/>
      <c r="P14"/>
      <c r="Q14"/>
      <c r="R14"/>
      <c r="S14"/>
      <c r="T14"/>
      <c r="U14"/>
      <c r="V14"/>
      <c r="W14"/>
      <c r="X14"/>
      <c r="Y14"/>
      <c r="Z14"/>
      <c r="AA14"/>
      <c r="AB14"/>
    </row>
    <row r="15" spans="1:28" s="53" customFormat="1">
      <c r="A15">
        <v>36</v>
      </c>
      <c r="B15" s="80">
        <v>44445</v>
      </c>
      <c r="C15" t="s">
        <v>213</v>
      </c>
      <c r="D15" t="s">
        <v>220</v>
      </c>
      <c r="E15" t="s">
        <v>88</v>
      </c>
      <c r="F15" t="s">
        <v>217</v>
      </c>
      <c r="G15">
        <v>4</v>
      </c>
      <c r="H15" t="s">
        <v>208</v>
      </c>
      <c r="I15" t="s">
        <v>87</v>
      </c>
      <c r="J15">
        <f>IF(F15="Culex tarsalis",G15,0)</f>
        <v>0</v>
      </c>
      <c r="K15">
        <f>IF(F15="Culex pipiens",G15,0)</f>
        <v>4</v>
      </c>
      <c r="L15"/>
      <c r="M15"/>
      <c r="N15"/>
      <c r="O15"/>
      <c r="P15"/>
      <c r="Q15"/>
      <c r="R15"/>
      <c r="S15"/>
      <c r="T15"/>
      <c r="U15"/>
      <c r="V15"/>
      <c r="W15"/>
      <c r="X15"/>
      <c r="Y15"/>
      <c r="Z15"/>
      <c r="AA15"/>
      <c r="AB15"/>
    </row>
    <row r="16" spans="1:28">
      <c r="A16">
        <v>36</v>
      </c>
      <c r="B16" s="80">
        <v>44445</v>
      </c>
      <c r="C16" t="s">
        <v>213</v>
      </c>
      <c r="D16" t="s">
        <v>221</v>
      </c>
      <c r="E16" t="s">
        <v>88</v>
      </c>
      <c r="F16" t="s">
        <v>217</v>
      </c>
      <c r="G16">
        <v>576</v>
      </c>
      <c r="H16" t="s">
        <v>208</v>
      </c>
      <c r="I16" t="s">
        <v>121</v>
      </c>
      <c r="J16">
        <f>IF(F16="Culex tarsalis",G16,0)</f>
        <v>0</v>
      </c>
      <c r="K16">
        <f>IF(F16="Culex pipiens",G16,0)</f>
        <v>576</v>
      </c>
      <c r="Y16" s="53"/>
    </row>
    <row r="17" spans="1:11">
      <c r="A17">
        <v>36</v>
      </c>
      <c r="B17" s="80">
        <v>44445</v>
      </c>
      <c r="C17" t="s">
        <v>213</v>
      </c>
      <c r="D17" t="s">
        <v>222</v>
      </c>
      <c r="E17" t="s">
        <v>88</v>
      </c>
      <c r="F17" t="s">
        <v>217</v>
      </c>
      <c r="G17">
        <v>2</v>
      </c>
      <c r="H17" t="s">
        <v>208</v>
      </c>
      <c r="I17" t="s">
        <v>99</v>
      </c>
      <c r="J17">
        <f>IF(F17="Culex tarsalis",G17,0)</f>
        <v>0</v>
      </c>
      <c r="K17">
        <f>IF(F17="Culex pipiens",G17,0)</f>
        <v>2</v>
      </c>
    </row>
    <row r="18" spans="1:11">
      <c r="A18">
        <v>36</v>
      </c>
      <c r="B18" s="80">
        <v>44446</v>
      </c>
      <c r="C18" t="s">
        <v>213</v>
      </c>
      <c r="D18" t="s">
        <v>223</v>
      </c>
      <c r="E18" t="s">
        <v>102</v>
      </c>
      <c r="F18" t="s">
        <v>207</v>
      </c>
      <c r="G18">
        <v>1</v>
      </c>
      <c r="H18" t="s">
        <v>208</v>
      </c>
      <c r="I18" t="s">
        <v>144</v>
      </c>
      <c r="J18">
        <f>IF(F18="Culex tarsalis",G18,0)</f>
        <v>1</v>
      </c>
      <c r="K18">
        <f>IF(F18="Culex pipiens",G18,0)</f>
        <v>0</v>
      </c>
    </row>
    <row r="19" spans="1:11">
      <c r="A19">
        <v>36</v>
      </c>
      <c r="B19" s="80">
        <v>44446</v>
      </c>
      <c r="C19" t="s">
        <v>213</v>
      </c>
      <c r="D19" t="s">
        <v>223</v>
      </c>
      <c r="E19" t="s">
        <v>102</v>
      </c>
      <c r="F19" t="s">
        <v>217</v>
      </c>
      <c r="G19">
        <v>10</v>
      </c>
      <c r="H19" t="s">
        <v>208</v>
      </c>
      <c r="I19" t="s">
        <v>144</v>
      </c>
      <c r="J19">
        <f>IF(F19="Culex tarsalis",G19,0)</f>
        <v>0</v>
      </c>
      <c r="K19">
        <f>IF(F19="Culex pipiens",G19,0)</f>
        <v>10</v>
      </c>
    </row>
    <row r="20" spans="1:11">
      <c r="A20">
        <v>36</v>
      </c>
      <c r="B20" s="80">
        <v>44446</v>
      </c>
      <c r="C20" t="s">
        <v>213</v>
      </c>
      <c r="D20" t="s">
        <v>224</v>
      </c>
      <c r="E20" t="s">
        <v>102</v>
      </c>
      <c r="F20" t="s">
        <v>217</v>
      </c>
      <c r="G20">
        <v>3</v>
      </c>
      <c r="H20" t="s">
        <v>208</v>
      </c>
      <c r="I20" t="s">
        <v>152</v>
      </c>
      <c r="J20">
        <f>IF(F20="Culex tarsalis",G20,0)</f>
        <v>0</v>
      </c>
      <c r="K20">
        <f>IF(F20="Culex pipiens",G20,0)</f>
        <v>3</v>
      </c>
    </row>
    <row r="21" spans="1:11">
      <c r="A21">
        <v>36</v>
      </c>
      <c r="B21" s="80">
        <v>44446</v>
      </c>
      <c r="C21" t="s">
        <v>213</v>
      </c>
      <c r="D21" t="s">
        <v>225</v>
      </c>
      <c r="E21" t="s">
        <v>102</v>
      </c>
      <c r="F21" t="s">
        <v>217</v>
      </c>
      <c r="G21">
        <v>1</v>
      </c>
      <c r="H21" t="s">
        <v>208</v>
      </c>
      <c r="I21" t="s">
        <v>150</v>
      </c>
      <c r="J21">
        <f>IF(F21="Culex tarsalis",G21,0)</f>
        <v>0</v>
      </c>
      <c r="K21">
        <f>IF(F21="Culex pipiens",G21,0)</f>
        <v>1</v>
      </c>
    </row>
    <row r="22" spans="1:11">
      <c r="A22">
        <v>36</v>
      </c>
      <c r="B22" s="82">
        <v>44445</v>
      </c>
      <c r="C22" t="s">
        <v>213</v>
      </c>
      <c r="D22" t="s">
        <v>226</v>
      </c>
      <c r="E22" t="s">
        <v>102</v>
      </c>
      <c r="F22" t="s">
        <v>207</v>
      </c>
      <c r="G22">
        <v>1</v>
      </c>
      <c r="H22" t="s">
        <v>208</v>
      </c>
      <c r="I22" t="s">
        <v>227</v>
      </c>
      <c r="J22">
        <f>IF(F22="Culex tarsalis",G22,0)</f>
        <v>1</v>
      </c>
      <c r="K22">
        <f>IF(F22="Culex pipiens",G22,0)</f>
        <v>0</v>
      </c>
    </row>
    <row r="23" spans="1:11">
      <c r="A23">
        <v>36</v>
      </c>
      <c r="B23" s="80">
        <v>44446</v>
      </c>
      <c r="C23" t="s">
        <v>213</v>
      </c>
      <c r="D23" t="s">
        <v>228</v>
      </c>
      <c r="E23" t="s">
        <v>102</v>
      </c>
      <c r="F23" t="s">
        <v>207</v>
      </c>
      <c r="G23">
        <v>3</v>
      </c>
      <c r="H23" t="s">
        <v>208</v>
      </c>
      <c r="I23" t="s">
        <v>142</v>
      </c>
      <c r="J23">
        <f>IF(F23="Culex tarsalis",G23,0)</f>
        <v>3</v>
      </c>
      <c r="K23">
        <f>IF(F23="Culex pipiens",G23,0)</f>
        <v>0</v>
      </c>
    </row>
    <row r="24" spans="1:11">
      <c r="A24">
        <v>36</v>
      </c>
      <c r="B24" s="80">
        <v>44446</v>
      </c>
      <c r="C24" t="s">
        <v>213</v>
      </c>
      <c r="D24" t="s">
        <v>229</v>
      </c>
      <c r="E24" t="s">
        <v>102</v>
      </c>
      <c r="F24" t="s">
        <v>217</v>
      </c>
      <c r="G24">
        <v>2</v>
      </c>
      <c r="H24" t="s">
        <v>208</v>
      </c>
      <c r="I24" t="s">
        <v>154</v>
      </c>
      <c r="J24">
        <f>IF(F24="Culex tarsalis",G24,0)</f>
        <v>0</v>
      </c>
      <c r="K24">
        <f>IF(F24="Culex pipiens",G24,0)</f>
        <v>2</v>
      </c>
    </row>
    <row r="25" spans="1:11">
      <c r="A25">
        <v>36</v>
      </c>
      <c r="B25" s="80">
        <v>44446</v>
      </c>
      <c r="C25" t="s">
        <v>213</v>
      </c>
      <c r="D25" t="s">
        <v>230</v>
      </c>
      <c r="E25" t="s">
        <v>102</v>
      </c>
      <c r="F25" t="s">
        <v>217</v>
      </c>
      <c r="G25">
        <v>2</v>
      </c>
      <c r="H25" t="s">
        <v>208</v>
      </c>
      <c r="I25" t="s">
        <v>158</v>
      </c>
      <c r="J25">
        <f>IF(F25="Culex tarsalis",G25,0)</f>
        <v>0</v>
      </c>
      <c r="K25">
        <f>IF(F25="Culex pipiens",G25,0)</f>
        <v>2</v>
      </c>
    </row>
    <row r="26" spans="1:11">
      <c r="A26">
        <v>36</v>
      </c>
      <c r="B26" s="80">
        <v>44445</v>
      </c>
      <c r="C26" t="s">
        <v>213</v>
      </c>
      <c r="D26" t="s">
        <v>231</v>
      </c>
      <c r="E26" t="s">
        <v>53</v>
      </c>
      <c r="F26" t="s">
        <v>217</v>
      </c>
      <c r="G26">
        <v>14</v>
      </c>
      <c r="H26" t="s">
        <v>208</v>
      </c>
      <c r="I26" t="s">
        <v>85</v>
      </c>
      <c r="J26">
        <f>IF(F26="Culex tarsalis",G26,0)</f>
        <v>0</v>
      </c>
      <c r="K26">
        <f>IF(F26="Culex pipiens",G26,0)</f>
        <v>14</v>
      </c>
    </row>
    <row r="27" spans="1:11">
      <c r="A27">
        <v>36</v>
      </c>
      <c r="B27" s="80">
        <v>44445</v>
      </c>
      <c r="C27" t="s">
        <v>213</v>
      </c>
      <c r="D27" t="s">
        <v>232</v>
      </c>
      <c r="E27" t="s">
        <v>53</v>
      </c>
      <c r="F27" t="s">
        <v>207</v>
      </c>
      <c r="G27">
        <v>1</v>
      </c>
      <c r="H27" t="s">
        <v>208</v>
      </c>
      <c r="I27" t="s">
        <v>77</v>
      </c>
      <c r="J27">
        <f>IF(F27="Culex tarsalis",G27,0)</f>
        <v>1</v>
      </c>
      <c r="K27">
        <f>IF(F27="Culex pipiens",G27,0)</f>
        <v>0</v>
      </c>
    </row>
    <row r="28" spans="1:11">
      <c r="A28">
        <v>36</v>
      </c>
      <c r="B28" s="80">
        <v>44445</v>
      </c>
      <c r="C28" t="s">
        <v>213</v>
      </c>
      <c r="D28" t="s">
        <v>232</v>
      </c>
      <c r="E28" t="s">
        <v>53</v>
      </c>
      <c r="F28" t="s">
        <v>217</v>
      </c>
      <c r="G28">
        <v>272</v>
      </c>
      <c r="H28" t="s">
        <v>208</v>
      </c>
      <c r="I28" t="s">
        <v>77</v>
      </c>
      <c r="J28">
        <f>IF(F28="Culex tarsalis",G28,0)</f>
        <v>0</v>
      </c>
      <c r="K28">
        <f>IF(F28="Culex pipiens",G28,0)</f>
        <v>272</v>
      </c>
    </row>
    <row r="29" spans="1:11">
      <c r="A29">
        <v>36</v>
      </c>
      <c r="B29" s="80">
        <v>44445</v>
      </c>
      <c r="C29" t="s">
        <v>213</v>
      </c>
      <c r="D29" t="s">
        <v>233</v>
      </c>
      <c r="E29" t="s">
        <v>53</v>
      </c>
      <c r="F29" t="s">
        <v>217</v>
      </c>
      <c r="G29">
        <v>3</v>
      </c>
      <c r="H29" t="s">
        <v>208</v>
      </c>
      <c r="I29" t="s">
        <v>75</v>
      </c>
      <c r="J29">
        <f>IF(F29="Culex tarsalis",G29,0)</f>
        <v>0</v>
      </c>
      <c r="K29">
        <f>IF(F29="Culex pipiens",G29,0)</f>
        <v>3</v>
      </c>
    </row>
    <row r="30" spans="1:11">
      <c r="A30">
        <v>36</v>
      </c>
      <c r="B30" s="80">
        <v>44445</v>
      </c>
      <c r="C30" t="s">
        <v>213</v>
      </c>
      <c r="D30" t="s">
        <v>234</v>
      </c>
      <c r="E30" t="s">
        <v>53</v>
      </c>
      <c r="F30" t="s">
        <v>207</v>
      </c>
      <c r="G30">
        <v>3</v>
      </c>
      <c r="H30" t="s">
        <v>208</v>
      </c>
      <c r="I30" t="s">
        <v>66</v>
      </c>
      <c r="J30">
        <f>IF(F30="Culex tarsalis",G30,0)</f>
        <v>3</v>
      </c>
      <c r="K30">
        <f>IF(F30="Culex pipiens",G30,0)</f>
        <v>0</v>
      </c>
    </row>
    <row r="31" spans="1:11">
      <c r="A31">
        <v>36</v>
      </c>
      <c r="B31" s="80">
        <v>44445</v>
      </c>
      <c r="C31" t="s">
        <v>213</v>
      </c>
      <c r="D31" t="s">
        <v>234</v>
      </c>
      <c r="E31" t="s">
        <v>53</v>
      </c>
      <c r="F31" t="s">
        <v>217</v>
      </c>
      <c r="G31">
        <v>20</v>
      </c>
      <c r="H31" t="s">
        <v>208</v>
      </c>
      <c r="I31" t="s">
        <v>66</v>
      </c>
      <c r="J31">
        <f>IF(F31="Culex tarsalis",G31,0)</f>
        <v>0</v>
      </c>
      <c r="K31">
        <f>IF(F31="Culex pipiens",G31,0)</f>
        <v>20</v>
      </c>
    </row>
    <row r="32" spans="1:11">
      <c r="A32">
        <v>36</v>
      </c>
      <c r="B32" s="80">
        <v>44445</v>
      </c>
      <c r="C32" t="s">
        <v>213</v>
      </c>
      <c r="D32" t="s">
        <v>235</v>
      </c>
      <c r="E32" t="s">
        <v>53</v>
      </c>
      <c r="F32" t="s">
        <v>217</v>
      </c>
      <c r="G32">
        <v>29</v>
      </c>
      <c r="H32" t="s">
        <v>208</v>
      </c>
      <c r="I32" t="s">
        <v>73</v>
      </c>
      <c r="J32">
        <f>IF(F32="Culex tarsalis",G32,0)</f>
        <v>0</v>
      </c>
      <c r="K32">
        <f>IF(F32="Culex pipiens",G32,0)</f>
        <v>29</v>
      </c>
    </row>
    <row r="33" spans="1:11">
      <c r="A33">
        <v>36</v>
      </c>
      <c r="B33" s="80">
        <v>44445</v>
      </c>
      <c r="C33" t="s">
        <v>213</v>
      </c>
      <c r="D33" t="s">
        <v>236</v>
      </c>
      <c r="E33" t="s">
        <v>53</v>
      </c>
      <c r="F33" t="s">
        <v>217</v>
      </c>
      <c r="G33">
        <v>2</v>
      </c>
      <c r="H33" t="s">
        <v>208</v>
      </c>
      <c r="I33" t="s">
        <v>71</v>
      </c>
      <c r="J33">
        <f>IF(F33="Culex tarsalis",G33,0)</f>
        <v>0</v>
      </c>
      <c r="K33">
        <f>IF(F33="Culex pipiens",G33,0)</f>
        <v>2</v>
      </c>
    </row>
    <row r="34" spans="1:11">
      <c r="A34">
        <v>36</v>
      </c>
      <c r="B34" s="80">
        <v>44445</v>
      </c>
      <c r="C34" t="s">
        <v>213</v>
      </c>
      <c r="D34" t="s">
        <v>237</v>
      </c>
      <c r="E34" t="s">
        <v>53</v>
      </c>
      <c r="F34" t="s">
        <v>207</v>
      </c>
      <c r="G34">
        <v>3</v>
      </c>
      <c r="H34" t="s">
        <v>208</v>
      </c>
      <c r="I34" t="s">
        <v>60</v>
      </c>
      <c r="J34">
        <f>IF(F34="Culex tarsalis",G34,0)</f>
        <v>3</v>
      </c>
      <c r="K34">
        <f>IF(F34="Culex pipiens",G34,0)</f>
        <v>0</v>
      </c>
    </row>
    <row r="35" spans="1:11">
      <c r="A35">
        <v>36</v>
      </c>
      <c r="B35" s="80">
        <v>44445</v>
      </c>
      <c r="C35" t="s">
        <v>213</v>
      </c>
      <c r="D35" t="s">
        <v>238</v>
      </c>
      <c r="E35" t="s">
        <v>53</v>
      </c>
      <c r="F35" t="s">
        <v>207</v>
      </c>
      <c r="G35">
        <v>3</v>
      </c>
      <c r="H35" t="s">
        <v>208</v>
      </c>
      <c r="I35" t="s">
        <v>69</v>
      </c>
      <c r="J35">
        <f>IF(F35="Culex tarsalis",G35,0)</f>
        <v>3</v>
      </c>
      <c r="K35">
        <f>IF(F35="Culex pipiens",G35,0)</f>
        <v>0</v>
      </c>
    </row>
    <row r="36" spans="1:11">
      <c r="A36">
        <v>36</v>
      </c>
      <c r="B36" s="80">
        <v>44447</v>
      </c>
      <c r="C36" t="s">
        <v>213</v>
      </c>
      <c r="D36" t="s">
        <v>239</v>
      </c>
      <c r="E36" t="s">
        <v>161</v>
      </c>
      <c r="F36" t="s">
        <v>207</v>
      </c>
      <c r="G36">
        <v>2</v>
      </c>
      <c r="H36" t="s">
        <v>208</v>
      </c>
      <c r="I36" t="s">
        <v>168</v>
      </c>
      <c r="J36">
        <f>IF(F36="Culex tarsalis",G36,0)</f>
        <v>2</v>
      </c>
      <c r="K36">
        <f>IF(F36="Culex pipiens",G36,0)</f>
        <v>0</v>
      </c>
    </row>
    <row r="37" spans="1:11">
      <c r="A37">
        <v>36</v>
      </c>
      <c r="B37" s="80">
        <v>44447</v>
      </c>
      <c r="C37" t="s">
        <v>213</v>
      </c>
      <c r="D37" t="s">
        <v>239</v>
      </c>
      <c r="E37" t="s">
        <v>161</v>
      </c>
      <c r="F37" t="s">
        <v>217</v>
      </c>
      <c r="G37">
        <v>1</v>
      </c>
      <c r="H37" t="s">
        <v>208</v>
      </c>
      <c r="I37" t="s">
        <v>168</v>
      </c>
      <c r="J37">
        <f>IF(F37="Culex tarsalis",G37,0)</f>
        <v>0</v>
      </c>
      <c r="K37">
        <f>IF(F37="Culex pipiens",G37,0)</f>
        <v>1</v>
      </c>
    </row>
    <row r="38" spans="1:11">
      <c r="A38">
        <v>36</v>
      </c>
      <c r="B38" s="80">
        <v>44447</v>
      </c>
      <c r="C38" t="s">
        <v>213</v>
      </c>
      <c r="D38" t="s">
        <v>240</v>
      </c>
      <c r="E38" t="s">
        <v>161</v>
      </c>
      <c r="F38" t="s">
        <v>207</v>
      </c>
      <c r="G38">
        <v>1</v>
      </c>
      <c r="H38" t="s">
        <v>208</v>
      </c>
      <c r="I38" t="s">
        <v>182</v>
      </c>
      <c r="J38">
        <f>IF(F38="Culex tarsalis",G38,0)</f>
        <v>1</v>
      </c>
      <c r="K38">
        <f>IF(F38="Culex pipiens",G38,0)</f>
        <v>0</v>
      </c>
    </row>
    <row r="39" spans="1:11">
      <c r="A39">
        <v>36</v>
      </c>
      <c r="B39" s="80">
        <v>44447</v>
      </c>
      <c r="C39" t="s">
        <v>213</v>
      </c>
      <c r="D39" t="s">
        <v>240</v>
      </c>
      <c r="E39" t="s">
        <v>161</v>
      </c>
      <c r="F39" t="s">
        <v>217</v>
      </c>
      <c r="G39">
        <v>1</v>
      </c>
      <c r="H39" t="s">
        <v>208</v>
      </c>
      <c r="I39" t="s">
        <v>182</v>
      </c>
      <c r="J39">
        <f>IF(F39="Culex tarsalis",G39,0)</f>
        <v>0</v>
      </c>
      <c r="K39">
        <f>IF(F39="Culex pipiens",G39,0)</f>
        <v>1</v>
      </c>
    </row>
    <row r="40" spans="1:11">
      <c r="A40">
        <v>36</v>
      </c>
      <c r="B40" s="80">
        <v>44447</v>
      </c>
      <c r="C40" t="s">
        <v>213</v>
      </c>
      <c r="D40" t="s">
        <v>241</v>
      </c>
      <c r="E40" t="s">
        <v>161</v>
      </c>
      <c r="F40" t="s">
        <v>207</v>
      </c>
      <c r="G40">
        <v>1</v>
      </c>
      <c r="H40" t="s">
        <v>208</v>
      </c>
      <c r="I40" t="s">
        <v>175</v>
      </c>
      <c r="J40">
        <f>IF(F40="Culex tarsalis",G40,0)</f>
        <v>1</v>
      </c>
      <c r="K40">
        <f>IF(F40="Culex pipiens",G40,0)</f>
        <v>0</v>
      </c>
    </row>
    <row r="41" spans="1:11">
      <c r="A41">
        <v>36</v>
      </c>
      <c r="B41" s="80">
        <v>44447</v>
      </c>
      <c r="C41" t="s">
        <v>213</v>
      </c>
      <c r="D41" t="s">
        <v>241</v>
      </c>
      <c r="E41" t="s">
        <v>161</v>
      </c>
      <c r="F41" t="s">
        <v>217</v>
      </c>
      <c r="G41">
        <v>1</v>
      </c>
      <c r="H41" t="s">
        <v>208</v>
      </c>
      <c r="I41" t="s">
        <v>175</v>
      </c>
      <c r="J41">
        <f>IF(F41="Culex tarsalis",G41,0)</f>
        <v>0</v>
      </c>
      <c r="K41">
        <f>IF(F41="Culex pipiens",G41,0)</f>
        <v>1</v>
      </c>
    </row>
    <row r="42" spans="1:11">
      <c r="A42">
        <v>36</v>
      </c>
      <c r="B42" s="80">
        <v>44447</v>
      </c>
      <c r="C42" t="s">
        <v>213</v>
      </c>
      <c r="D42" t="s">
        <v>242</v>
      </c>
      <c r="E42" t="s">
        <v>161</v>
      </c>
      <c r="F42" t="s">
        <v>217</v>
      </c>
      <c r="G42">
        <v>7</v>
      </c>
      <c r="H42" t="s">
        <v>208</v>
      </c>
      <c r="I42" t="s">
        <v>164</v>
      </c>
      <c r="J42">
        <f>IF(F42="Culex tarsalis",G42,0)</f>
        <v>0</v>
      </c>
      <c r="K42">
        <f>IF(F42="Culex pipiens",G42,0)</f>
        <v>7</v>
      </c>
    </row>
    <row r="43" spans="1:11">
      <c r="A43">
        <v>36</v>
      </c>
      <c r="B43" s="80">
        <v>44447</v>
      </c>
      <c r="C43" t="s">
        <v>213</v>
      </c>
      <c r="D43" t="s">
        <v>242</v>
      </c>
      <c r="E43" t="s">
        <v>161</v>
      </c>
      <c r="F43" t="s">
        <v>207</v>
      </c>
      <c r="G43">
        <v>1</v>
      </c>
      <c r="H43" t="s">
        <v>208</v>
      </c>
      <c r="I43" t="s">
        <v>164</v>
      </c>
      <c r="J43">
        <f>IF(F43="Culex tarsalis",G43,0)</f>
        <v>1</v>
      </c>
      <c r="K43">
        <f>IF(F43="Culex pipiens",G43,0)</f>
        <v>0</v>
      </c>
    </row>
    <row r="44" spans="1:11">
      <c r="A44">
        <v>36</v>
      </c>
      <c r="B44" s="80">
        <v>44447</v>
      </c>
      <c r="C44" t="s">
        <v>213</v>
      </c>
      <c r="D44" t="s">
        <v>243</v>
      </c>
      <c r="E44" t="s">
        <v>161</v>
      </c>
      <c r="F44" t="s">
        <v>217</v>
      </c>
      <c r="G44">
        <v>3</v>
      </c>
      <c r="H44" t="s">
        <v>208</v>
      </c>
      <c r="I44" t="s">
        <v>178</v>
      </c>
      <c r="J44">
        <f>IF(F44="Culex tarsalis",G44,0)</f>
        <v>0</v>
      </c>
      <c r="K44">
        <f>IF(F44="Culex pipiens",G44,0)</f>
        <v>3</v>
      </c>
    </row>
    <row r="45" spans="1:11">
      <c r="A45">
        <v>36</v>
      </c>
      <c r="B45" s="80">
        <v>44446</v>
      </c>
      <c r="C45" t="s">
        <v>213</v>
      </c>
      <c r="D45" t="s">
        <v>244</v>
      </c>
      <c r="E45" t="s">
        <v>161</v>
      </c>
      <c r="F45" t="s">
        <v>207</v>
      </c>
      <c r="G45">
        <v>2</v>
      </c>
      <c r="H45" t="s">
        <v>208</v>
      </c>
      <c r="I45" t="s">
        <v>160</v>
      </c>
      <c r="J45">
        <f>IF(F45="Culex tarsalis",G45,0)</f>
        <v>2</v>
      </c>
      <c r="K45">
        <f>IF(F45="Culex pipiens",G45,0)</f>
        <v>0</v>
      </c>
    </row>
    <row r="46" spans="1:11">
      <c r="A46">
        <v>36</v>
      </c>
      <c r="B46" s="80">
        <v>44447</v>
      </c>
      <c r="C46" t="s">
        <v>213</v>
      </c>
      <c r="D46" t="s">
        <v>245</v>
      </c>
      <c r="E46" t="s">
        <v>161</v>
      </c>
      <c r="F46" t="s">
        <v>217</v>
      </c>
      <c r="G46">
        <v>2</v>
      </c>
      <c r="H46" t="s">
        <v>208</v>
      </c>
      <c r="I46" t="s">
        <v>173</v>
      </c>
      <c r="J46">
        <f>IF(F46="Culex tarsalis",G46,0)</f>
        <v>0</v>
      </c>
      <c r="K46">
        <f>IF(F46="Culex pipiens",G46,0)</f>
        <v>2</v>
      </c>
    </row>
    <row r="47" spans="1:11">
      <c r="A47" s="95">
        <v>36</v>
      </c>
      <c r="B47" s="96">
        <v>44446</v>
      </c>
      <c r="C47" s="95" t="s">
        <v>246</v>
      </c>
      <c r="D47" s="95" t="s">
        <v>247</v>
      </c>
      <c r="E47" s="95" t="s">
        <v>134</v>
      </c>
      <c r="F47" s="95" t="s">
        <v>207</v>
      </c>
      <c r="G47" s="95">
        <v>3</v>
      </c>
      <c r="H47" s="95" t="s">
        <v>208</v>
      </c>
      <c r="I47" s="95" t="s">
        <v>138</v>
      </c>
      <c r="J47">
        <f>IF(F47="Culex tarsalis",G47,0)</f>
        <v>3</v>
      </c>
      <c r="K47">
        <f>IF(F47="Culex pipiens",G47,0)</f>
        <v>0</v>
      </c>
    </row>
    <row r="48" spans="1:11">
      <c r="A48" s="95">
        <v>36</v>
      </c>
      <c r="B48" s="96">
        <v>44446</v>
      </c>
      <c r="C48" s="95" t="s">
        <v>246</v>
      </c>
      <c r="D48" s="95" t="s">
        <v>247</v>
      </c>
      <c r="E48" s="95" t="s">
        <v>134</v>
      </c>
      <c r="F48" s="95" t="s">
        <v>217</v>
      </c>
      <c r="G48" s="95">
        <v>1</v>
      </c>
      <c r="H48" s="95" t="s">
        <v>208</v>
      </c>
      <c r="I48" s="95" t="s">
        <v>138</v>
      </c>
      <c r="J48">
        <f>IF(F48="Culex tarsalis",G48,0)</f>
        <v>0</v>
      </c>
      <c r="K48">
        <f>IF(F48="Culex pipiens",G48,0)</f>
        <v>1</v>
      </c>
    </row>
    <row r="49" spans="1:11">
      <c r="A49" s="95">
        <v>36</v>
      </c>
      <c r="B49" s="96">
        <v>44446</v>
      </c>
      <c r="C49" s="95" t="s">
        <v>246</v>
      </c>
      <c r="D49" s="95" t="s">
        <v>248</v>
      </c>
      <c r="E49" s="95" t="s">
        <v>134</v>
      </c>
      <c r="F49" s="95" t="s">
        <v>207</v>
      </c>
      <c r="G49" s="95">
        <v>1</v>
      </c>
      <c r="H49" s="95" t="s">
        <v>208</v>
      </c>
      <c r="I49" s="95" t="s">
        <v>249</v>
      </c>
      <c r="J49">
        <f>IF(F49="Culex tarsalis",G49,0)</f>
        <v>1</v>
      </c>
      <c r="K49">
        <f>IF(F49="Culex pipiens",G49,0)</f>
        <v>0</v>
      </c>
    </row>
    <row r="50" spans="1:11">
      <c r="A50" s="95">
        <v>36</v>
      </c>
      <c r="B50" s="96">
        <v>44446</v>
      </c>
      <c r="C50" s="95" t="s">
        <v>246</v>
      </c>
      <c r="D50" s="95" t="s">
        <v>250</v>
      </c>
      <c r="E50" s="95" t="s">
        <v>134</v>
      </c>
      <c r="F50" s="95" t="s">
        <v>207</v>
      </c>
      <c r="G50" s="95">
        <v>5</v>
      </c>
      <c r="H50" s="95" t="s">
        <v>208</v>
      </c>
      <c r="I50" s="95" t="s">
        <v>135</v>
      </c>
      <c r="J50">
        <f>IF(F50="Culex tarsalis",G50,0)</f>
        <v>5</v>
      </c>
      <c r="K50">
        <f>IF(F50="Culex pipiens",G50,0)</f>
        <v>0</v>
      </c>
    </row>
    <row r="51" spans="1:11">
      <c r="A51" s="95">
        <v>36</v>
      </c>
      <c r="B51" s="96">
        <v>44446</v>
      </c>
      <c r="C51" s="95" t="s">
        <v>246</v>
      </c>
      <c r="D51" s="95" t="s">
        <v>251</v>
      </c>
      <c r="E51" s="95" t="s">
        <v>134</v>
      </c>
      <c r="F51" s="95" t="s">
        <v>217</v>
      </c>
      <c r="G51" s="95">
        <v>17</v>
      </c>
      <c r="H51" s="95" t="s">
        <v>208</v>
      </c>
      <c r="I51" s="95" t="s">
        <v>252</v>
      </c>
      <c r="J51">
        <f>IF(F51="Culex tarsalis",G51,0)</f>
        <v>0</v>
      </c>
      <c r="K51">
        <f>IF(F51="Culex pipiens",G51,0)</f>
        <v>17</v>
      </c>
    </row>
    <row r="52" spans="1:11">
      <c r="A52" s="95">
        <v>36</v>
      </c>
      <c r="B52" s="96">
        <v>44446</v>
      </c>
      <c r="C52" s="95" t="s">
        <v>246</v>
      </c>
      <c r="D52" s="95" t="s">
        <v>251</v>
      </c>
      <c r="E52" s="95" t="s">
        <v>134</v>
      </c>
      <c r="F52" s="95" t="s">
        <v>207</v>
      </c>
      <c r="G52" s="95">
        <v>12</v>
      </c>
      <c r="H52" s="95" t="s">
        <v>208</v>
      </c>
      <c r="I52" s="95" t="s">
        <v>252</v>
      </c>
      <c r="J52">
        <f>IF(F52="Culex tarsalis",G52,0)</f>
        <v>12</v>
      </c>
      <c r="K52">
        <f>IF(F52="Culex pipiens",G52,0)</f>
        <v>0</v>
      </c>
    </row>
    <row r="53" spans="1:11">
      <c r="A53" s="95">
        <v>36</v>
      </c>
      <c r="B53" s="96">
        <v>44446</v>
      </c>
      <c r="C53" s="95" t="s">
        <v>246</v>
      </c>
      <c r="D53" s="95" t="s">
        <v>253</v>
      </c>
      <c r="E53" s="95" t="s">
        <v>134</v>
      </c>
      <c r="F53" s="95" t="s">
        <v>217</v>
      </c>
      <c r="G53" s="95">
        <v>1</v>
      </c>
      <c r="H53" s="95" t="s">
        <v>208</v>
      </c>
      <c r="I53" s="95" t="s">
        <v>254</v>
      </c>
      <c r="J53">
        <f>IF(F53="Culex tarsalis",G53,0)</f>
        <v>0</v>
      </c>
      <c r="K53">
        <f>IF(F53="Culex pipiens",G53,0)</f>
        <v>1</v>
      </c>
    </row>
    <row r="54" spans="1:11">
      <c r="A54" s="95">
        <v>36</v>
      </c>
      <c r="B54" s="96">
        <v>44446</v>
      </c>
      <c r="C54" s="95" t="s">
        <v>246</v>
      </c>
      <c r="D54" s="95" t="s">
        <v>253</v>
      </c>
      <c r="E54" s="95" t="s">
        <v>134</v>
      </c>
      <c r="F54" s="95" t="s">
        <v>207</v>
      </c>
      <c r="G54" s="95">
        <v>3</v>
      </c>
      <c r="H54" s="95" t="s">
        <v>208</v>
      </c>
      <c r="I54" s="95" t="s">
        <v>254</v>
      </c>
      <c r="J54">
        <f>IF(F54="Culex tarsalis",G54,0)</f>
        <v>3</v>
      </c>
      <c r="K54">
        <f>IF(F54="Culex pipiens",G54,0)</f>
        <v>0</v>
      </c>
    </row>
    <row r="55" spans="1:11">
      <c r="J55">
        <f>IF(F55="Culex tarsalis",G55,0)</f>
        <v>0</v>
      </c>
      <c r="K55">
        <f>IF(F55="Culex pipiens",G55,0)</f>
        <v>0</v>
      </c>
    </row>
    <row r="56" spans="1:11">
      <c r="J56">
        <f>IF(F56="Culex tarsalis",G56,0)</f>
        <v>0</v>
      </c>
      <c r="K56">
        <f>IF(F56="Culex pipiens",G56,0)</f>
        <v>0</v>
      </c>
    </row>
    <row r="57" spans="1:11">
      <c r="J57">
        <f>IF(F57="Culex tarsalis",G57,0)</f>
        <v>0</v>
      </c>
      <c r="K57">
        <f>IF(F57="Culex pipiens",G57,0)</f>
        <v>0</v>
      </c>
    </row>
    <row r="58" spans="1:11">
      <c r="J58">
        <f>IF(F58="Culex tarsalis",G58,0)</f>
        <v>0</v>
      </c>
      <c r="K58">
        <f>IF(F58="Culex pipiens",G58,0)</f>
        <v>0</v>
      </c>
    </row>
    <row r="59" spans="1:11">
      <c r="J59">
        <f>IF(F59="Culex tarsalis",G59,0)</f>
        <v>0</v>
      </c>
      <c r="K59">
        <f>IF(F59="Culex pipiens",G59,0)</f>
        <v>0</v>
      </c>
    </row>
    <row r="60" spans="1:11">
      <c r="J60">
        <f>IF(F60="Culex tarsalis",G60,0)</f>
        <v>0</v>
      </c>
      <c r="K60">
        <f>IF(F60="Culex pipiens",G60,0)</f>
        <v>0</v>
      </c>
    </row>
    <row r="61" spans="1:11">
      <c r="J61">
        <f>IF(F61="Culex tarsalis",G61,0)</f>
        <v>0</v>
      </c>
      <c r="K61">
        <f>IF(F61="Culex pipiens",G61,0)</f>
        <v>0</v>
      </c>
    </row>
    <row r="62" spans="1:11">
      <c r="J62">
        <f>IF(F62="Culex tarsalis",G62,0)</f>
        <v>0</v>
      </c>
      <c r="K62">
        <f>IF(F62="Culex pipiens",G62,0)</f>
        <v>0</v>
      </c>
    </row>
    <row r="63" spans="1:11">
      <c r="J63">
        <f>IF(F63="Culex tarsalis",G63,0)</f>
        <v>0</v>
      </c>
      <c r="K63">
        <f>IF(F63="Culex pipiens",G63,0)</f>
        <v>0</v>
      </c>
    </row>
    <row r="64" spans="1:11">
      <c r="J64">
        <f>IF(F64="Culex tarsalis",G64,0)</f>
        <v>0</v>
      </c>
      <c r="K64">
        <f>IF(F64="Culex pipiens",G64,0)</f>
        <v>0</v>
      </c>
    </row>
    <row r="65" spans="10:11">
      <c r="J65">
        <f>IF(F65="Culex tarsalis",G65,0)</f>
        <v>0</v>
      </c>
      <c r="K65">
        <f>IF(F65="Culex pipiens",G65,0)</f>
        <v>0</v>
      </c>
    </row>
    <row r="66" spans="10:11">
      <c r="J66">
        <f>IF(F66="Culex tarsalis",G66,0)</f>
        <v>0</v>
      </c>
      <c r="K66">
        <f>IF(F66="Culex pipiens",G66,0)</f>
        <v>0</v>
      </c>
    </row>
    <row r="67" spans="10:11">
      <c r="J67">
        <f>IF(F67="Culex tarsalis",G67,0)</f>
        <v>0</v>
      </c>
      <c r="K67">
        <f>IF(F67="Culex pipiens",G67,0)</f>
        <v>0</v>
      </c>
    </row>
    <row r="68" spans="10:11">
      <c r="J68">
        <f>IF(F68="Culex tarsalis",G68,0)</f>
        <v>0</v>
      </c>
      <c r="K68">
        <f>IF(F68="Culex pipiens",G68,0)</f>
        <v>0</v>
      </c>
    </row>
    <row r="69" spans="10:11">
      <c r="J69">
        <f>IF(F69="Culex tarsalis",G69,0)</f>
        <v>0</v>
      </c>
      <c r="K69">
        <f>IF(F69="Culex pipiens",G69,0)</f>
        <v>0</v>
      </c>
    </row>
    <row r="70" spans="10:11">
      <c r="J70">
        <f>IF(F70="Culex tarsalis",G70,0)</f>
        <v>0</v>
      </c>
      <c r="K70">
        <f>IF(F70="Culex pipiens",G70,0)</f>
        <v>0</v>
      </c>
    </row>
    <row r="71" spans="10:11">
      <c r="J71">
        <f>IF(F71="Culex tarsalis",G71,0)</f>
        <v>0</v>
      </c>
      <c r="K71">
        <f>IF(F71="Culex pipiens",G71,0)</f>
        <v>0</v>
      </c>
    </row>
    <row r="72" spans="10:11">
      <c r="J72">
        <f>IF(F72="Culex tarsalis",G72,0)</f>
        <v>0</v>
      </c>
      <c r="K72">
        <f>IF(F72="Culex pipiens",G72,0)</f>
        <v>0</v>
      </c>
    </row>
    <row r="73" spans="10:11">
      <c r="J73">
        <f>IF(F73="Culex tarsalis",G73,0)</f>
        <v>0</v>
      </c>
      <c r="K73">
        <f>IF(F73="Culex pipiens",G73,0)</f>
        <v>0</v>
      </c>
    </row>
    <row r="74" spans="10:11">
      <c r="J74">
        <f>IF(F74="Culex tarsalis",G74,0)</f>
        <v>0</v>
      </c>
      <c r="K74">
        <f>IF(F74="Culex pipiens",G74,0)</f>
        <v>0</v>
      </c>
    </row>
    <row r="75" spans="10:11">
      <c r="J75">
        <f>IF(F75="Culex tarsalis",G75,0)</f>
        <v>0</v>
      </c>
      <c r="K75">
        <f>IF(F75="Culex pipiens",G75,0)</f>
        <v>0</v>
      </c>
    </row>
    <row r="76" spans="10:11">
      <c r="J76">
        <f>IF(F76="Culex tarsalis",G76,0)</f>
        <v>0</v>
      </c>
      <c r="K76">
        <f>IF(F76="Culex pipiens",G76,0)</f>
        <v>0</v>
      </c>
    </row>
    <row r="77" spans="10:11">
      <c r="J77">
        <f>IF(F77="Culex tarsalis",G77,0)</f>
        <v>0</v>
      </c>
      <c r="K77">
        <f>IF(F77="Culex pipiens",G77,0)</f>
        <v>0</v>
      </c>
    </row>
    <row r="78" spans="10:11">
      <c r="J78">
        <f>IF(F78="Culex tarsalis",G78,0)</f>
        <v>0</v>
      </c>
      <c r="K78">
        <f>IF(F78="Culex pipiens",G78,0)</f>
        <v>0</v>
      </c>
    </row>
    <row r="79" spans="10:11">
      <c r="J79">
        <f>IF(F79="Culex tarsalis",G79,0)</f>
        <v>0</v>
      </c>
      <c r="K79">
        <f>IF(F79="Culex pipiens",G79,0)</f>
        <v>0</v>
      </c>
    </row>
    <row r="80" spans="10:11">
      <c r="J80">
        <f>IF(F80="Culex tarsalis",G80,0)</f>
        <v>0</v>
      </c>
      <c r="K80">
        <f>IF(F80="Culex pipiens",G80,0)</f>
        <v>0</v>
      </c>
    </row>
    <row r="81" spans="10:11">
      <c r="J81">
        <f>IF(F81="Culex tarsalis",G81,0)</f>
        <v>0</v>
      </c>
      <c r="K81">
        <f>IF(F81="Culex pipiens",G81,0)</f>
        <v>0</v>
      </c>
    </row>
    <row r="82" spans="10:11">
      <c r="J82">
        <f>IF(F82="Culex tarsalis",G82,0)</f>
        <v>0</v>
      </c>
      <c r="K82">
        <f>IF(F82="Culex pipiens",G82,0)</f>
        <v>0</v>
      </c>
    </row>
    <row r="83" spans="10:11">
      <c r="J83">
        <f>IF(F83="Culex tarsalis",G83,0)</f>
        <v>0</v>
      </c>
      <c r="K83">
        <f>IF(F83="Culex pipiens",G83,0)</f>
        <v>0</v>
      </c>
    </row>
    <row r="84" spans="10:11">
      <c r="J84">
        <f>IF(F84="Culex tarsalis",G84,0)</f>
        <v>0</v>
      </c>
      <c r="K84">
        <f>IF(F84="Culex pipiens",G84,0)</f>
        <v>0</v>
      </c>
    </row>
    <row r="85" spans="10:11">
      <c r="J85">
        <f>IF(F85="Culex tarsalis",G85,0)</f>
        <v>0</v>
      </c>
      <c r="K85">
        <f>IF(F85="Culex pipiens",G85,0)</f>
        <v>0</v>
      </c>
    </row>
    <row r="86" spans="10:11">
      <c r="J86">
        <f>IF(F86="Culex tarsalis",G86,0)</f>
        <v>0</v>
      </c>
      <c r="K86">
        <f>IF(F86="Culex pipiens",G86,0)</f>
        <v>0</v>
      </c>
    </row>
    <row r="87" spans="10:11">
      <c r="J87">
        <f>IF(F87="Culex tarsalis",G87,0)</f>
        <v>0</v>
      </c>
      <c r="K87">
        <f>IF(F87="Culex pipiens",G87,0)</f>
        <v>0</v>
      </c>
    </row>
    <row r="88" spans="10:11">
      <c r="J88">
        <f>IF(F88="Culex tarsalis",G88,0)</f>
        <v>0</v>
      </c>
      <c r="K88">
        <f>IF(F88="Culex pipiens",G88,0)</f>
        <v>0</v>
      </c>
    </row>
    <row r="89" spans="10:11">
      <c r="J89">
        <f>IF(F89="Culex tarsalis",G89,0)</f>
        <v>0</v>
      </c>
      <c r="K89">
        <f>IF(F89="Culex pipiens",G89,0)</f>
        <v>0</v>
      </c>
    </row>
    <row r="90" spans="10:11">
      <c r="J90">
        <f>IF(F90="Culex tarsalis",G90,0)</f>
        <v>0</v>
      </c>
      <c r="K90">
        <f>IF(F90="Culex pipiens",G90,0)</f>
        <v>0</v>
      </c>
    </row>
    <row r="91" spans="10:11">
      <c r="J91">
        <f>IF(F91="Culex tarsalis",G91,0)</f>
        <v>0</v>
      </c>
      <c r="K91">
        <f>IF(F91="Culex pipiens",G91,0)</f>
        <v>0</v>
      </c>
    </row>
    <row r="92" spans="10:11">
      <c r="J92">
        <f>IF(F92="Culex tarsalis",G92,0)</f>
        <v>0</v>
      </c>
      <c r="K92">
        <f>IF(F92="Culex pipiens",G92,0)</f>
        <v>0</v>
      </c>
    </row>
    <row r="93" spans="10:11">
      <c r="J93">
        <f>IF(F93="Culex tarsalis",G93,0)</f>
        <v>0</v>
      </c>
      <c r="K93">
        <f>IF(F93="Culex pipiens",G93,0)</f>
        <v>0</v>
      </c>
    </row>
    <row r="94" spans="10:11">
      <c r="J94">
        <f>IF(F94="Culex tarsalis",G94,0)</f>
        <v>0</v>
      </c>
      <c r="K94">
        <f>IF(F94="Culex pipiens",G94,0)</f>
        <v>0</v>
      </c>
    </row>
    <row r="95" spans="10:11">
      <c r="J95">
        <f>IF(F95="Culex tarsalis",G95,0)</f>
        <v>0</v>
      </c>
      <c r="K95">
        <f>IF(F95="Culex pipiens",G95,0)</f>
        <v>0</v>
      </c>
    </row>
    <row r="96" spans="10:11">
      <c r="J96">
        <f>IF(F96="Culex tarsalis",G96,0)</f>
        <v>0</v>
      </c>
      <c r="K96">
        <f>IF(F96="Culex pipiens",G96,0)</f>
        <v>0</v>
      </c>
    </row>
    <row r="97" spans="10:11">
      <c r="J97">
        <f>IF(F97="Culex tarsalis",G97,0)</f>
        <v>0</v>
      </c>
      <c r="K97">
        <f>IF(F97="Culex pipiens",G97,0)</f>
        <v>0</v>
      </c>
    </row>
    <row r="98" spans="10:11">
      <c r="J98">
        <f>IF(F98="Culex tarsalis",G98,0)</f>
        <v>0</v>
      </c>
      <c r="K98">
        <f>IF(F98="Culex pipiens",G98,0)</f>
        <v>0</v>
      </c>
    </row>
    <row r="99" spans="10:11">
      <c r="J99">
        <f>IF(F99="Culex tarsalis",G99,0)</f>
        <v>0</v>
      </c>
      <c r="K99">
        <f>IF(F99="Culex pipiens",G99,0)</f>
        <v>0</v>
      </c>
    </row>
    <row r="100" spans="10:11">
      <c r="J100">
        <f>IF(F100="Culex tarsalis",G100,0)</f>
        <v>0</v>
      </c>
      <c r="K100">
        <f>IF(F100="Culex pipiens",G100,0)</f>
        <v>0</v>
      </c>
    </row>
    <row r="101" spans="10:11">
      <c r="J101">
        <f>IF(F101="Culex tarsalis",G101,0)</f>
        <v>0</v>
      </c>
      <c r="K101">
        <f>IF(F101="Culex pipiens",G101,0)</f>
        <v>0</v>
      </c>
    </row>
    <row r="102" spans="10:11">
      <c r="J102">
        <f>IF(F102="Culex tarsalis",G102,0)</f>
        <v>0</v>
      </c>
      <c r="K102">
        <f>IF(F102="Culex pipiens",G102,0)</f>
        <v>0</v>
      </c>
    </row>
    <row r="103" spans="10:11">
      <c r="J103">
        <f>IF(F103="Culex tarsalis",G103,0)</f>
        <v>0</v>
      </c>
      <c r="K103">
        <f>IF(F103="Culex pipiens",G103,0)</f>
        <v>0</v>
      </c>
    </row>
    <row r="104" spans="10:11">
      <c r="J104">
        <f>IF(F104="Culex tarsalis",G104,0)</f>
        <v>0</v>
      </c>
      <c r="K104">
        <f>IF(F104="Culex pipiens",G104,0)</f>
        <v>0</v>
      </c>
    </row>
    <row r="105" spans="10:11">
      <c r="J105">
        <f>IF(F105="Culex tarsalis",G105,0)</f>
        <v>0</v>
      </c>
      <c r="K105">
        <f>IF(F105="Culex pipiens",G105,0)</f>
        <v>0</v>
      </c>
    </row>
    <row r="106" spans="10:11">
      <c r="J106">
        <f>IF(F106="Culex tarsalis",G106,0)</f>
        <v>0</v>
      </c>
      <c r="K106">
        <f>IF(F106="Culex pipiens",G106,0)</f>
        <v>0</v>
      </c>
    </row>
    <row r="107" spans="10:11">
      <c r="J107">
        <f>IF(F107="Culex tarsalis",G107,0)</f>
        <v>0</v>
      </c>
      <c r="K107">
        <f>IF(F107="Culex pipiens",G107,0)</f>
        <v>0</v>
      </c>
    </row>
    <row r="108" spans="10:11">
      <c r="J108">
        <f>IF(F108="Culex tarsalis",G108,0)</f>
        <v>0</v>
      </c>
      <c r="K108">
        <f>IF(F108="Culex pipiens",G108,0)</f>
        <v>0</v>
      </c>
    </row>
    <row r="109" spans="10:11">
      <c r="J109">
        <f>IF(F109="Culex tarsalis",G109,0)</f>
        <v>0</v>
      </c>
      <c r="K109">
        <f>IF(F109="Culex pipiens",G109,0)</f>
        <v>0</v>
      </c>
    </row>
    <row r="110" spans="10:11">
      <c r="J110">
        <f>IF(F110="Culex tarsalis",G110,0)</f>
        <v>0</v>
      </c>
      <c r="K110">
        <f>IF(F110="Culex pipiens",G110,0)</f>
        <v>0</v>
      </c>
    </row>
    <row r="111" spans="10:11">
      <c r="J111">
        <f>IF(F111="Culex tarsalis",G111,0)</f>
        <v>0</v>
      </c>
      <c r="K111">
        <f>IF(F111="Culex pipiens",G111,0)</f>
        <v>0</v>
      </c>
    </row>
    <row r="112" spans="10:11">
      <c r="J112">
        <f>IF(F112="Culex tarsalis",G112,0)</f>
        <v>0</v>
      </c>
      <c r="K112">
        <f>IF(F112="Culex pipiens",G112,0)</f>
        <v>0</v>
      </c>
    </row>
    <row r="113" spans="10:11">
      <c r="J113">
        <f>IF(F113="Culex tarsalis",G113,0)</f>
        <v>0</v>
      </c>
      <c r="K113">
        <f>IF(F113="Culex pipiens",G113,0)</f>
        <v>0</v>
      </c>
    </row>
    <row r="114" spans="10:11">
      <c r="J114">
        <f>IF(F114="Culex tarsalis",G114,0)</f>
        <v>0</v>
      </c>
      <c r="K114">
        <f>IF(F114="Culex pipiens",G114,0)</f>
        <v>0</v>
      </c>
    </row>
    <row r="115" spans="10:11">
      <c r="J115">
        <f>IF(F115="Culex tarsalis",G115,0)</f>
        <v>0</v>
      </c>
      <c r="K115">
        <f>IF(F115="Culex pipiens",G115,0)</f>
        <v>0</v>
      </c>
    </row>
    <row r="116" spans="10:11">
      <c r="J116">
        <f>IF(F116="Culex tarsalis",G116,0)</f>
        <v>0</v>
      </c>
      <c r="K116">
        <f>IF(F116="Culex pipiens",G116,0)</f>
        <v>0</v>
      </c>
    </row>
    <row r="117" spans="10:11">
      <c r="J117">
        <f>IF(F117="Culex tarsalis",G117,0)</f>
        <v>0</v>
      </c>
      <c r="K117">
        <f>IF(F117="Culex pipiens",G117,0)</f>
        <v>0</v>
      </c>
    </row>
    <row r="118" spans="10:11">
      <c r="J118">
        <f>IF(F118="Culex tarsalis",G118,0)</f>
        <v>0</v>
      </c>
      <c r="K118">
        <f>IF(F118="Culex pipiens",G118,0)</f>
        <v>0</v>
      </c>
    </row>
    <row r="119" spans="10:11">
      <c r="J119">
        <f>IF(F119="Culex tarsalis",G119,0)</f>
        <v>0</v>
      </c>
      <c r="K119">
        <f>IF(F119="Culex pipiens",G119,0)</f>
        <v>0</v>
      </c>
    </row>
    <row r="120" spans="10:11">
      <c r="J120">
        <f>IF(F120="Culex tarsalis",G120,0)</f>
        <v>0</v>
      </c>
      <c r="K120">
        <f>IF(F120="Culex pipiens",G120,0)</f>
        <v>0</v>
      </c>
    </row>
    <row r="121" spans="10:11">
      <c r="J121">
        <f>IF(F121="Culex tarsalis",G121,0)</f>
        <v>0</v>
      </c>
      <c r="K121">
        <f>IF(F121="Culex pipiens",G121,0)</f>
        <v>0</v>
      </c>
    </row>
    <row r="122" spans="10:11">
      <c r="J122">
        <f>IF(F122="Culex tarsalis",G122,0)</f>
        <v>0</v>
      </c>
      <c r="K122">
        <f>IF(F122="Culex pipiens",G122,0)</f>
        <v>0</v>
      </c>
    </row>
    <row r="123" spans="10:11">
      <c r="J123">
        <f>IF(F123="Culex tarsalis",G123,0)</f>
        <v>0</v>
      </c>
      <c r="K123">
        <f>IF(F123="Culex pipiens",G123,0)</f>
        <v>0</v>
      </c>
    </row>
    <row r="124" spans="10:11">
      <c r="J124">
        <f>IF(F124="Culex tarsalis",G124,0)</f>
        <v>0</v>
      </c>
      <c r="K124">
        <f>IF(F124="Culex pipiens",G124,0)</f>
        <v>0</v>
      </c>
    </row>
    <row r="125" spans="10:11">
      <c r="J125">
        <f>IF(F125="Culex tarsalis",G125,0)</f>
        <v>0</v>
      </c>
      <c r="K125">
        <f>IF(F125="Culex pipiens",G125,0)</f>
        <v>0</v>
      </c>
    </row>
    <row r="126" spans="10:11">
      <c r="J126">
        <f>IF(F126="Culex tarsalis",G126,0)</f>
        <v>0</v>
      </c>
      <c r="K126">
        <f>IF(F126="Culex pipiens",G126,0)</f>
        <v>0</v>
      </c>
    </row>
    <row r="127" spans="10:11">
      <c r="J127">
        <f>IF(F127="Culex tarsalis",G127,0)</f>
        <v>0</v>
      </c>
      <c r="K127">
        <f>IF(F127="Culex pipiens",G127,0)</f>
        <v>0</v>
      </c>
    </row>
    <row r="128" spans="10:11">
      <c r="J128">
        <f>IF(F128="Culex tarsalis",G128,0)</f>
        <v>0</v>
      </c>
      <c r="K128">
        <f>IF(F128="Culex pipiens",G128,0)</f>
        <v>0</v>
      </c>
    </row>
    <row r="129" spans="10:11">
      <c r="J129">
        <f>IF(F129="Culex tarsalis",G129,0)</f>
        <v>0</v>
      </c>
      <c r="K129">
        <f>IF(F129="Culex pipiens",G129,0)</f>
        <v>0</v>
      </c>
    </row>
    <row r="130" spans="10:11">
      <c r="J130">
        <f>IF(F130="Culex tarsalis",G130,0)</f>
        <v>0</v>
      </c>
      <c r="K130">
        <f>IF(F130="Culex pipiens",G130,0)</f>
        <v>0</v>
      </c>
    </row>
    <row r="131" spans="10:11">
      <c r="J131">
        <f>IF(F131="Culex tarsalis",G131,0)</f>
        <v>0</v>
      </c>
      <c r="K131">
        <f>IF(F131="Culex pipiens",G131,0)</f>
        <v>0</v>
      </c>
    </row>
    <row r="132" spans="10:11">
      <c r="J132">
        <f>IF(F132="Culex tarsalis",G132,0)</f>
        <v>0</v>
      </c>
      <c r="K132">
        <f>IF(F132="Culex pipiens",G132,0)</f>
        <v>0</v>
      </c>
    </row>
    <row r="133" spans="10:11">
      <c r="J133">
        <f>IF(F133="Culex tarsalis",G133,0)</f>
        <v>0</v>
      </c>
      <c r="K133">
        <f>IF(F133="Culex pipiens",G133,0)</f>
        <v>0</v>
      </c>
    </row>
    <row r="134" spans="10:11">
      <c r="J134">
        <f>IF(F134="Culex tarsalis",G134,0)</f>
        <v>0</v>
      </c>
      <c r="K134">
        <f>IF(F134="Culex pipiens",G134,0)</f>
        <v>0</v>
      </c>
    </row>
    <row r="135" spans="10:11">
      <c r="J135">
        <f>IF(F135="Culex tarsalis",G135,0)</f>
        <v>0</v>
      </c>
      <c r="K135">
        <f>IF(F135="Culex pipiens",G135,0)</f>
        <v>0</v>
      </c>
    </row>
    <row r="136" spans="10:11">
      <c r="J136">
        <f>IF(F136="Culex tarsalis",G136,0)</f>
        <v>0</v>
      </c>
      <c r="K136">
        <f>IF(F136="Culex pipiens",G136,0)</f>
        <v>0</v>
      </c>
    </row>
    <row r="137" spans="10:11">
      <c r="J137">
        <f>IF(F137="Culex tarsalis",G137,0)</f>
        <v>0</v>
      </c>
      <c r="K137">
        <f>IF(F137="Culex pipiens",G137,0)</f>
        <v>0</v>
      </c>
    </row>
    <row r="138" spans="10:11">
      <c r="J138">
        <f>IF(F138="Culex tarsalis",G138,0)</f>
        <v>0</v>
      </c>
      <c r="K138">
        <f>IF(F138="Culex pipiens",G138,0)</f>
        <v>0</v>
      </c>
    </row>
    <row r="139" spans="10:11">
      <c r="J139">
        <f>IF(F139="Culex tarsalis",G139,0)</f>
        <v>0</v>
      </c>
      <c r="K139">
        <f>IF(F139="Culex pipiens",G139,0)</f>
        <v>0</v>
      </c>
    </row>
    <row r="140" spans="10:11">
      <c r="J140">
        <f>IF(F140="Culex tarsalis",G140,0)</f>
        <v>0</v>
      </c>
      <c r="K140">
        <f>IF(F140="Culex pipiens",G140,0)</f>
        <v>0</v>
      </c>
    </row>
    <row r="141" spans="10:11">
      <c r="J141">
        <f>IF(F141="Culex tarsalis",G141,0)</f>
        <v>0</v>
      </c>
      <c r="K141">
        <f>IF(F141="Culex pipiens",G141,0)</f>
        <v>0</v>
      </c>
    </row>
    <row r="142" spans="10:11">
      <c r="J142">
        <f>IF(F142="Culex tarsalis",G142,0)</f>
        <v>0</v>
      </c>
      <c r="K142">
        <f>IF(F142="Culex pipiens",G142,0)</f>
        <v>0</v>
      </c>
    </row>
    <row r="143" spans="10:11">
      <c r="J143">
        <f>IF(F143="Culex tarsalis",G143,0)</f>
        <v>0</v>
      </c>
      <c r="K143">
        <f>IF(F143="Culex pipiens",G143,0)</f>
        <v>0</v>
      </c>
    </row>
    <row r="144" spans="10:11">
      <c r="J144">
        <f>IF(F144="Culex tarsalis",G144,0)</f>
        <v>0</v>
      </c>
      <c r="K144">
        <f>IF(F144="Culex pipiens",G144,0)</f>
        <v>0</v>
      </c>
    </row>
    <row r="145" spans="10:11">
      <c r="J145">
        <f>IF(F145="Culex tarsalis",G145,0)</f>
        <v>0</v>
      </c>
      <c r="K145">
        <f>IF(F145="Culex pipiens",G145,0)</f>
        <v>0</v>
      </c>
    </row>
    <row r="146" spans="10:11">
      <c r="J146">
        <f>IF(F146="Culex tarsalis",G146,0)</f>
        <v>0</v>
      </c>
      <c r="K146">
        <f>IF(F146="Culex pipiens",G146,0)</f>
        <v>0</v>
      </c>
    </row>
    <row r="147" spans="10:11">
      <c r="J147">
        <f>IF(F147="Culex tarsalis",G147,0)</f>
        <v>0</v>
      </c>
      <c r="K147">
        <f>IF(F147="Culex pipiens",G147,0)</f>
        <v>0</v>
      </c>
    </row>
    <row r="148" spans="10:11">
      <c r="J148">
        <f>IF(F148="Culex tarsalis",G148,0)</f>
        <v>0</v>
      </c>
      <c r="K148">
        <f>IF(F148="Culex pipiens",G148,0)</f>
        <v>0</v>
      </c>
    </row>
    <row r="149" spans="10:11">
      <c r="J149">
        <f>IF(F149="Culex tarsalis",G149,0)</f>
        <v>0</v>
      </c>
      <c r="K149">
        <f>IF(F149="Culex pipiens",G149,0)</f>
        <v>0</v>
      </c>
    </row>
    <row r="150" spans="10:11">
      <c r="J150">
        <f>IF(F150="Culex tarsalis",G150,0)</f>
        <v>0</v>
      </c>
      <c r="K150">
        <f>IF(F150="Culex pipiens",G150,0)</f>
        <v>0</v>
      </c>
    </row>
    <row r="151" spans="10:11">
      <c r="J151">
        <f>IF(F151="Culex tarsalis",G151,0)</f>
        <v>0</v>
      </c>
      <c r="K151">
        <f>IF(F151="Culex pipiens",G151,0)</f>
        <v>0</v>
      </c>
    </row>
    <row r="152" spans="10:11">
      <c r="J152">
        <f>IF(F152="Culex tarsalis",G152,0)</f>
        <v>0</v>
      </c>
      <c r="K152">
        <f>IF(F152="Culex pipiens",G152,0)</f>
        <v>0</v>
      </c>
    </row>
    <row r="153" spans="10:11">
      <c r="J153">
        <f>IF(F153="Culex tarsalis",G153,0)</f>
        <v>0</v>
      </c>
      <c r="K153">
        <f>IF(F153="Culex pipiens",G153,0)</f>
        <v>0</v>
      </c>
    </row>
    <row r="154" spans="10:11">
      <c r="J154">
        <f>IF(F154="Culex tarsalis",G154,0)</f>
        <v>0</v>
      </c>
      <c r="K154">
        <f>IF(F154="Culex pipiens",G154,0)</f>
        <v>0</v>
      </c>
    </row>
    <row r="155" spans="10:11">
      <c r="J155">
        <f>IF(F155="Culex tarsalis",G155,0)</f>
        <v>0</v>
      </c>
      <c r="K155">
        <f>IF(F155="Culex pipiens",G155,0)</f>
        <v>0</v>
      </c>
    </row>
    <row r="156" spans="10:11">
      <c r="J156">
        <f>IF(F156="Culex tarsalis",G156,0)</f>
        <v>0</v>
      </c>
      <c r="K156">
        <f>IF(F156="Culex pipiens",G156,0)</f>
        <v>0</v>
      </c>
    </row>
    <row r="157" spans="10:11">
      <c r="J157">
        <f>IF(F157="Culex tarsalis",G157,0)</f>
        <v>0</v>
      </c>
      <c r="K157">
        <f>IF(F157="Culex pipiens",G157,0)</f>
        <v>0</v>
      </c>
    </row>
    <row r="158" spans="10:11">
      <c r="J158">
        <f>IF(F158="Culex tarsalis",G158,0)</f>
        <v>0</v>
      </c>
      <c r="K158">
        <f>IF(F158="Culex pipiens",G158,0)</f>
        <v>0</v>
      </c>
    </row>
    <row r="159" spans="10:11">
      <c r="J159">
        <f>IF(F159="Culex tarsalis",G159,0)</f>
        <v>0</v>
      </c>
      <c r="K159">
        <f>IF(F159="Culex pipiens",G159,0)</f>
        <v>0</v>
      </c>
    </row>
    <row r="160" spans="10:11">
      <c r="J160">
        <f>IF(F160="Culex tarsalis",G160,0)</f>
        <v>0</v>
      </c>
      <c r="K160">
        <f>IF(F160="Culex pipiens",G160,0)</f>
        <v>0</v>
      </c>
    </row>
    <row r="161" spans="10:11">
      <c r="J161">
        <f>IF(F161="Culex tarsalis",G161,0)</f>
        <v>0</v>
      </c>
      <c r="K161">
        <f>IF(F161="Culex pipiens",G161,0)</f>
        <v>0</v>
      </c>
    </row>
    <row r="162" spans="10:11">
      <c r="J162">
        <f>IF(F162="Culex tarsalis",G162,0)</f>
        <v>0</v>
      </c>
      <c r="K162">
        <f>IF(F162="Culex pipiens",G162,0)</f>
        <v>0</v>
      </c>
    </row>
    <row r="163" spans="10:11">
      <c r="J163">
        <f>IF(F163="Culex tarsalis",G163,0)</f>
        <v>0</v>
      </c>
      <c r="K163">
        <f>IF(F163="Culex pipiens",G163,0)</f>
        <v>0</v>
      </c>
    </row>
    <row r="164" spans="10:11">
      <c r="J164">
        <f>IF(F164="Culex tarsalis",G164,0)</f>
        <v>0</v>
      </c>
      <c r="K164">
        <f>IF(F164="Culex pipiens",G164,0)</f>
        <v>0</v>
      </c>
    </row>
    <row r="165" spans="10:11">
      <c r="J165">
        <f>IF(F165="Culex tarsalis",G165,0)</f>
        <v>0</v>
      </c>
      <c r="K165">
        <f>IF(F165="Culex pipiens",G165,0)</f>
        <v>0</v>
      </c>
    </row>
    <row r="166" spans="10:11">
      <c r="J166">
        <f>IF(F166="Culex tarsalis",G166,0)</f>
        <v>0</v>
      </c>
      <c r="K166">
        <f>IF(F166="Culex pipiens",G166,0)</f>
        <v>0</v>
      </c>
    </row>
    <row r="167" spans="10:11">
      <c r="J167">
        <f>IF(F167="Culex tarsalis",G167,0)</f>
        <v>0</v>
      </c>
      <c r="K167">
        <f>IF(F167="Culex pipiens",G167,0)</f>
        <v>0</v>
      </c>
    </row>
    <row r="168" spans="10:11">
      <c r="J168">
        <f>IF(F168="Culex tarsalis",G168,0)</f>
        <v>0</v>
      </c>
      <c r="K168">
        <f>IF(F168="Culex pipiens",G168,0)</f>
        <v>0</v>
      </c>
    </row>
    <row r="169" spans="10:11">
      <c r="J169">
        <f>IF(F169="Culex tarsalis",G169,0)</f>
        <v>0</v>
      </c>
      <c r="K169">
        <f>IF(F169="Culex pipiens",G169,0)</f>
        <v>0</v>
      </c>
    </row>
    <row r="170" spans="10:11">
      <c r="J170">
        <f>IF(F170="Culex tarsalis",G170,0)</f>
        <v>0</v>
      </c>
      <c r="K170">
        <f>IF(F170="Culex pipiens",G170,0)</f>
        <v>0</v>
      </c>
    </row>
    <row r="171" spans="10:11">
      <c r="J171">
        <f>IF(F171="Culex tarsalis",G171,0)</f>
        <v>0</v>
      </c>
      <c r="K171">
        <f>IF(F171="Culex pipiens",G171,0)</f>
        <v>0</v>
      </c>
    </row>
    <row r="172" spans="10:11">
      <c r="J172">
        <f>IF(F172="Culex tarsalis",G172,0)</f>
        <v>0</v>
      </c>
      <c r="K172">
        <f>IF(F172="Culex pipiens",G172,0)</f>
        <v>0</v>
      </c>
    </row>
    <row r="173" spans="10:11">
      <c r="J173">
        <f>IF(F173="Culex tarsalis",G173,0)</f>
        <v>0</v>
      </c>
      <c r="K173">
        <f>IF(F173="Culex pipiens",G173,0)</f>
        <v>0</v>
      </c>
    </row>
    <row r="174" spans="10:11">
      <c r="J174">
        <f>IF(F174="Culex tarsalis",G174,0)</f>
        <v>0</v>
      </c>
      <c r="K174">
        <f>IF(F174="Culex pipiens",G174,0)</f>
        <v>0</v>
      </c>
    </row>
    <row r="175" spans="10:11">
      <c r="J175">
        <f>IF(F175="Culex tarsalis",G175,0)</f>
        <v>0</v>
      </c>
      <c r="K175">
        <f>IF(F175="Culex pipiens",G175,0)</f>
        <v>0</v>
      </c>
    </row>
    <row r="176" spans="10:11">
      <c r="J176">
        <f>IF(F176="Culex tarsalis",G176,0)</f>
        <v>0</v>
      </c>
      <c r="K176">
        <f>IF(F176="Culex pipiens",G176,0)</f>
        <v>0</v>
      </c>
    </row>
    <row r="177" spans="10:11">
      <c r="J177">
        <f>IF(F177="Culex tarsalis",G177,0)</f>
        <v>0</v>
      </c>
      <c r="K177">
        <f>IF(F177="Culex pipiens",G177,0)</f>
        <v>0</v>
      </c>
    </row>
    <row r="178" spans="10:11">
      <c r="J178">
        <f>IF(F178="Culex tarsalis",G178,0)</f>
        <v>0</v>
      </c>
      <c r="K178">
        <f>IF(F178="Culex pipiens",G178,0)</f>
        <v>0</v>
      </c>
    </row>
    <row r="179" spans="10:11">
      <c r="J179">
        <f>IF(F179="Culex tarsalis",G179,0)</f>
        <v>0</v>
      </c>
      <c r="K179">
        <f>IF(F179="Culex pipiens",G179,0)</f>
        <v>0</v>
      </c>
    </row>
    <row r="180" spans="10:11">
      <c r="J180">
        <f>IF(F180="Culex tarsalis",G180,0)</f>
        <v>0</v>
      </c>
      <c r="K180">
        <f>IF(F180="Culex pipiens",G180,0)</f>
        <v>0</v>
      </c>
    </row>
    <row r="181" spans="10:11">
      <c r="J181">
        <f>IF(F181="Culex tarsalis",G181,0)</f>
        <v>0</v>
      </c>
      <c r="K181">
        <f>IF(F181="Culex pipiens",G181,0)</f>
        <v>0</v>
      </c>
    </row>
    <row r="182" spans="10:11">
      <c r="J182">
        <f>IF(F182="Culex tarsalis",G182,0)</f>
        <v>0</v>
      </c>
      <c r="K182">
        <f>IF(F182="Culex pipiens",G182,0)</f>
        <v>0</v>
      </c>
    </row>
    <row r="183" spans="10:11">
      <c r="J183">
        <f>IF(F183="Culex tarsalis",G183,0)</f>
        <v>0</v>
      </c>
      <c r="K183">
        <f>IF(F183="Culex pipiens",G183,0)</f>
        <v>0</v>
      </c>
    </row>
    <row r="184" spans="10:11">
      <c r="J184">
        <f>IF(F184="Culex tarsalis",G184,0)</f>
        <v>0</v>
      </c>
      <c r="K184">
        <f>IF(F184="Culex pipiens",G184,0)</f>
        <v>0</v>
      </c>
    </row>
    <row r="185" spans="10:11">
      <c r="J185">
        <f>IF(F185="Culex tarsalis",G185,0)</f>
        <v>0</v>
      </c>
      <c r="K185">
        <f>IF(F185="Culex pipiens",G185,0)</f>
        <v>0</v>
      </c>
    </row>
    <row r="186" spans="10:11">
      <c r="J186">
        <f>IF(F186="Culex tarsalis",G186,0)</f>
        <v>0</v>
      </c>
      <c r="K186">
        <f>IF(F186="Culex pipiens",G186,0)</f>
        <v>0</v>
      </c>
    </row>
    <row r="187" spans="10:11">
      <c r="J187">
        <f>IF(F187="Culex tarsalis",G187,0)</f>
        <v>0</v>
      </c>
      <c r="K187">
        <f>IF(F187="Culex pipiens",G187,0)</f>
        <v>0</v>
      </c>
    </row>
    <row r="188" spans="10:11">
      <c r="J188">
        <f>IF(F188="Culex tarsalis",G188,0)</f>
        <v>0</v>
      </c>
      <c r="K188">
        <f>IF(F188="Culex pipiens",G188,0)</f>
        <v>0</v>
      </c>
    </row>
    <row r="189" spans="10:11">
      <c r="J189">
        <f>IF(F189="Culex tarsalis",G189,0)</f>
        <v>0</v>
      </c>
      <c r="K189">
        <f>IF(F189="Culex pipiens",G189,0)</f>
        <v>0</v>
      </c>
    </row>
    <row r="190" spans="10:11">
      <c r="J190">
        <f>IF(F190="Culex tarsalis",G190,0)</f>
        <v>0</v>
      </c>
      <c r="K190">
        <f>IF(F190="Culex pipiens",G190,0)</f>
        <v>0</v>
      </c>
    </row>
    <row r="191" spans="10:11">
      <c r="J191">
        <f>IF(F191="Culex tarsalis",G191,0)</f>
        <v>0</v>
      </c>
      <c r="K191">
        <f>IF(F191="Culex pipiens",G191,0)</f>
        <v>0</v>
      </c>
    </row>
    <row r="192" spans="10:11">
      <c r="J192">
        <f>IF(F192="Culex tarsalis",G192,0)</f>
        <v>0</v>
      </c>
      <c r="K192">
        <f>IF(F192="Culex pipiens",G192,0)</f>
        <v>0</v>
      </c>
    </row>
    <row r="193" spans="10:11">
      <c r="J193">
        <f>IF(F193="Culex tarsalis",G193,0)</f>
        <v>0</v>
      </c>
      <c r="K193">
        <f>IF(F193="Culex pipiens",G193,0)</f>
        <v>0</v>
      </c>
    </row>
    <row r="194" spans="10:11">
      <c r="J194">
        <f>IF(F194="Culex tarsalis",G194,0)</f>
        <v>0</v>
      </c>
      <c r="K194">
        <f>IF(F194="Culex pipiens",G194,0)</f>
        <v>0</v>
      </c>
    </row>
    <row r="195" spans="10:11">
      <c r="J195">
        <f>IF(F195="Culex tarsalis",G195,0)</f>
        <v>0</v>
      </c>
      <c r="K195">
        <f>IF(F195="Culex pipiens",G195,0)</f>
        <v>0</v>
      </c>
    </row>
    <row r="196" spans="10:11">
      <c r="J196">
        <f>IF(F196="Culex tarsalis",G196,0)</f>
        <v>0</v>
      </c>
      <c r="K196">
        <f>IF(F196="Culex pipiens",G196,0)</f>
        <v>0</v>
      </c>
    </row>
    <row r="197" spans="10:11">
      <c r="J197">
        <f>IF(F197="Culex tarsalis",G197,0)</f>
        <v>0</v>
      </c>
      <c r="K197">
        <f>IF(F197="Culex pipiens",G197,0)</f>
        <v>0</v>
      </c>
    </row>
    <row r="198" spans="10:11">
      <c r="J198">
        <f>IF(F198="Culex tarsalis",G198,0)</f>
        <v>0</v>
      </c>
      <c r="K198">
        <f>IF(F198="Culex pipiens",G198,0)</f>
        <v>0</v>
      </c>
    </row>
    <row r="199" spans="10:11">
      <c r="J199">
        <f>IF(F199="Culex tarsalis",G199,0)</f>
        <v>0</v>
      </c>
      <c r="K199">
        <f>IF(F199="Culex pipiens",G199,0)</f>
        <v>0</v>
      </c>
    </row>
    <row r="200" spans="10:11">
      <c r="J200">
        <f>IF(F200="Culex tarsalis",G200,0)</f>
        <v>0</v>
      </c>
      <c r="K200">
        <f>IF(F200="Culex pipiens",G200,0)</f>
        <v>0</v>
      </c>
    </row>
    <row r="201" spans="10:11">
      <c r="J201">
        <f>IF(F201="Culex tarsalis",G201,0)</f>
        <v>0</v>
      </c>
      <c r="K201">
        <f>IF(F201="Culex pipiens",G201,0)</f>
        <v>0</v>
      </c>
    </row>
    <row r="202" spans="10:11">
      <c r="J202">
        <f>IF(F202="Culex tarsalis",G202,0)</f>
        <v>0</v>
      </c>
      <c r="K202">
        <f>IF(F202="Culex pipiens",G202,0)</f>
        <v>0</v>
      </c>
    </row>
    <row r="203" spans="10:11">
      <c r="J203">
        <f>IF(F203="Culex tarsalis",G203,0)</f>
        <v>0</v>
      </c>
      <c r="K203">
        <f>IF(F203="Culex pipiens",G203,0)</f>
        <v>0</v>
      </c>
    </row>
    <row r="204" spans="10:11">
      <c r="J204">
        <f>IF(F204="Culex tarsalis",G204,0)</f>
        <v>0</v>
      </c>
      <c r="K204">
        <f>IF(F204="Culex pipiens",G204,0)</f>
        <v>0</v>
      </c>
    </row>
    <row r="205" spans="10:11">
      <c r="J205">
        <f>IF(F205="Culex tarsalis",G205,0)</f>
        <v>0</v>
      </c>
      <c r="K205">
        <f>IF(F205="Culex pipiens",G205,0)</f>
        <v>0</v>
      </c>
    </row>
    <row r="206" spans="10:11">
      <c r="J206">
        <f>IF(F206="Culex tarsalis",G206,0)</f>
        <v>0</v>
      </c>
      <c r="K206">
        <f>IF(F206="Culex pipiens",G206,0)</f>
        <v>0</v>
      </c>
    </row>
    <row r="207" spans="10:11">
      <c r="J207">
        <f>IF(F207="Culex tarsalis",G207,0)</f>
        <v>0</v>
      </c>
      <c r="K207">
        <f>IF(F207="Culex pipiens",G207,0)</f>
        <v>0</v>
      </c>
    </row>
    <row r="208" spans="10:11">
      <c r="J208">
        <f>IF(F208="Culex tarsalis",G208,0)</f>
        <v>0</v>
      </c>
      <c r="K208">
        <f>IF(F208="Culex pipiens",G208,0)</f>
        <v>0</v>
      </c>
    </row>
    <row r="209" spans="10:11">
      <c r="J209">
        <f>IF(F209="Culex tarsalis",G209,0)</f>
        <v>0</v>
      </c>
      <c r="K209">
        <f>IF(F209="Culex pipiens",G209,0)</f>
        <v>0</v>
      </c>
    </row>
    <row r="210" spans="10:11">
      <c r="J210">
        <f>IF(F210="Culex tarsalis",G210,0)</f>
        <v>0</v>
      </c>
      <c r="K210">
        <f>IF(F210="Culex pipiens",G210,0)</f>
        <v>0</v>
      </c>
    </row>
    <row r="211" spans="10:11">
      <c r="J211">
        <f>IF(F211="Culex tarsalis",G211,0)</f>
        <v>0</v>
      </c>
      <c r="K211">
        <f>IF(F211="Culex pipiens",G211,0)</f>
        <v>0</v>
      </c>
    </row>
    <row r="212" spans="10:11">
      <c r="J212">
        <f>IF(F212="Culex tarsalis",G212,0)</f>
        <v>0</v>
      </c>
      <c r="K212">
        <f>IF(F212="Culex pipiens",G212,0)</f>
        <v>0</v>
      </c>
    </row>
    <row r="213" spans="10:11">
      <c r="J213">
        <f>IF(F213="Culex tarsalis",G213,0)</f>
        <v>0</v>
      </c>
      <c r="K213">
        <f>IF(F213="Culex pipiens",G213,0)</f>
        <v>0</v>
      </c>
    </row>
    <row r="214" spans="10:11">
      <c r="J214">
        <f>IF(F214="Culex tarsalis",G214,0)</f>
        <v>0</v>
      </c>
      <c r="K214">
        <f>IF(F214="Culex pipiens",G214,0)</f>
        <v>0</v>
      </c>
    </row>
    <row r="215" spans="10:11">
      <c r="J215">
        <f>IF(F215="Culex tarsalis",G215,0)</f>
        <v>0</v>
      </c>
      <c r="K215">
        <f>IF(F215="Culex pipiens",G215,0)</f>
        <v>0</v>
      </c>
    </row>
    <row r="216" spans="10:11">
      <c r="J216">
        <f>IF(F216="Culex tarsalis",G216,0)</f>
        <v>0</v>
      </c>
      <c r="K216">
        <f>IF(F216="Culex pipiens",G216,0)</f>
        <v>0</v>
      </c>
    </row>
    <row r="217" spans="10:11">
      <c r="J217">
        <f>IF(F217="Culex tarsalis",G217,0)</f>
        <v>0</v>
      </c>
      <c r="K217">
        <f>IF(F217="Culex pipiens",G217,0)</f>
        <v>0</v>
      </c>
    </row>
    <row r="218" spans="10:11">
      <c r="J218">
        <f>IF(F218="Culex tarsalis",G218,0)</f>
        <v>0</v>
      </c>
      <c r="K218">
        <f>IF(F218="Culex pipiens",G218,0)</f>
        <v>0</v>
      </c>
    </row>
    <row r="219" spans="10:11">
      <c r="J219">
        <f>IF(F219="Culex tarsalis",G219,0)</f>
        <v>0</v>
      </c>
      <c r="K219">
        <f>IF(F219="Culex pipiens",G219,0)</f>
        <v>0</v>
      </c>
    </row>
    <row r="220" spans="10:11">
      <c r="J220">
        <f>IF(F220="Culex tarsalis",G220,0)</f>
        <v>0</v>
      </c>
      <c r="K220">
        <f>IF(F220="Culex pipiens",G220,0)</f>
        <v>0</v>
      </c>
    </row>
    <row r="221" spans="10:11">
      <c r="J221">
        <f>IF(F221="Culex tarsalis",G221,0)</f>
        <v>0</v>
      </c>
      <c r="K221">
        <f>IF(F221="Culex pipiens",G221,0)</f>
        <v>0</v>
      </c>
    </row>
    <row r="222" spans="10:11">
      <c r="J222">
        <f>IF(F222="Culex tarsalis",G222,0)</f>
        <v>0</v>
      </c>
      <c r="K222">
        <f>IF(F222="Culex pipiens",G222,0)</f>
        <v>0</v>
      </c>
    </row>
    <row r="223" spans="10:11">
      <c r="J223">
        <f>IF(F223="Culex tarsalis",G223,0)</f>
        <v>0</v>
      </c>
      <c r="K223">
        <f>IF(F223="Culex pipiens",G223,0)</f>
        <v>0</v>
      </c>
    </row>
    <row r="224" spans="10:11">
      <c r="J224">
        <f>IF(F224="Culex tarsalis",G224,0)</f>
        <v>0</v>
      </c>
      <c r="K224">
        <f>IF(F224="Culex pipiens",G224,0)</f>
        <v>0</v>
      </c>
    </row>
    <row r="225" spans="10:11">
      <c r="J225">
        <f>IF(F225="Culex tarsalis",G225,0)</f>
        <v>0</v>
      </c>
      <c r="K225">
        <f>IF(F225="Culex pipiens",G225,0)</f>
        <v>0</v>
      </c>
    </row>
    <row r="226" spans="10:11">
      <c r="J226">
        <f>IF(F226="Culex tarsalis",G226,0)</f>
        <v>0</v>
      </c>
      <c r="K226">
        <f>IF(F226="Culex pipiens",G226,0)</f>
        <v>0</v>
      </c>
    </row>
    <row r="227" spans="10:11">
      <c r="J227">
        <f>IF(F227="Culex tarsalis",G227,0)</f>
        <v>0</v>
      </c>
      <c r="K227">
        <f>IF(F227="Culex pipiens",G227,0)</f>
        <v>0</v>
      </c>
    </row>
    <row r="228" spans="10:11">
      <c r="J228">
        <f>IF(F228="Culex tarsalis",G228,0)</f>
        <v>0</v>
      </c>
      <c r="K228">
        <f>IF(F228="Culex pipiens",G228,0)</f>
        <v>0</v>
      </c>
    </row>
    <row r="229" spans="10:11">
      <c r="J229">
        <f>IF(F229="Culex tarsalis",G229,0)</f>
        <v>0</v>
      </c>
      <c r="K229">
        <f>IF(F229="Culex pipiens",G229,0)</f>
        <v>0</v>
      </c>
    </row>
    <row r="230" spans="10:11">
      <c r="J230">
        <f>IF(F230="Culex tarsalis",G230,0)</f>
        <v>0</v>
      </c>
      <c r="K230">
        <f>IF(F230="Culex pipiens",G230,0)</f>
        <v>0</v>
      </c>
    </row>
    <row r="231" spans="10:11">
      <c r="J231">
        <f>IF(F231="Culex tarsalis",G231,0)</f>
        <v>0</v>
      </c>
      <c r="K231">
        <f>IF(F231="Culex pipiens",G231,0)</f>
        <v>0</v>
      </c>
    </row>
    <row r="232" spans="10:11">
      <c r="J232">
        <f>IF(F232="Culex tarsalis",G232,0)</f>
        <v>0</v>
      </c>
      <c r="K232">
        <f>IF(F232="Culex pipiens",G232,0)</f>
        <v>0</v>
      </c>
    </row>
    <row r="233" spans="10:11">
      <c r="J233">
        <f>IF(F233="Culex tarsalis",G233,0)</f>
        <v>0</v>
      </c>
      <c r="K233">
        <f>IF(F233="Culex pipiens",G233,0)</f>
        <v>0</v>
      </c>
    </row>
    <row r="234" spans="10:11">
      <c r="J234">
        <f>IF(F234="Culex tarsalis",G234,0)</f>
        <v>0</v>
      </c>
      <c r="K234">
        <f>IF(F234="Culex pipiens",G234,0)</f>
        <v>0</v>
      </c>
    </row>
    <row r="235" spans="10:11">
      <c r="J235">
        <f>IF(F235="Culex tarsalis",G235,0)</f>
        <v>0</v>
      </c>
      <c r="K235">
        <f>IF(F235="Culex pipiens",G235,0)</f>
        <v>0</v>
      </c>
    </row>
    <row r="236" spans="10:11">
      <c r="J236">
        <f>IF(F236="Culex tarsalis",G236,0)</f>
        <v>0</v>
      </c>
      <c r="K236">
        <f>IF(F236="Culex pipiens",G236,0)</f>
        <v>0</v>
      </c>
    </row>
    <row r="237" spans="10:11">
      <c r="J237">
        <f>IF(F237="Culex tarsalis",G237,0)</f>
        <v>0</v>
      </c>
      <c r="K237">
        <f>IF(F237="Culex pipiens",G237,0)</f>
        <v>0</v>
      </c>
    </row>
    <row r="238" spans="10:11">
      <c r="J238">
        <f>IF(F238="Culex tarsalis",G238,0)</f>
        <v>0</v>
      </c>
      <c r="K238">
        <f>IF(F238="Culex pipiens",G238,0)</f>
        <v>0</v>
      </c>
    </row>
    <row r="239" spans="10:11">
      <c r="J239">
        <f>IF(F239="Culex tarsalis",G239,0)</f>
        <v>0</v>
      </c>
      <c r="K239">
        <f>IF(F239="Culex pipiens",G239,0)</f>
        <v>0</v>
      </c>
    </row>
    <row r="240" spans="10:11">
      <c r="J240">
        <f>IF(F240="Culex tarsalis",G240,0)</f>
        <v>0</v>
      </c>
      <c r="K240">
        <f>IF(F240="Culex pipiens",G240,0)</f>
        <v>0</v>
      </c>
    </row>
    <row r="241" spans="10:11">
      <c r="J241">
        <f>IF(F241="Culex tarsalis",G241,0)</f>
        <v>0</v>
      </c>
      <c r="K241">
        <f>IF(F241="Culex pipiens",G241,0)</f>
        <v>0</v>
      </c>
    </row>
    <row r="242" spans="10:11">
      <c r="J242">
        <f>IF(F242="Culex tarsalis",G242,0)</f>
        <v>0</v>
      </c>
      <c r="K242">
        <f>IF(F242="Culex pipiens",G242,0)</f>
        <v>0</v>
      </c>
    </row>
    <row r="243" spans="10:11">
      <c r="J243">
        <f>IF(F243="Culex tarsalis",G243,0)</f>
        <v>0</v>
      </c>
      <c r="K243">
        <f>IF(F243="Culex pipiens",G243,0)</f>
        <v>0</v>
      </c>
    </row>
    <row r="244" spans="10:11">
      <c r="J244">
        <f>IF(F244="Culex tarsalis",G244,0)</f>
        <v>0</v>
      </c>
      <c r="K244">
        <f>IF(F244="Culex pipiens",G244,0)</f>
        <v>0</v>
      </c>
    </row>
    <row r="245" spans="10:11">
      <c r="J245">
        <f>IF(F245="Culex tarsalis",G245,0)</f>
        <v>0</v>
      </c>
      <c r="K245">
        <f>IF(F245="Culex pipiens",G245,0)</f>
        <v>0</v>
      </c>
    </row>
    <row r="246" spans="10:11">
      <c r="J246">
        <f>IF(F246="Culex tarsalis",G246,0)</f>
        <v>0</v>
      </c>
      <c r="K246">
        <f>IF(F246="Culex pipiens",G246,0)</f>
        <v>0</v>
      </c>
    </row>
    <row r="247" spans="10:11">
      <c r="J247">
        <f>IF(F247="Culex tarsalis",G247,0)</f>
        <v>0</v>
      </c>
      <c r="K247">
        <f>IF(F247="Culex pipiens",G247,0)</f>
        <v>0</v>
      </c>
    </row>
    <row r="248" spans="10:11">
      <c r="J248">
        <f>IF(F248="Culex tarsalis",G248,0)</f>
        <v>0</v>
      </c>
      <c r="K248">
        <f>IF(F248="Culex pipiens",G248,0)</f>
        <v>0</v>
      </c>
    </row>
    <row r="249" spans="10:11">
      <c r="J249">
        <f>IF(F249="Culex tarsalis",G249,0)</f>
        <v>0</v>
      </c>
      <c r="K249">
        <f>IF(F249="Culex pipiens",G249,0)</f>
        <v>0</v>
      </c>
    </row>
    <row r="250" spans="10:11">
      <c r="J250">
        <f>IF(F250="Culex tarsalis",G250,0)</f>
        <v>0</v>
      </c>
      <c r="K250">
        <f>IF(F250="Culex pipiens",G250,0)</f>
        <v>0</v>
      </c>
    </row>
    <row r="251" spans="10:11">
      <c r="J251">
        <f>IF(F251="Culex tarsalis",G251,0)</f>
        <v>0</v>
      </c>
      <c r="K251">
        <f>IF(F251="Culex pipiens",G251,0)</f>
        <v>0</v>
      </c>
    </row>
    <row r="252" spans="10:11">
      <c r="J252">
        <f>IF(F252="Culex tarsalis",G252,0)</f>
        <v>0</v>
      </c>
      <c r="K252">
        <f>IF(F252="Culex pipiens",G252,0)</f>
        <v>0</v>
      </c>
    </row>
    <row r="253" spans="10:11">
      <c r="J253">
        <f>IF(F253="Culex tarsalis",G253,0)</f>
        <v>0</v>
      </c>
      <c r="K253">
        <f>IF(F253="Culex pipiens",G253,0)</f>
        <v>0</v>
      </c>
    </row>
    <row r="254" spans="10:11">
      <c r="J254">
        <f>IF(F254="Culex tarsalis",G254,0)</f>
        <v>0</v>
      </c>
      <c r="K254">
        <f>IF(F254="Culex pipiens",G254,0)</f>
        <v>0</v>
      </c>
    </row>
    <row r="255" spans="10:11">
      <c r="J255">
        <f>IF(F255="Culex tarsalis",G255,0)</f>
        <v>0</v>
      </c>
      <c r="K255">
        <f>IF(F255="Culex pipiens",G255,0)</f>
        <v>0</v>
      </c>
    </row>
    <row r="256" spans="10:11">
      <c r="J256">
        <f>IF(F256="Culex tarsalis",G256,0)</f>
        <v>0</v>
      </c>
      <c r="K256">
        <f>IF(F256="Culex pipiens",G256,0)</f>
        <v>0</v>
      </c>
    </row>
    <row r="257" spans="10:11">
      <c r="J257">
        <f>IF(F257="Culex tarsalis",G257,0)</f>
        <v>0</v>
      </c>
      <c r="K257">
        <f>IF(F257="Culex pipiens",G257,0)</f>
        <v>0</v>
      </c>
    </row>
    <row r="258" spans="10:11">
      <c r="J258">
        <f>IF(F258="Culex tarsalis",G258,0)</f>
        <v>0</v>
      </c>
      <c r="K258">
        <f>IF(F258="Culex pipiens",G258,0)</f>
        <v>0</v>
      </c>
    </row>
    <row r="259" spans="10:11">
      <c r="J259">
        <f>IF(F259="Culex tarsalis",G259,0)</f>
        <v>0</v>
      </c>
      <c r="K259">
        <f>IF(F259="Culex pipiens",G259,0)</f>
        <v>0</v>
      </c>
    </row>
    <row r="260" spans="10:11">
      <c r="J260">
        <f>IF(F260="Culex tarsalis",G260,0)</f>
        <v>0</v>
      </c>
      <c r="K260">
        <f>IF(F260="Culex pipiens",G260,0)</f>
        <v>0</v>
      </c>
    </row>
    <row r="261" spans="10:11">
      <c r="J261">
        <f>IF(F261="Culex tarsalis",G261,0)</f>
        <v>0</v>
      </c>
      <c r="K261">
        <f>IF(F261="Culex pipiens",G261,0)</f>
        <v>0</v>
      </c>
    </row>
    <row r="262" spans="10:11">
      <c r="J262">
        <f>IF(F262="Culex tarsalis",G262,0)</f>
        <v>0</v>
      </c>
      <c r="K262">
        <f>IF(F262="Culex pipiens",G262,0)</f>
        <v>0</v>
      </c>
    </row>
    <row r="263" spans="10:11">
      <c r="J263">
        <f>IF(F263="Culex tarsalis",G263,0)</f>
        <v>0</v>
      </c>
      <c r="K263">
        <f>IF(F263="Culex pipiens",G263,0)</f>
        <v>0</v>
      </c>
    </row>
    <row r="264" spans="10:11">
      <c r="J264">
        <f>IF(F264="Culex tarsalis",G264,0)</f>
        <v>0</v>
      </c>
      <c r="K264">
        <f>IF(F264="Culex pipiens",G264,0)</f>
        <v>0</v>
      </c>
    </row>
    <row r="265" spans="10:11">
      <c r="J265">
        <f>IF(F265="Culex tarsalis",G265,0)</f>
        <v>0</v>
      </c>
      <c r="K265">
        <f>IF(F265="Culex pipiens",G265,0)</f>
        <v>0</v>
      </c>
    </row>
    <row r="266" spans="10:11">
      <c r="J266">
        <f>IF(F266="Culex tarsalis",G266,0)</f>
        <v>0</v>
      </c>
      <c r="K266">
        <f>IF(F266="Culex pipiens",G266,0)</f>
        <v>0</v>
      </c>
    </row>
    <row r="267" spans="10:11">
      <c r="J267">
        <f>IF(F267="Culex tarsalis",G267,0)</f>
        <v>0</v>
      </c>
      <c r="K267">
        <f>IF(F267="Culex pipiens",G267,0)</f>
        <v>0</v>
      </c>
    </row>
    <row r="268" spans="10:11">
      <c r="J268">
        <f>IF(F268="Culex tarsalis",G268,0)</f>
        <v>0</v>
      </c>
      <c r="K268">
        <f>IF(F268="Culex pipiens",G268,0)</f>
        <v>0</v>
      </c>
    </row>
    <row r="269" spans="10:11">
      <c r="J269">
        <f>IF(F269="Culex tarsalis",G269,0)</f>
        <v>0</v>
      </c>
      <c r="K269">
        <f>IF(F269="Culex pipiens",G269,0)</f>
        <v>0</v>
      </c>
    </row>
    <row r="270" spans="10:11">
      <c r="J270">
        <f>IF(F270="Culex tarsalis",G270,0)</f>
        <v>0</v>
      </c>
      <c r="K270">
        <f>IF(F270="Culex pipiens",G270,0)</f>
        <v>0</v>
      </c>
    </row>
    <row r="271" spans="10:11">
      <c r="J271">
        <f>IF(F271="Culex tarsalis",G271,0)</f>
        <v>0</v>
      </c>
      <c r="K271">
        <f>IF(F271="Culex pipiens",G271,0)</f>
        <v>0</v>
      </c>
    </row>
    <row r="272" spans="10:11">
      <c r="J272">
        <f>IF(F272="Culex tarsalis",G272,0)</f>
        <v>0</v>
      </c>
      <c r="K272">
        <f>IF(F272="Culex pipiens",G272,0)</f>
        <v>0</v>
      </c>
    </row>
    <row r="273" spans="10:11">
      <c r="J273">
        <f>IF(F273="Culex tarsalis",G273,0)</f>
        <v>0</v>
      </c>
      <c r="K273">
        <f>IF(F273="Culex pipiens",G273,0)</f>
        <v>0</v>
      </c>
    </row>
    <row r="274" spans="10:11">
      <c r="J274">
        <f>IF(F274="Culex tarsalis",G274,0)</f>
        <v>0</v>
      </c>
      <c r="K274">
        <f>IF(F274="Culex pipiens",G274,0)</f>
        <v>0</v>
      </c>
    </row>
    <row r="275" spans="10:11">
      <c r="J275">
        <f>IF(F275="Culex tarsalis",G275,0)</f>
        <v>0</v>
      </c>
      <c r="K275">
        <f>IF(F275="Culex pipiens",G275,0)</f>
        <v>0</v>
      </c>
    </row>
    <row r="276" spans="10:11">
      <c r="J276">
        <f>IF(F276="Culex tarsalis",G276,0)</f>
        <v>0</v>
      </c>
      <c r="K276">
        <f>IF(F276="Culex pipiens",G276,0)</f>
        <v>0</v>
      </c>
    </row>
    <row r="277" spans="10:11">
      <c r="J277">
        <f>IF(F277="Culex tarsalis",G277,0)</f>
        <v>0</v>
      </c>
      <c r="K277">
        <f>IF(F277="Culex pipiens",G277,0)</f>
        <v>0</v>
      </c>
    </row>
    <row r="278" spans="10:11">
      <c r="J278">
        <f>IF(F278="Culex tarsalis",G278,0)</f>
        <v>0</v>
      </c>
      <c r="K278">
        <f>IF(F278="Culex pipiens",G278,0)</f>
        <v>0</v>
      </c>
    </row>
    <row r="279" spans="10:11">
      <c r="J279">
        <f>IF(F279="Culex tarsalis",G279,0)</f>
        <v>0</v>
      </c>
      <c r="K279">
        <f>IF(F279="Culex pipiens",G279,0)</f>
        <v>0</v>
      </c>
    </row>
    <row r="280" spans="10:11">
      <c r="J280">
        <f>IF(F280="Culex tarsalis",G280,0)</f>
        <v>0</v>
      </c>
      <c r="K280">
        <f>IF(F280="Culex pipiens",G280,0)</f>
        <v>0</v>
      </c>
    </row>
    <row r="281" spans="10:11">
      <c r="J281">
        <f>IF(F281="Culex tarsalis",G281,0)</f>
        <v>0</v>
      </c>
      <c r="K281">
        <f>IF(F281="Culex pipiens",G281,0)</f>
        <v>0</v>
      </c>
    </row>
    <row r="282" spans="10:11">
      <c r="J282">
        <f>IF(F282="Culex tarsalis",G282,0)</f>
        <v>0</v>
      </c>
      <c r="K282">
        <f>IF(F282="Culex pipiens",G282,0)</f>
        <v>0</v>
      </c>
    </row>
    <row r="283" spans="10:11">
      <c r="J283">
        <f>IF(F283="Culex tarsalis",G283,0)</f>
        <v>0</v>
      </c>
      <c r="K283">
        <f>IF(F283="Culex pipiens",G283,0)</f>
        <v>0</v>
      </c>
    </row>
    <row r="284" spans="10:11">
      <c r="J284">
        <f>IF(F284="Culex tarsalis",G284,0)</f>
        <v>0</v>
      </c>
      <c r="K284">
        <f>IF(F284="Culex pipiens",G284,0)</f>
        <v>0</v>
      </c>
    </row>
    <row r="285" spans="10:11">
      <c r="J285">
        <f>IF(F285="Culex tarsalis",G285,0)</f>
        <v>0</v>
      </c>
      <c r="K285">
        <f>IF(F285="Culex pipiens",G285,0)</f>
        <v>0</v>
      </c>
    </row>
    <row r="286" spans="10:11">
      <c r="J286">
        <f>IF(F286="Culex tarsalis",G286,0)</f>
        <v>0</v>
      </c>
      <c r="K286">
        <f>IF(F286="Culex pipiens",G286,0)</f>
        <v>0</v>
      </c>
    </row>
    <row r="287" spans="10:11">
      <c r="J287">
        <f>IF(F287="Culex tarsalis",G287,0)</f>
        <v>0</v>
      </c>
      <c r="K287">
        <f>IF(F287="Culex pipiens",G287,0)</f>
        <v>0</v>
      </c>
    </row>
    <row r="288" spans="10:11">
      <c r="J288">
        <f>IF(F288="Culex tarsalis",G288,0)</f>
        <v>0</v>
      </c>
      <c r="K288">
        <f>IF(F288="Culex pipiens",G288,0)</f>
        <v>0</v>
      </c>
    </row>
    <row r="289" spans="10:11">
      <c r="J289">
        <f>IF(F289="Culex tarsalis",G289,0)</f>
        <v>0</v>
      </c>
      <c r="K289">
        <f>IF(F289="Culex pipiens",G289,0)</f>
        <v>0</v>
      </c>
    </row>
    <row r="290" spans="10:11">
      <c r="J290">
        <f>IF(F290="Culex tarsalis",G290,0)</f>
        <v>0</v>
      </c>
      <c r="K290">
        <f>IF(F290="Culex pipiens",G290,0)</f>
        <v>0</v>
      </c>
    </row>
    <row r="291" spans="10:11">
      <c r="J291">
        <f>IF(F291="Culex tarsalis",G291,0)</f>
        <v>0</v>
      </c>
      <c r="K291">
        <f>IF(F291="Culex pipiens",G291,0)</f>
        <v>0</v>
      </c>
    </row>
    <row r="292" spans="10:11">
      <c r="J292">
        <f>IF(F292="Culex tarsalis",G292,0)</f>
        <v>0</v>
      </c>
      <c r="K292">
        <f>IF(F292="Culex pipiens",G292,0)</f>
        <v>0</v>
      </c>
    </row>
    <row r="293" spans="10:11">
      <c r="J293">
        <f>IF(F293="Culex tarsalis",G293,0)</f>
        <v>0</v>
      </c>
      <c r="K293">
        <f>IF(F293="Culex pipiens",G293,0)</f>
        <v>0</v>
      </c>
    </row>
    <row r="294" spans="10:11">
      <c r="J294">
        <f>IF(F294="Culex tarsalis",G294,0)</f>
        <v>0</v>
      </c>
      <c r="K294">
        <f>IF(F294="Culex pipiens",G294,0)</f>
        <v>0</v>
      </c>
    </row>
    <row r="295" spans="10:11">
      <c r="J295">
        <f>IF(F295="Culex tarsalis",G295,0)</f>
        <v>0</v>
      </c>
      <c r="K295">
        <f>IF(F295="Culex pipiens",G295,0)</f>
        <v>0</v>
      </c>
    </row>
    <row r="296" spans="10:11">
      <c r="J296">
        <f>IF(F296="Culex tarsalis",G296,0)</f>
        <v>0</v>
      </c>
      <c r="K296">
        <f>IF(F296="Culex pipiens",G296,0)</f>
        <v>0</v>
      </c>
    </row>
    <row r="297" spans="10:11">
      <c r="J297">
        <f>IF(F297="Culex tarsalis",G297,0)</f>
        <v>0</v>
      </c>
      <c r="K297">
        <f>IF(F297="Culex pipiens",G297,0)</f>
        <v>0</v>
      </c>
    </row>
    <row r="298" spans="10:11">
      <c r="J298">
        <f>IF(F298="Culex tarsalis",G298,0)</f>
        <v>0</v>
      </c>
      <c r="K298">
        <f>IF(F298="Culex pipiens",G298,0)</f>
        <v>0</v>
      </c>
    </row>
    <row r="299" spans="10:11">
      <c r="J299">
        <f>IF(F299="Culex tarsalis",G299,0)</f>
        <v>0</v>
      </c>
      <c r="K299">
        <f>IF(F299="Culex pipiens",G299,0)</f>
        <v>0</v>
      </c>
    </row>
    <row r="300" spans="10:11">
      <c r="J300">
        <f>IF(F300="Culex tarsalis",G300,0)</f>
        <v>0</v>
      </c>
      <c r="K300">
        <f>IF(F300="Culex pipiens",G300,0)</f>
        <v>0</v>
      </c>
    </row>
    <row r="301" spans="10:11">
      <c r="J301">
        <f>IF(F301="Culex tarsalis",G301,0)</f>
        <v>0</v>
      </c>
      <c r="K301">
        <f>IF(F301="Culex pipiens",G301,0)</f>
        <v>0</v>
      </c>
    </row>
    <row r="302" spans="10:11">
      <c r="J302">
        <f>IF(F302="Culex tarsalis",G302,0)</f>
        <v>0</v>
      </c>
      <c r="K302">
        <f>IF(F302="Culex pipiens",G302,0)</f>
        <v>0</v>
      </c>
    </row>
    <row r="303" spans="10:11">
      <c r="J303">
        <f>IF(F303="Culex tarsalis",G303,0)</f>
        <v>0</v>
      </c>
      <c r="K303">
        <f>IF(F303="Culex pipiens",G303,0)</f>
        <v>0</v>
      </c>
    </row>
    <row r="304" spans="10:11">
      <c r="J304">
        <f>IF(F304="Culex tarsalis",G304,0)</f>
        <v>0</v>
      </c>
      <c r="K304">
        <f>IF(F304="Culex pipiens",G304,0)</f>
        <v>0</v>
      </c>
    </row>
    <row r="305" spans="10:11">
      <c r="J305">
        <f>IF(F305="Culex tarsalis",G305,0)</f>
        <v>0</v>
      </c>
      <c r="K305">
        <f>IF(F305="Culex pipiens",G305,0)</f>
        <v>0</v>
      </c>
    </row>
    <row r="306" spans="10:11">
      <c r="J306">
        <f>IF(F306="Culex tarsalis",G306,0)</f>
        <v>0</v>
      </c>
      <c r="K306">
        <f>IF(F306="Culex pipiens",G306,0)</f>
        <v>0</v>
      </c>
    </row>
    <row r="307" spans="10:11">
      <c r="J307">
        <f>IF(F307="Culex tarsalis",G307,0)</f>
        <v>0</v>
      </c>
      <c r="K307">
        <f>IF(F307="Culex pipiens",G307,0)</f>
        <v>0</v>
      </c>
    </row>
    <row r="308" spans="10:11">
      <c r="J308">
        <f>IF(F308="Culex tarsalis",G308,0)</f>
        <v>0</v>
      </c>
      <c r="K308">
        <f>IF(F308="Culex pipiens",G308,0)</f>
        <v>0</v>
      </c>
    </row>
    <row r="309" spans="10:11">
      <c r="J309">
        <f>IF(F309="Culex tarsalis",G309,0)</f>
        <v>0</v>
      </c>
      <c r="K309">
        <f>IF(F309="Culex pipiens",G309,0)</f>
        <v>0</v>
      </c>
    </row>
    <row r="310" spans="10:11">
      <c r="J310">
        <f>IF(F310="Culex tarsalis",G310,0)</f>
        <v>0</v>
      </c>
      <c r="K310">
        <f>IF(F310="Culex pipiens",G310,0)</f>
        <v>0</v>
      </c>
    </row>
    <row r="311" spans="10:11">
      <c r="J311">
        <f>IF(F311="Culex tarsalis",G311,0)</f>
        <v>0</v>
      </c>
      <c r="K311">
        <f>IF(F311="Culex pipiens",G311,0)</f>
        <v>0</v>
      </c>
    </row>
    <row r="312" spans="10:11">
      <c r="J312">
        <f>IF(F312="Culex tarsalis",G312,0)</f>
        <v>0</v>
      </c>
      <c r="K312">
        <f>IF(F312="Culex pipiens",G312,0)</f>
        <v>0</v>
      </c>
    </row>
    <row r="313" spans="10:11">
      <c r="J313">
        <f>IF(F313="Culex tarsalis",G313,0)</f>
        <v>0</v>
      </c>
      <c r="K313">
        <f>IF(F313="Culex pipiens",G313,0)</f>
        <v>0</v>
      </c>
    </row>
    <row r="314" spans="10:11">
      <c r="J314">
        <f>IF(F314="Culex tarsalis",G314,0)</f>
        <v>0</v>
      </c>
      <c r="K314">
        <f>IF(F314="Culex pipiens",G314,0)</f>
        <v>0</v>
      </c>
    </row>
    <row r="315" spans="10:11">
      <c r="J315">
        <f>IF(F315="Culex tarsalis",G315,0)</f>
        <v>0</v>
      </c>
      <c r="K315">
        <f>IF(F315="Culex pipiens",G315,0)</f>
        <v>0</v>
      </c>
    </row>
    <row r="316" spans="10:11">
      <c r="J316">
        <f>IF(F316="Culex tarsalis",G316,0)</f>
        <v>0</v>
      </c>
      <c r="K316">
        <f>IF(F316="Culex pipiens",G316,0)</f>
        <v>0</v>
      </c>
    </row>
    <row r="317" spans="10:11">
      <c r="J317">
        <f>IF(F317="Culex tarsalis",G317,0)</f>
        <v>0</v>
      </c>
      <c r="K317">
        <f>IF(F317="Culex pipiens",G317,0)</f>
        <v>0</v>
      </c>
    </row>
    <row r="318" spans="10:11">
      <c r="J318">
        <f>IF(F318="Culex tarsalis",G318,0)</f>
        <v>0</v>
      </c>
      <c r="K318">
        <f>IF(F318="Culex pipiens",G318,0)</f>
        <v>0</v>
      </c>
    </row>
    <row r="319" spans="10:11">
      <c r="J319">
        <f>IF(F319="Culex tarsalis",G319,0)</f>
        <v>0</v>
      </c>
      <c r="K319">
        <f>IF(F319="Culex pipiens",G319,0)</f>
        <v>0</v>
      </c>
    </row>
    <row r="320" spans="10:11">
      <c r="J320">
        <f>IF(F320="Culex tarsalis",G320,0)</f>
        <v>0</v>
      </c>
      <c r="K320">
        <f>IF(F320="Culex pipiens",G320,0)</f>
        <v>0</v>
      </c>
    </row>
    <row r="321" spans="10:11">
      <c r="J321">
        <f>IF(F321="Culex tarsalis",G321,0)</f>
        <v>0</v>
      </c>
      <c r="K321">
        <f>IF(F321="Culex pipiens",G321,0)</f>
        <v>0</v>
      </c>
    </row>
    <row r="322" spans="10:11">
      <c r="J322">
        <f>IF(F322="Culex tarsalis",G322,0)</f>
        <v>0</v>
      </c>
      <c r="K322">
        <f>IF(F322="Culex pipiens",G322,0)</f>
        <v>0</v>
      </c>
    </row>
    <row r="323" spans="10:11">
      <c r="J323">
        <f>IF(F323="Culex tarsalis",G323,0)</f>
        <v>0</v>
      </c>
      <c r="K323">
        <f>IF(F323="Culex pipiens",G323,0)</f>
        <v>0</v>
      </c>
    </row>
    <row r="324" spans="10:11">
      <c r="J324">
        <f>IF(F324="Culex tarsalis",G324,0)</f>
        <v>0</v>
      </c>
      <c r="K324">
        <f>IF(F324="Culex pipiens",G324,0)</f>
        <v>0</v>
      </c>
    </row>
    <row r="325" spans="10:11">
      <c r="J325">
        <f>IF(F325="Culex tarsalis",G325,0)</f>
        <v>0</v>
      </c>
      <c r="K325">
        <f>IF(F325="Culex pipiens",G325,0)</f>
        <v>0</v>
      </c>
    </row>
    <row r="326" spans="10:11">
      <c r="J326">
        <f>IF(F326="Culex tarsalis",G326,0)</f>
        <v>0</v>
      </c>
      <c r="K326">
        <f>IF(F326="Culex pipiens",G326,0)</f>
        <v>0</v>
      </c>
    </row>
    <row r="327" spans="10:11">
      <c r="J327">
        <f>IF(F327="Culex tarsalis",G327,0)</f>
        <v>0</v>
      </c>
      <c r="K327">
        <f>IF(F327="Culex pipiens",G327,0)</f>
        <v>0</v>
      </c>
    </row>
    <row r="328" spans="10:11">
      <c r="J328">
        <f>IF(F328="Culex tarsalis",G328,0)</f>
        <v>0</v>
      </c>
      <c r="K328">
        <f>IF(F328="Culex pipiens",G328,0)</f>
        <v>0</v>
      </c>
    </row>
    <row r="329" spans="10:11">
      <c r="J329">
        <f>IF(F329="Culex tarsalis",G329,0)</f>
        <v>0</v>
      </c>
      <c r="K329">
        <f>IF(F329="Culex pipiens",G329,0)</f>
        <v>0</v>
      </c>
    </row>
    <row r="330" spans="10:11">
      <c r="J330">
        <f>IF(F330="Culex tarsalis",G330,0)</f>
        <v>0</v>
      </c>
      <c r="K330">
        <f>IF(F330="Culex pipiens",G330,0)</f>
        <v>0</v>
      </c>
    </row>
    <row r="331" spans="10:11">
      <c r="J331">
        <f>IF(F331="Culex tarsalis",G331,0)</f>
        <v>0</v>
      </c>
      <c r="K331">
        <f>IF(F331="Culex pipiens",G331,0)</f>
        <v>0</v>
      </c>
    </row>
    <row r="332" spans="10:11">
      <c r="J332">
        <f>IF(F332="Culex tarsalis",G332,0)</f>
        <v>0</v>
      </c>
      <c r="K332">
        <f>IF(F332="Culex pipiens",G332,0)</f>
        <v>0</v>
      </c>
    </row>
    <row r="333" spans="10:11">
      <c r="J333">
        <f>IF(F333="Culex tarsalis",G333,0)</f>
        <v>0</v>
      </c>
      <c r="K333">
        <f>IF(F333="Culex pipiens",G333,0)</f>
        <v>0</v>
      </c>
    </row>
    <row r="334" spans="10:11">
      <c r="J334">
        <f>IF(F334="Culex tarsalis",G334,0)</f>
        <v>0</v>
      </c>
      <c r="K334">
        <f>IF(F334="Culex pipiens",G334,0)</f>
        <v>0</v>
      </c>
    </row>
    <row r="335" spans="10:11">
      <c r="J335">
        <f>IF(F335="Culex tarsalis",G335,0)</f>
        <v>0</v>
      </c>
      <c r="K335">
        <f>IF(F335="Culex pipiens",G335,0)</f>
        <v>0</v>
      </c>
    </row>
    <row r="336" spans="10:11">
      <c r="J336">
        <f>IF(F336="Culex tarsalis",G336,0)</f>
        <v>0</v>
      </c>
      <c r="K336">
        <f>IF(F336="Culex pipiens",G336,0)</f>
        <v>0</v>
      </c>
    </row>
    <row r="337" spans="10:11">
      <c r="J337">
        <f>IF(F337="Culex tarsalis",G337,0)</f>
        <v>0</v>
      </c>
      <c r="K337">
        <f>IF(F337="Culex pipiens",G337,0)</f>
        <v>0</v>
      </c>
    </row>
    <row r="338" spans="10:11">
      <c r="J338">
        <f>IF(F338="Culex tarsalis",G338,0)</f>
        <v>0</v>
      </c>
      <c r="K338">
        <f>IF(F338="Culex pipiens",G338,0)</f>
        <v>0</v>
      </c>
    </row>
    <row r="339" spans="10:11">
      <c r="J339">
        <f>IF(F339="Culex tarsalis",G339,0)</f>
        <v>0</v>
      </c>
      <c r="K339">
        <f>IF(F339="Culex pipiens",G339,0)</f>
        <v>0</v>
      </c>
    </row>
    <row r="340" spans="10:11">
      <c r="J340">
        <f>IF(F340="Culex tarsalis",G340,0)</f>
        <v>0</v>
      </c>
      <c r="K340">
        <f>IF(F340="Culex pipiens",G340,0)</f>
        <v>0</v>
      </c>
    </row>
    <row r="341" spans="10:11">
      <c r="J341">
        <f>IF(F341="Culex tarsalis",G341,0)</f>
        <v>0</v>
      </c>
      <c r="K341">
        <f>IF(F341="Culex pipiens",G341,0)</f>
        <v>0</v>
      </c>
    </row>
    <row r="342" spans="10:11">
      <c r="J342">
        <f>IF(F342="Culex tarsalis",G342,0)</f>
        <v>0</v>
      </c>
      <c r="K342">
        <f>IF(F342="Culex pipiens",G342,0)</f>
        <v>0</v>
      </c>
    </row>
    <row r="343" spans="10:11">
      <c r="J343">
        <f>IF(F343="Culex tarsalis",G343,0)</f>
        <v>0</v>
      </c>
      <c r="K343">
        <f>IF(F343="Culex pipiens",G343,0)</f>
        <v>0</v>
      </c>
    </row>
    <row r="344" spans="10:11">
      <c r="J344">
        <f>IF(F344="Culex tarsalis",G344,0)</f>
        <v>0</v>
      </c>
      <c r="K344">
        <f>IF(F344="Culex pipiens",G344,0)</f>
        <v>0</v>
      </c>
    </row>
    <row r="345" spans="10:11">
      <c r="J345">
        <f>IF(F345="Culex tarsalis",G345,0)</f>
        <v>0</v>
      </c>
      <c r="K345">
        <f>IF(F345="Culex pipiens",G345,0)</f>
        <v>0</v>
      </c>
    </row>
    <row r="346" spans="10:11">
      <c r="J346">
        <f>IF(F346="Culex tarsalis",G346,0)</f>
        <v>0</v>
      </c>
      <c r="K346">
        <f>IF(F346="Culex pipiens",G346,0)</f>
        <v>0</v>
      </c>
    </row>
    <row r="347" spans="10:11">
      <c r="J347">
        <f>IF(F347="Culex tarsalis",G347,0)</f>
        <v>0</v>
      </c>
      <c r="K347">
        <f>IF(F347="Culex pipiens",G347,0)</f>
        <v>0</v>
      </c>
    </row>
    <row r="348" spans="10:11">
      <c r="J348">
        <f>IF(F348="Culex tarsalis",G348,0)</f>
        <v>0</v>
      </c>
      <c r="K348">
        <f>IF(F348="Culex pipiens",G348,0)</f>
        <v>0</v>
      </c>
    </row>
    <row r="349" spans="10:11">
      <c r="J349">
        <f>IF(F349="Culex tarsalis",G349,0)</f>
        <v>0</v>
      </c>
      <c r="K349">
        <f>IF(F349="Culex pipiens",G349,0)</f>
        <v>0</v>
      </c>
    </row>
    <row r="350" spans="10:11">
      <c r="J350">
        <f>IF(F350="Culex tarsalis",G350,0)</f>
        <v>0</v>
      </c>
      <c r="K350">
        <f>IF(F350="Culex pipiens",G350,0)</f>
        <v>0</v>
      </c>
    </row>
    <row r="351" spans="10:11">
      <c r="J351">
        <f>IF(F351="Culex tarsalis",G351,0)</f>
        <v>0</v>
      </c>
      <c r="K351">
        <f>IF(F351="Culex pipiens",G351,0)</f>
        <v>0</v>
      </c>
    </row>
    <row r="352" spans="10:11">
      <c r="J352">
        <f>IF(F352="Culex tarsalis",G352,0)</f>
        <v>0</v>
      </c>
      <c r="K352">
        <f>IF(F352="Culex pipiens",G352,0)</f>
        <v>0</v>
      </c>
    </row>
    <row r="353" spans="10:11">
      <c r="J353">
        <f>IF(F353="Culex tarsalis",G353,0)</f>
        <v>0</v>
      </c>
      <c r="K353">
        <f>IF(F353="Culex pipiens",G353,0)</f>
        <v>0</v>
      </c>
    </row>
    <row r="354" spans="10:11">
      <c r="J354">
        <f>IF(F354="Culex tarsalis",G354,0)</f>
        <v>0</v>
      </c>
      <c r="K354">
        <f>IF(F354="Culex pipiens",G354,0)</f>
        <v>0</v>
      </c>
    </row>
    <row r="355" spans="10:11">
      <c r="J355">
        <f>IF(F355="Culex tarsalis",G355,0)</f>
        <v>0</v>
      </c>
      <c r="K355">
        <f>IF(F355="Culex pipiens",G355,0)</f>
        <v>0</v>
      </c>
    </row>
    <row r="356" spans="10:11">
      <c r="J356">
        <f>IF(F356="Culex tarsalis",G356,0)</f>
        <v>0</v>
      </c>
      <c r="K356">
        <f>IF(F356="Culex pipiens",G356,0)</f>
        <v>0</v>
      </c>
    </row>
    <row r="357" spans="10:11">
      <c r="J357">
        <f>IF(F357="Culex tarsalis",G357,0)</f>
        <v>0</v>
      </c>
      <c r="K357">
        <f>IF(F357="Culex pipiens",G357,0)</f>
        <v>0</v>
      </c>
    </row>
    <row r="358" spans="10:11">
      <c r="J358">
        <f>IF(F358="Culex tarsalis",G358,0)</f>
        <v>0</v>
      </c>
      <c r="K358">
        <f>IF(F358="Culex pipiens",G358,0)</f>
        <v>0</v>
      </c>
    </row>
    <row r="359" spans="10:11">
      <c r="J359">
        <f>IF(F359="Culex tarsalis",G359,0)</f>
        <v>0</v>
      </c>
      <c r="K359">
        <f>IF(F359="Culex pipiens",G359,0)</f>
        <v>0</v>
      </c>
    </row>
    <row r="360" spans="10:11">
      <c r="J360">
        <f>IF(F360="Culex tarsalis",G360,0)</f>
        <v>0</v>
      </c>
      <c r="K360">
        <f>IF(F360="Culex pipiens",G360,0)</f>
        <v>0</v>
      </c>
    </row>
    <row r="361" spans="10:11">
      <c r="J361">
        <f>IF(F361="Culex tarsalis",G361,0)</f>
        <v>0</v>
      </c>
      <c r="K361">
        <f>IF(F361="Culex pipiens",G361,0)</f>
        <v>0</v>
      </c>
    </row>
    <row r="362" spans="10:11">
      <c r="J362">
        <f>IF(F362="Culex tarsalis",G362,0)</f>
        <v>0</v>
      </c>
      <c r="K362">
        <f>IF(F362="Culex pipiens",G362,0)</f>
        <v>0</v>
      </c>
    </row>
    <row r="363" spans="10:11">
      <c r="J363">
        <f>IF(F363="Culex tarsalis",G363,0)</f>
        <v>0</v>
      </c>
      <c r="K363">
        <f>IF(F363="Culex pipiens",G363,0)</f>
        <v>0</v>
      </c>
    </row>
    <row r="364" spans="10:11">
      <c r="J364">
        <f>IF(F364="Culex tarsalis",G364,0)</f>
        <v>0</v>
      </c>
      <c r="K364">
        <f>IF(F364="Culex pipiens",G364,0)</f>
        <v>0</v>
      </c>
    </row>
    <row r="365" spans="10:11">
      <c r="J365">
        <f>IF(F365="Culex tarsalis",G365,0)</f>
        <v>0</v>
      </c>
      <c r="K365">
        <f>IF(F365="Culex pipiens",G365,0)</f>
        <v>0</v>
      </c>
    </row>
    <row r="366" spans="10:11">
      <c r="J366">
        <f>IF(F366="Culex tarsalis",G366,0)</f>
        <v>0</v>
      </c>
      <c r="K366">
        <f>IF(F366="Culex pipiens",G366,0)</f>
        <v>0</v>
      </c>
    </row>
    <row r="367" spans="10:11">
      <c r="J367">
        <f>IF(F367="Culex tarsalis",G367,0)</f>
        <v>0</v>
      </c>
      <c r="K367">
        <f>IF(F367="Culex pipiens",G367,0)</f>
        <v>0</v>
      </c>
    </row>
    <row r="368" spans="10:11">
      <c r="J368">
        <f>IF(F368="Culex tarsalis",G368,0)</f>
        <v>0</v>
      </c>
      <c r="K368">
        <f>IF(F368="Culex pipiens",G368,0)</f>
        <v>0</v>
      </c>
    </row>
    <row r="369" spans="10:11">
      <c r="J369">
        <f>IF(F369="Culex tarsalis",G369,0)</f>
        <v>0</v>
      </c>
      <c r="K369">
        <f>IF(F369="Culex pipiens",G369,0)</f>
        <v>0</v>
      </c>
    </row>
    <row r="370" spans="10:11">
      <c r="J370">
        <f>IF(F370="Culex tarsalis",G370,0)</f>
        <v>0</v>
      </c>
      <c r="K370">
        <f>IF(F370="Culex pipiens",G370,0)</f>
        <v>0</v>
      </c>
    </row>
    <row r="371" spans="10:11">
      <c r="J371">
        <f>IF(F371="Culex tarsalis",G371,0)</f>
        <v>0</v>
      </c>
      <c r="K371">
        <f>IF(F371="Culex pipiens",G371,0)</f>
        <v>0</v>
      </c>
    </row>
    <row r="372" spans="10:11">
      <c r="J372">
        <f>IF(F372="Culex tarsalis",G372,0)</f>
        <v>0</v>
      </c>
      <c r="K372">
        <f>IF(F372="Culex pipiens",G372,0)</f>
        <v>0</v>
      </c>
    </row>
    <row r="373" spans="10:11">
      <c r="J373">
        <f>IF(F373="Culex tarsalis",G373,0)</f>
        <v>0</v>
      </c>
      <c r="K373">
        <f>IF(F373="Culex pipiens",G373,0)</f>
        <v>0</v>
      </c>
    </row>
    <row r="374" spans="10:11">
      <c r="J374">
        <f>IF(F374="Culex tarsalis",G374,0)</f>
        <v>0</v>
      </c>
      <c r="K374">
        <f>IF(F374="Culex pipiens",G374,0)</f>
        <v>0</v>
      </c>
    </row>
    <row r="375" spans="10:11">
      <c r="J375">
        <f>IF(F375="Culex tarsalis",G375,0)</f>
        <v>0</v>
      </c>
      <c r="K375">
        <f>IF(F375="Culex pipiens",G375,0)</f>
        <v>0</v>
      </c>
    </row>
    <row r="376" spans="10:11">
      <c r="J376">
        <f>IF(F376="Culex tarsalis",G376,0)</f>
        <v>0</v>
      </c>
      <c r="K376">
        <f>IF(F376="Culex pipiens",G376,0)</f>
        <v>0</v>
      </c>
    </row>
    <row r="377" spans="10:11">
      <c r="J377">
        <f>IF(F377="Culex tarsalis",G377,0)</f>
        <v>0</v>
      </c>
      <c r="K377">
        <f>IF(F377="Culex pipiens",G377,0)</f>
        <v>0</v>
      </c>
    </row>
    <row r="378" spans="10:11">
      <c r="J378">
        <f>IF(F378="Culex tarsalis",G378,0)</f>
        <v>0</v>
      </c>
      <c r="K378">
        <f>IF(F378="Culex pipiens",G378,0)</f>
        <v>0</v>
      </c>
    </row>
    <row r="379" spans="10:11">
      <c r="J379">
        <f>IF(F379="Culex tarsalis",G379,0)</f>
        <v>0</v>
      </c>
      <c r="K379">
        <f>IF(F379="Culex pipiens",G379,0)</f>
        <v>0</v>
      </c>
    </row>
    <row r="380" spans="10:11">
      <c r="J380">
        <f>IF(F380="Culex tarsalis",G380,0)</f>
        <v>0</v>
      </c>
      <c r="K380">
        <f>IF(F380="Culex pipiens",G380,0)</f>
        <v>0</v>
      </c>
    </row>
    <row r="381" spans="10:11">
      <c r="J381">
        <f>IF(F381="Culex tarsalis",G381,0)</f>
        <v>0</v>
      </c>
      <c r="K381">
        <f>IF(F381="Culex pipiens",G381,0)</f>
        <v>0</v>
      </c>
    </row>
    <row r="382" spans="10:11">
      <c r="J382">
        <f>IF(F382="Culex tarsalis",G382,0)</f>
        <v>0</v>
      </c>
      <c r="K382">
        <f>IF(F382="Culex pipiens",G382,0)</f>
        <v>0</v>
      </c>
    </row>
    <row r="383" spans="10:11">
      <c r="J383">
        <f>IF(F383="Culex tarsalis",G383,0)</f>
        <v>0</v>
      </c>
      <c r="K383">
        <f>IF(F383="Culex pipiens",G383,0)</f>
        <v>0</v>
      </c>
    </row>
    <row r="384" spans="10:11">
      <c r="J384">
        <f>IF(F384="Culex tarsalis",G384,0)</f>
        <v>0</v>
      </c>
      <c r="K384">
        <f>IF(F384="Culex pipiens",G384,0)</f>
        <v>0</v>
      </c>
    </row>
    <row r="385" spans="10:11">
      <c r="J385">
        <f>IF(F385="Culex tarsalis",G385,0)</f>
        <v>0</v>
      </c>
      <c r="K385">
        <f>IF(F385="Culex pipiens",G385,0)</f>
        <v>0</v>
      </c>
    </row>
    <row r="386" spans="10:11">
      <c r="J386">
        <f>IF(F386="Culex tarsalis",G386,0)</f>
        <v>0</v>
      </c>
      <c r="K386">
        <f>IF(F386="Culex pipiens",G386,0)</f>
        <v>0</v>
      </c>
    </row>
    <row r="387" spans="10:11">
      <c r="J387">
        <f>IF(F387="Culex tarsalis",G387,0)</f>
        <v>0</v>
      </c>
      <c r="K387">
        <f>IF(F387="Culex pipiens",G387,0)</f>
        <v>0</v>
      </c>
    </row>
    <row r="388" spans="10:11">
      <c r="J388">
        <f>IF(F388="Culex tarsalis",G388,0)</f>
        <v>0</v>
      </c>
      <c r="K388">
        <f>IF(F388="Culex pipiens",G388,0)</f>
        <v>0</v>
      </c>
    </row>
    <row r="389" spans="10:11">
      <c r="J389">
        <f>IF(F389="Culex tarsalis",G389,0)</f>
        <v>0</v>
      </c>
      <c r="K389">
        <f>IF(F389="Culex pipiens",G389,0)</f>
        <v>0</v>
      </c>
    </row>
    <row r="390" spans="10:11">
      <c r="J390">
        <f>IF(F390="Culex tarsalis",G390,0)</f>
        <v>0</v>
      </c>
      <c r="K390">
        <f>IF(F390="Culex pipiens",G390,0)</f>
        <v>0</v>
      </c>
    </row>
    <row r="391" spans="10:11">
      <c r="J391">
        <f>IF(F391="Culex tarsalis",G391,0)</f>
        <v>0</v>
      </c>
      <c r="K391">
        <f>IF(F391="Culex pipiens",G391,0)</f>
        <v>0</v>
      </c>
    </row>
    <row r="392" spans="10:11">
      <c r="J392">
        <f>IF(F392="Culex tarsalis",G392,0)</f>
        <v>0</v>
      </c>
      <c r="K392">
        <f>IF(F392="Culex pipiens",G392,0)</f>
        <v>0</v>
      </c>
    </row>
    <row r="393" spans="10:11">
      <c r="J393">
        <f>IF(F393="Culex tarsalis",G393,0)</f>
        <v>0</v>
      </c>
      <c r="K393">
        <f>IF(F393="Culex pipiens",G393,0)</f>
        <v>0</v>
      </c>
    </row>
    <row r="394" spans="10:11">
      <c r="J394">
        <f>IF(F394="Culex tarsalis",G394,0)</f>
        <v>0</v>
      </c>
      <c r="K394">
        <f>IF(F394="Culex pipiens",G394,0)</f>
        <v>0</v>
      </c>
    </row>
    <row r="395" spans="10:11">
      <c r="J395">
        <f>IF(F395="Culex tarsalis",G395,0)</f>
        <v>0</v>
      </c>
      <c r="K395">
        <f>IF(F395="Culex pipiens",G395,0)</f>
        <v>0</v>
      </c>
    </row>
    <row r="396" spans="10:11">
      <c r="J396">
        <f>IF(F396="Culex tarsalis",G396,0)</f>
        <v>0</v>
      </c>
      <c r="K396">
        <f>IF(F396="Culex pipiens",G396,0)</f>
        <v>0</v>
      </c>
    </row>
    <row r="397" spans="10:11">
      <c r="J397">
        <f>IF(F397="Culex tarsalis",G397,0)</f>
        <v>0</v>
      </c>
      <c r="K397">
        <f>IF(F397="Culex pipiens",G397,0)</f>
        <v>0</v>
      </c>
    </row>
    <row r="398" spans="10:11">
      <c r="J398">
        <f>IF(F398="Culex tarsalis",G398,0)</f>
        <v>0</v>
      </c>
      <c r="K398">
        <f>IF(F398="Culex pipiens",G398,0)</f>
        <v>0</v>
      </c>
    </row>
    <row r="399" spans="10:11">
      <c r="J399">
        <f>IF(F399="Culex tarsalis",G399,0)</f>
        <v>0</v>
      </c>
      <c r="K399">
        <f>IF(F399="Culex pipiens",G399,0)</f>
        <v>0</v>
      </c>
    </row>
    <row r="400" spans="10:11">
      <c r="J400">
        <f>IF(F400="Culex tarsalis",G400,0)</f>
        <v>0</v>
      </c>
      <c r="K400">
        <f>IF(F400="Culex pipiens",G400,0)</f>
        <v>0</v>
      </c>
    </row>
    <row r="401" spans="10:11">
      <c r="J401">
        <f>IF(F401="Culex tarsalis",G401,0)</f>
        <v>0</v>
      </c>
      <c r="K401">
        <f>IF(F401="Culex pipiens",G401,0)</f>
        <v>0</v>
      </c>
    </row>
    <row r="402" spans="10:11">
      <c r="J402">
        <f>IF(F402="Culex tarsalis",G402,0)</f>
        <v>0</v>
      </c>
      <c r="K402">
        <f>IF(F402="Culex pipiens",G402,0)</f>
        <v>0</v>
      </c>
    </row>
    <row r="403" spans="10:11">
      <c r="J403">
        <f>IF(F403="Culex tarsalis",G403,0)</f>
        <v>0</v>
      </c>
      <c r="K403">
        <f>IF(F403="Culex pipiens",G403,0)</f>
        <v>0</v>
      </c>
    </row>
    <row r="404" spans="10:11">
      <c r="J404">
        <f>IF(F404="Culex tarsalis",G404,0)</f>
        <v>0</v>
      </c>
      <c r="K404">
        <f>IF(F404="Culex pipiens",G404,0)</f>
        <v>0</v>
      </c>
    </row>
    <row r="405" spans="10:11">
      <c r="J405">
        <f>IF(F405="Culex tarsalis",G405,0)</f>
        <v>0</v>
      </c>
      <c r="K405">
        <f>IF(F405="Culex pipiens",G405,0)</f>
        <v>0</v>
      </c>
    </row>
    <row r="406" spans="10:11">
      <c r="J406">
        <f>IF(F406="Culex tarsalis",G406,0)</f>
        <v>0</v>
      </c>
      <c r="K406">
        <f>IF(F406="Culex pipiens",G406,0)</f>
        <v>0</v>
      </c>
    </row>
    <row r="407" spans="10:11">
      <c r="J407">
        <f>IF(F407="Culex tarsalis",G407,0)</f>
        <v>0</v>
      </c>
      <c r="K407">
        <f>IF(F407="Culex pipiens",G407,0)</f>
        <v>0</v>
      </c>
    </row>
    <row r="408" spans="10:11">
      <c r="J408">
        <f>IF(F408="Culex tarsalis",G408,0)</f>
        <v>0</v>
      </c>
      <c r="K408">
        <f>IF(F408="Culex pipiens",G408,0)</f>
        <v>0</v>
      </c>
    </row>
    <row r="409" spans="10:11">
      <c r="J409">
        <f>IF(F409="Culex tarsalis",G409,0)</f>
        <v>0</v>
      </c>
      <c r="K409">
        <f>IF(F409="Culex pipiens",G409,0)</f>
        <v>0</v>
      </c>
    </row>
    <row r="410" spans="10:11">
      <c r="J410">
        <f>IF(F410="Culex tarsalis",G410,0)</f>
        <v>0</v>
      </c>
      <c r="K410">
        <f>IF(F410="Culex pipiens",G410,0)</f>
        <v>0</v>
      </c>
    </row>
    <row r="411" spans="10:11">
      <c r="J411">
        <f>IF(F411="Culex tarsalis",G411,0)</f>
        <v>0</v>
      </c>
      <c r="K411">
        <f>IF(F411="Culex pipiens",G411,0)</f>
        <v>0</v>
      </c>
    </row>
    <row r="412" spans="10:11">
      <c r="J412">
        <f>IF(F412="Culex tarsalis",G412,0)</f>
        <v>0</v>
      </c>
      <c r="K412">
        <f>IF(F412="Culex pipiens",G412,0)</f>
        <v>0</v>
      </c>
    </row>
    <row r="413" spans="10:11">
      <c r="J413">
        <f>IF(F413="Culex tarsalis",G413,0)</f>
        <v>0</v>
      </c>
      <c r="K413">
        <f>IF(F413="Culex pipiens",G413,0)</f>
        <v>0</v>
      </c>
    </row>
    <row r="414" spans="10:11">
      <c r="J414">
        <f>IF(F414="Culex tarsalis",G414,0)</f>
        <v>0</v>
      </c>
      <c r="K414">
        <f>IF(F414="Culex pipiens",G414,0)</f>
        <v>0</v>
      </c>
    </row>
    <row r="415" spans="10:11">
      <c r="J415">
        <f>IF(F415="Culex tarsalis",G415,0)</f>
        <v>0</v>
      </c>
      <c r="K415">
        <f>IF(F415="Culex pipiens",G415,0)</f>
        <v>0</v>
      </c>
    </row>
    <row r="416" spans="10:11">
      <c r="J416">
        <f>IF(F416="Culex tarsalis",G416,0)</f>
        <v>0</v>
      </c>
      <c r="K416">
        <f>IF(F416="Culex pipiens",G416,0)</f>
        <v>0</v>
      </c>
    </row>
    <row r="417" spans="10:11">
      <c r="J417">
        <f>IF(F417="Culex tarsalis",G417,0)</f>
        <v>0</v>
      </c>
      <c r="K417">
        <f>IF(F417="Culex pipiens",G417,0)</f>
        <v>0</v>
      </c>
    </row>
    <row r="418" spans="10:11">
      <c r="J418">
        <f>IF(F418="Culex tarsalis",G418,0)</f>
        <v>0</v>
      </c>
      <c r="K418">
        <f>IF(F418="Culex pipiens",G418,0)</f>
        <v>0</v>
      </c>
    </row>
    <row r="419" spans="10:11">
      <c r="J419">
        <f>IF(F419="Culex tarsalis",G419,0)</f>
        <v>0</v>
      </c>
      <c r="K419">
        <f>IF(F419="Culex pipiens",G419,0)</f>
        <v>0</v>
      </c>
    </row>
    <row r="420" spans="10:11">
      <c r="J420">
        <f>IF(F420="Culex tarsalis",G420,0)</f>
        <v>0</v>
      </c>
      <c r="K420">
        <f>IF(F420="Culex pipiens",G420,0)</f>
        <v>0</v>
      </c>
    </row>
    <row r="421" spans="10:11">
      <c r="J421">
        <f>IF(F421="Culex tarsalis",G421,0)</f>
        <v>0</v>
      </c>
      <c r="K421">
        <f>IF(F421="Culex pipiens",G421,0)</f>
        <v>0</v>
      </c>
    </row>
    <row r="422" spans="10:11">
      <c r="J422">
        <f>IF(F422="Culex tarsalis",G422,0)</f>
        <v>0</v>
      </c>
      <c r="K422">
        <f>IF(F422="Culex pipiens",G422,0)</f>
        <v>0</v>
      </c>
    </row>
    <row r="423" spans="10:11">
      <c r="J423">
        <f>IF(F423="Culex tarsalis",G423,0)</f>
        <v>0</v>
      </c>
      <c r="K423">
        <f>IF(F423="Culex pipiens",G423,0)</f>
        <v>0</v>
      </c>
    </row>
    <row r="424" spans="10:11">
      <c r="J424">
        <f>IF(F424="Culex tarsalis",G424,0)</f>
        <v>0</v>
      </c>
      <c r="K424">
        <f>IF(F424="Culex pipiens",G424,0)</f>
        <v>0</v>
      </c>
    </row>
    <row r="425" spans="10:11">
      <c r="J425">
        <f>IF(F425="Culex tarsalis",G425,0)</f>
        <v>0</v>
      </c>
      <c r="K425">
        <f>IF(F425="Culex pipiens",G425,0)</f>
        <v>0</v>
      </c>
    </row>
    <row r="426" spans="10:11">
      <c r="J426">
        <f>IF(F426="Culex tarsalis",G426,0)</f>
        <v>0</v>
      </c>
      <c r="K426">
        <f>IF(F426="Culex pipiens",G426,0)</f>
        <v>0</v>
      </c>
    </row>
    <row r="427" spans="10:11">
      <c r="J427">
        <f>IF(F427="Culex tarsalis",G427,0)</f>
        <v>0</v>
      </c>
      <c r="K427">
        <f>IF(F427="Culex pipiens",G427,0)</f>
        <v>0</v>
      </c>
    </row>
    <row r="428" spans="10:11">
      <c r="J428">
        <f>IF(F428="Culex tarsalis",G428,0)</f>
        <v>0</v>
      </c>
      <c r="K428">
        <f>IF(F428="Culex pipiens",G428,0)</f>
        <v>0</v>
      </c>
    </row>
    <row r="429" spans="10:11">
      <c r="J429">
        <f>IF(F429="Culex tarsalis",G429,0)</f>
        <v>0</v>
      </c>
      <c r="K429">
        <f>IF(F429="Culex pipiens",G429,0)</f>
        <v>0</v>
      </c>
    </row>
    <row r="430" spans="10:11">
      <c r="J430">
        <f>IF(F430="Culex tarsalis",G430,0)</f>
        <v>0</v>
      </c>
      <c r="K430">
        <f>IF(F430="Culex pipiens",G430,0)</f>
        <v>0</v>
      </c>
    </row>
    <row r="431" spans="10:11">
      <c r="J431">
        <f>IF(F431="Culex tarsalis",G431,0)</f>
        <v>0</v>
      </c>
      <c r="K431">
        <f>IF(F431="Culex pipiens",G431,0)</f>
        <v>0</v>
      </c>
    </row>
    <row r="432" spans="10:11">
      <c r="J432">
        <f>IF(F432="Culex tarsalis",G432,0)</f>
        <v>0</v>
      </c>
      <c r="K432">
        <f>IF(F432="Culex pipiens",G432,0)</f>
        <v>0</v>
      </c>
    </row>
    <row r="433" spans="10:11">
      <c r="J433">
        <f>IF(F433="Culex tarsalis",G433,0)</f>
        <v>0</v>
      </c>
      <c r="K433">
        <f>IF(F433="Culex pipiens",G433,0)</f>
        <v>0</v>
      </c>
    </row>
    <row r="434" spans="10:11">
      <c r="J434">
        <f>IF(F434="Culex tarsalis",G434,0)</f>
        <v>0</v>
      </c>
      <c r="K434">
        <f>IF(F434="Culex pipiens",G434,0)</f>
        <v>0</v>
      </c>
    </row>
    <row r="435" spans="10:11">
      <c r="J435">
        <f>IF(F435="Culex tarsalis",G435,0)</f>
        <v>0</v>
      </c>
      <c r="K435">
        <f>IF(F435="Culex pipiens",G435,0)</f>
        <v>0</v>
      </c>
    </row>
    <row r="436" spans="10:11">
      <c r="J436">
        <f>IF(F436="Culex tarsalis",G436,0)</f>
        <v>0</v>
      </c>
      <c r="K436">
        <f>IF(F436="Culex pipiens",G436,0)</f>
        <v>0</v>
      </c>
    </row>
    <row r="437" spans="10:11">
      <c r="J437">
        <f>IF(F437="Culex tarsalis",G437,0)</f>
        <v>0</v>
      </c>
      <c r="K437">
        <f>IF(F437="Culex pipiens",G437,0)</f>
        <v>0</v>
      </c>
    </row>
    <row r="438" spans="10:11">
      <c r="J438">
        <f>IF(F438="Culex tarsalis",G438,0)</f>
        <v>0</v>
      </c>
      <c r="K438">
        <f>IF(F438="Culex pipiens",G438,0)</f>
        <v>0</v>
      </c>
    </row>
    <row r="439" spans="10:11">
      <c r="J439">
        <f>IF(F439="Culex tarsalis",G439,0)</f>
        <v>0</v>
      </c>
      <c r="K439">
        <f>IF(F439="Culex pipiens",G439,0)</f>
        <v>0</v>
      </c>
    </row>
    <row r="440" spans="10:11">
      <c r="J440">
        <f>IF(F440="Culex tarsalis",G440,0)</f>
        <v>0</v>
      </c>
      <c r="K440">
        <f>IF(F440="Culex pipiens",G440,0)</f>
        <v>0</v>
      </c>
    </row>
    <row r="441" spans="10:11">
      <c r="J441">
        <f>IF(F441="Culex tarsalis",G441,0)</f>
        <v>0</v>
      </c>
      <c r="K441">
        <f>IF(F441="Culex pipiens",G441,0)</f>
        <v>0</v>
      </c>
    </row>
    <row r="442" spans="10:11">
      <c r="J442">
        <f>IF(F442="Culex tarsalis",G442,0)</f>
        <v>0</v>
      </c>
      <c r="K442">
        <f>IF(F442="Culex pipiens",G442,0)</f>
        <v>0</v>
      </c>
    </row>
    <row r="443" spans="10:11">
      <c r="J443">
        <f>IF(F443="Culex tarsalis",G443,0)</f>
        <v>0</v>
      </c>
      <c r="K443">
        <f>IF(F443="Culex pipiens",G443,0)</f>
        <v>0</v>
      </c>
    </row>
    <row r="444" spans="10:11">
      <c r="J444">
        <f>IF(F444="Culex tarsalis",G444,0)</f>
        <v>0</v>
      </c>
      <c r="K444">
        <f>IF(F444="Culex pipiens",G444,0)</f>
        <v>0</v>
      </c>
    </row>
    <row r="445" spans="10:11">
      <c r="J445">
        <f>IF(F445="Culex tarsalis",G445,0)</f>
        <v>0</v>
      </c>
      <c r="K445">
        <f>IF(F445="Culex pipiens",G445,0)</f>
        <v>0</v>
      </c>
    </row>
    <row r="446" spans="10:11">
      <c r="J446">
        <f>IF(F446="Culex tarsalis",G446,0)</f>
        <v>0</v>
      </c>
      <c r="K446">
        <f>IF(F446="Culex pipiens",G446,0)</f>
        <v>0</v>
      </c>
    </row>
    <row r="447" spans="10:11">
      <c r="J447">
        <f>IF(F447="Culex tarsalis",G447,0)</f>
        <v>0</v>
      </c>
      <c r="K447">
        <f>IF(F447="Culex pipiens",G447,0)</f>
        <v>0</v>
      </c>
    </row>
    <row r="448" spans="10:11">
      <c r="J448">
        <f>IF(F448="Culex tarsalis",G448,0)</f>
        <v>0</v>
      </c>
      <c r="K448">
        <f>IF(F448="Culex pipiens",G448,0)</f>
        <v>0</v>
      </c>
    </row>
    <row r="449" spans="10:11">
      <c r="J449">
        <f>IF(F449="Culex tarsalis",G449,0)</f>
        <v>0</v>
      </c>
      <c r="K449">
        <f>IF(F449="Culex pipiens",G449,0)</f>
        <v>0</v>
      </c>
    </row>
    <row r="450" spans="10:11">
      <c r="J450">
        <f>IF(F450="Culex tarsalis",G450,0)</f>
        <v>0</v>
      </c>
      <c r="K450">
        <f>IF(F450="Culex pipiens",G450,0)</f>
        <v>0</v>
      </c>
    </row>
    <row r="451" spans="10:11">
      <c r="J451">
        <f>IF(F451="Culex tarsalis",G451,0)</f>
        <v>0</v>
      </c>
      <c r="K451">
        <f>IF(F451="Culex pipiens",G451,0)</f>
        <v>0</v>
      </c>
    </row>
    <row r="452" spans="10:11">
      <c r="J452">
        <f>IF(F452="Culex tarsalis",G452,0)</f>
        <v>0</v>
      </c>
      <c r="K452">
        <f>IF(F452="Culex pipiens",G452,0)</f>
        <v>0</v>
      </c>
    </row>
    <row r="453" spans="10:11">
      <c r="J453">
        <f>IF(F453="Culex tarsalis",G453,0)</f>
        <v>0</v>
      </c>
      <c r="K453">
        <f>IF(F453="Culex pipiens",G453,0)</f>
        <v>0</v>
      </c>
    </row>
    <row r="454" spans="10:11">
      <c r="J454">
        <f>IF(F454="Culex tarsalis",G454,0)</f>
        <v>0</v>
      </c>
      <c r="K454">
        <f>IF(F454="Culex pipiens",G454,0)</f>
        <v>0</v>
      </c>
    </row>
    <row r="455" spans="10:11">
      <c r="J455">
        <f>IF(F455="Culex tarsalis",G455,0)</f>
        <v>0</v>
      </c>
      <c r="K455">
        <f>IF(F455="Culex pipiens",G455,0)</f>
        <v>0</v>
      </c>
    </row>
    <row r="456" spans="10:11">
      <c r="J456">
        <f>IF(F456="Culex tarsalis",G456,0)</f>
        <v>0</v>
      </c>
      <c r="K456">
        <f>IF(F456="Culex pipiens",G456,0)</f>
        <v>0</v>
      </c>
    </row>
    <row r="457" spans="10:11">
      <c r="J457">
        <f>IF(F457="Culex tarsalis",G457,0)</f>
        <v>0</v>
      </c>
      <c r="K457">
        <f>IF(F457="Culex pipiens",G457,0)</f>
        <v>0</v>
      </c>
    </row>
    <row r="458" spans="10:11">
      <c r="J458">
        <f>IF(F458="Culex tarsalis",G458,0)</f>
        <v>0</v>
      </c>
      <c r="K458">
        <f>IF(F458="Culex pipiens",G458,0)</f>
        <v>0</v>
      </c>
    </row>
    <row r="459" spans="10:11">
      <c r="J459">
        <f>IF(F459="Culex tarsalis",G459,0)</f>
        <v>0</v>
      </c>
      <c r="K459">
        <f>IF(F459="Culex pipiens",G459,0)</f>
        <v>0</v>
      </c>
    </row>
    <row r="460" spans="10:11">
      <c r="J460">
        <f>IF(F460="Culex tarsalis",G460,0)</f>
        <v>0</v>
      </c>
      <c r="K460">
        <f>IF(F460="Culex pipiens",G460,0)</f>
        <v>0</v>
      </c>
    </row>
    <row r="461" spans="10:11">
      <c r="J461">
        <f>IF(F461="Culex tarsalis",G461,0)</f>
        <v>0</v>
      </c>
      <c r="K461">
        <f>IF(F461="Culex pipiens",G461,0)</f>
        <v>0</v>
      </c>
    </row>
    <row r="462" spans="10:11">
      <c r="J462">
        <f>IF(F462="Culex tarsalis",G462,0)</f>
        <v>0</v>
      </c>
      <c r="K462">
        <f>IF(F462="Culex pipiens",G462,0)</f>
        <v>0</v>
      </c>
    </row>
    <row r="463" spans="10:11">
      <c r="J463">
        <f>IF(F463="Culex tarsalis",G463,0)</f>
        <v>0</v>
      </c>
      <c r="K463">
        <f>IF(F463="Culex pipiens",G463,0)</f>
        <v>0</v>
      </c>
    </row>
    <row r="464" spans="10:11">
      <c r="J464">
        <f>IF(F464="Culex tarsalis",G464,0)</f>
        <v>0</v>
      </c>
      <c r="K464">
        <f>IF(F464="Culex pipiens",G464,0)</f>
        <v>0</v>
      </c>
    </row>
    <row r="465" spans="10:11">
      <c r="J465">
        <f>IF(F465="Culex tarsalis",G465,0)</f>
        <v>0</v>
      </c>
      <c r="K465">
        <f>IF(F465="Culex pipiens",G465,0)</f>
        <v>0</v>
      </c>
    </row>
    <row r="466" spans="10:11">
      <c r="J466">
        <f>IF(F466="Culex tarsalis",G466,0)</f>
        <v>0</v>
      </c>
      <c r="K466">
        <f>IF(F466="Culex pipiens",G466,0)</f>
        <v>0</v>
      </c>
    </row>
    <row r="467" spans="10:11">
      <c r="J467">
        <f>IF(F467="Culex tarsalis",G467,0)</f>
        <v>0</v>
      </c>
      <c r="K467">
        <f>IF(F467="Culex pipiens",G467,0)</f>
        <v>0</v>
      </c>
    </row>
    <row r="468" spans="10:11">
      <c r="J468">
        <f>IF(F468="Culex tarsalis",G468,0)</f>
        <v>0</v>
      </c>
      <c r="K468">
        <f>IF(F468="Culex pipiens",G468,0)</f>
        <v>0</v>
      </c>
    </row>
    <row r="469" spans="10:11">
      <c r="J469">
        <f>IF(F469="Culex tarsalis",G469,0)</f>
        <v>0</v>
      </c>
      <c r="K469">
        <f>IF(F469="Culex pipiens",G469,0)</f>
        <v>0</v>
      </c>
    </row>
    <row r="470" spans="10:11">
      <c r="J470">
        <f>IF(F470="Culex tarsalis",G470,0)</f>
        <v>0</v>
      </c>
      <c r="K470">
        <f>IF(F470="Culex pipiens",G470,0)</f>
        <v>0</v>
      </c>
    </row>
    <row r="471" spans="10:11">
      <c r="J471">
        <f>IF(F471="Culex tarsalis",G471,0)</f>
        <v>0</v>
      </c>
      <c r="K471">
        <f>IF(F471="Culex pipiens",G471,0)</f>
        <v>0</v>
      </c>
    </row>
    <row r="472" spans="10:11">
      <c r="J472">
        <f>IF(F472="Culex tarsalis",G472,0)</f>
        <v>0</v>
      </c>
      <c r="K472">
        <f>IF(F472="Culex pipiens",G472,0)</f>
        <v>0</v>
      </c>
    </row>
    <row r="473" spans="10:11">
      <c r="J473">
        <f>IF(F473="Culex tarsalis",G473,0)</f>
        <v>0</v>
      </c>
      <c r="K473">
        <f>IF(F473="Culex pipiens",G473,0)</f>
        <v>0</v>
      </c>
    </row>
    <row r="474" spans="10:11">
      <c r="J474">
        <f>IF(F474="Culex tarsalis",G474,0)</f>
        <v>0</v>
      </c>
      <c r="K474">
        <f>IF(F474="Culex pipiens",G474,0)</f>
        <v>0</v>
      </c>
    </row>
    <row r="475" spans="10:11">
      <c r="J475">
        <f>IF(F475="Culex tarsalis",G475,0)</f>
        <v>0</v>
      </c>
      <c r="K475">
        <f>IF(F475="Culex pipiens",G475,0)</f>
        <v>0</v>
      </c>
    </row>
    <row r="476" spans="10:11">
      <c r="J476">
        <f>IF(F476="Culex tarsalis",G476,0)</f>
        <v>0</v>
      </c>
      <c r="K476">
        <f>IF(F476="Culex pipiens",G476,0)</f>
        <v>0</v>
      </c>
    </row>
    <row r="477" spans="10:11">
      <c r="J477">
        <f>IF(F477="Culex tarsalis",G477,0)</f>
        <v>0</v>
      </c>
      <c r="K477">
        <f>IF(F477="Culex pipiens",G477,0)</f>
        <v>0</v>
      </c>
    </row>
    <row r="478" spans="10:11">
      <c r="J478">
        <f>IF(F478="Culex tarsalis",G478,0)</f>
        <v>0</v>
      </c>
      <c r="K478">
        <f>IF(F478="Culex pipiens",G478,0)</f>
        <v>0</v>
      </c>
    </row>
    <row r="479" spans="10:11">
      <c r="J479">
        <f>IF(F479="Culex tarsalis",G479,0)</f>
        <v>0</v>
      </c>
      <c r="K479">
        <f>IF(F479="Culex pipiens",G479,0)</f>
        <v>0</v>
      </c>
    </row>
    <row r="480" spans="10:11">
      <c r="J480">
        <f>IF(F480="Culex tarsalis",G480,0)</f>
        <v>0</v>
      </c>
      <c r="K480">
        <f>IF(F480="Culex pipiens",G480,0)</f>
        <v>0</v>
      </c>
    </row>
    <row r="481" spans="10:11">
      <c r="J481">
        <f>IF(F481="Culex tarsalis",G481,0)</f>
        <v>0</v>
      </c>
      <c r="K481">
        <f>IF(F481="Culex pipiens",G481,0)</f>
        <v>0</v>
      </c>
    </row>
    <row r="482" spans="10:11">
      <c r="J482">
        <f>IF(F482="Culex tarsalis",G482,0)</f>
        <v>0</v>
      </c>
      <c r="K482">
        <f>IF(F482="Culex pipiens",G482,0)</f>
        <v>0</v>
      </c>
    </row>
    <row r="483" spans="10:11">
      <c r="J483">
        <f>IF(F483="Culex tarsalis",G483,0)</f>
        <v>0</v>
      </c>
      <c r="K483">
        <f>IF(F483="Culex pipiens",G483,0)</f>
        <v>0</v>
      </c>
    </row>
    <row r="484" spans="10:11">
      <c r="J484">
        <f>IF(F484="Culex tarsalis",G484,0)</f>
        <v>0</v>
      </c>
      <c r="K484">
        <f>IF(F484="Culex pipiens",G484,0)</f>
        <v>0</v>
      </c>
    </row>
    <row r="485" spans="10:11">
      <c r="J485">
        <f>IF(F485="Culex tarsalis",G485,0)</f>
        <v>0</v>
      </c>
      <c r="K485">
        <f>IF(F485="Culex pipiens",G485,0)</f>
        <v>0</v>
      </c>
    </row>
    <row r="486" spans="10:11">
      <c r="J486">
        <f>IF(F486="Culex tarsalis",G486,0)</f>
        <v>0</v>
      </c>
      <c r="K486">
        <f>IF(F486="Culex pipiens",G486,0)</f>
        <v>0</v>
      </c>
    </row>
    <row r="487" spans="10:11">
      <c r="J487">
        <f>IF(F487="Culex tarsalis",G487,0)</f>
        <v>0</v>
      </c>
      <c r="K487">
        <f>IF(F487="Culex pipiens",G487,0)</f>
        <v>0</v>
      </c>
    </row>
    <row r="488" spans="10:11">
      <c r="J488">
        <f>IF(F488="Culex tarsalis",G488,0)</f>
        <v>0</v>
      </c>
      <c r="K488">
        <f>IF(F488="Culex pipiens",G488,0)</f>
        <v>0</v>
      </c>
    </row>
    <row r="489" spans="10:11">
      <c r="J489">
        <f>IF(F489="Culex tarsalis",G489,0)</f>
        <v>0</v>
      </c>
      <c r="K489">
        <f>IF(F489="Culex pipiens",G489,0)</f>
        <v>0</v>
      </c>
    </row>
    <row r="490" spans="10:11">
      <c r="J490">
        <f>IF(F490="Culex tarsalis",G490,0)</f>
        <v>0</v>
      </c>
      <c r="K490">
        <f>IF(F490="Culex pipiens",G490,0)</f>
        <v>0</v>
      </c>
    </row>
    <row r="491" spans="10:11">
      <c r="J491">
        <f>IF(F491="Culex tarsalis",G491,0)</f>
        <v>0</v>
      </c>
      <c r="K491">
        <f>IF(F491="Culex pipiens",G491,0)</f>
        <v>0</v>
      </c>
    </row>
    <row r="492" spans="10:11">
      <c r="J492">
        <f>IF(F492="Culex tarsalis",G492,0)</f>
        <v>0</v>
      </c>
      <c r="K492">
        <f>IF(F492="Culex pipiens",G492,0)</f>
        <v>0</v>
      </c>
    </row>
    <row r="493" spans="10:11">
      <c r="J493">
        <f>IF(F493="Culex tarsalis",G493,0)</f>
        <v>0</v>
      </c>
      <c r="K493">
        <f>IF(F493="Culex pipiens",G493,0)</f>
        <v>0</v>
      </c>
    </row>
    <row r="494" spans="10:11">
      <c r="J494">
        <f>IF(F494="Culex tarsalis",G494,0)</f>
        <v>0</v>
      </c>
      <c r="K494">
        <f>IF(F494="Culex pipiens",G494,0)</f>
        <v>0</v>
      </c>
    </row>
    <row r="495" spans="10:11">
      <c r="J495">
        <f>IF(F495="Culex tarsalis",G495,0)</f>
        <v>0</v>
      </c>
      <c r="K495">
        <f>IF(F495="Culex pipiens",G495,0)</f>
        <v>0</v>
      </c>
    </row>
    <row r="496" spans="10:11">
      <c r="J496">
        <f>IF(F496="Culex tarsalis",G496,0)</f>
        <v>0</v>
      </c>
      <c r="K496">
        <f>IF(F496="Culex pipiens",G496,0)</f>
        <v>0</v>
      </c>
    </row>
    <row r="497" spans="10:11">
      <c r="J497">
        <f>IF(F497="Culex tarsalis",G497,0)</f>
        <v>0</v>
      </c>
      <c r="K497">
        <f>IF(F497="Culex pipiens",G497,0)</f>
        <v>0</v>
      </c>
    </row>
    <row r="498" spans="10:11">
      <c r="J498">
        <f>IF(F498="Culex tarsalis",G498,0)</f>
        <v>0</v>
      </c>
      <c r="K498">
        <f>IF(F498="Culex pipiens",G498,0)</f>
        <v>0</v>
      </c>
    </row>
    <row r="499" spans="10:11">
      <c r="J499">
        <f>IF(F499="Culex tarsalis",G499,0)</f>
        <v>0</v>
      </c>
      <c r="K499">
        <f>IF(F499="Culex pipiens",G499,0)</f>
        <v>0</v>
      </c>
    </row>
    <row r="500" spans="10:11">
      <c r="J500">
        <f>IF(F500="Culex tarsalis",G500,0)</f>
        <v>0</v>
      </c>
      <c r="K500">
        <f>IF(F500="Culex pipiens",G500,0)</f>
        <v>0</v>
      </c>
    </row>
    <row r="501" spans="10:11">
      <c r="J501">
        <f>IF(F501="Culex tarsalis",G501,0)</f>
        <v>0</v>
      </c>
      <c r="K501">
        <f>IF(F501="Culex pipiens",G501,0)</f>
        <v>0</v>
      </c>
    </row>
    <row r="502" spans="10:11">
      <c r="J502">
        <f>IF(F502="Culex tarsalis",G502,0)</f>
        <v>0</v>
      </c>
      <c r="K502">
        <f>IF(F502="Culex pipiens",G502,0)</f>
        <v>0</v>
      </c>
    </row>
    <row r="503" spans="10:11">
      <c r="J503">
        <f>IF(F503="Culex tarsalis",G503,0)</f>
        <v>0</v>
      </c>
      <c r="K503">
        <f>IF(F503="Culex pipiens",G503,0)</f>
        <v>0</v>
      </c>
    </row>
    <row r="504" spans="10:11">
      <c r="J504">
        <f>IF(F504="Culex tarsalis",G504,0)</f>
        <v>0</v>
      </c>
      <c r="K504">
        <f>IF(F504="Culex pipiens",G504,0)</f>
        <v>0</v>
      </c>
    </row>
    <row r="505" spans="10:11">
      <c r="J505">
        <f>IF(F505="Culex tarsalis",G505,0)</f>
        <v>0</v>
      </c>
      <c r="K505">
        <f>IF(F505="Culex pipiens",G505,0)</f>
        <v>0</v>
      </c>
    </row>
    <row r="506" spans="10:11">
      <c r="J506">
        <f>IF(F506="Culex tarsalis",G506,0)</f>
        <v>0</v>
      </c>
      <c r="K506">
        <f>IF(F506="Culex pipiens",G506,0)</f>
        <v>0</v>
      </c>
    </row>
    <row r="507" spans="10:11">
      <c r="J507">
        <f>IF(F507="Culex tarsalis",G507,0)</f>
        <v>0</v>
      </c>
      <c r="K507">
        <f>IF(F507="Culex pipiens",G507,0)</f>
        <v>0</v>
      </c>
    </row>
    <row r="508" spans="10:11">
      <c r="J508">
        <f>IF(F508="Culex tarsalis",G508,0)</f>
        <v>0</v>
      </c>
      <c r="K508">
        <f>IF(F508="Culex pipiens",G508,0)</f>
        <v>0</v>
      </c>
    </row>
    <row r="509" spans="10:11">
      <c r="J509">
        <f>IF(F509="Culex tarsalis",G509,0)</f>
        <v>0</v>
      </c>
      <c r="K509">
        <f>IF(F509="Culex pipiens",G509,0)</f>
        <v>0</v>
      </c>
    </row>
    <row r="510" spans="10:11">
      <c r="J510">
        <f>IF(F510="Culex tarsalis",G510,0)</f>
        <v>0</v>
      </c>
      <c r="K510">
        <f>IF(F510="Culex pipiens",G510,0)</f>
        <v>0</v>
      </c>
    </row>
    <row r="511" spans="10:11">
      <c r="J511">
        <f>IF(F511="Culex tarsalis",G511,0)</f>
        <v>0</v>
      </c>
      <c r="K511">
        <f>IF(F511="Culex pipiens",G511,0)</f>
        <v>0</v>
      </c>
    </row>
    <row r="512" spans="10:11">
      <c r="J512">
        <f>IF(F512="Culex tarsalis",G512,0)</f>
        <v>0</v>
      </c>
      <c r="K512">
        <f>IF(F512="Culex pipiens",G512,0)</f>
        <v>0</v>
      </c>
    </row>
    <row r="513" spans="10:11">
      <c r="J513">
        <f>IF(F513="Culex tarsalis",G513,0)</f>
        <v>0</v>
      </c>
      <c r="K513">
        <f>IF(F513="Culex pipiens",G513,0)</f>
        <v>0</v>
      </c>
    </row>
    <row r="514" spans="10:11">
      <c r="J514">
        <f>IF(F514="Culex tarsalis",G514,0)</f>
        <v>0</v>
      </c>
      <c r="K514">
        <f>IF(F514="Culex pipiens",G514,0)</f>
        <v>0</v>
      </c>
    </row>
    <row r="515" spans="10:11">
      <c r="J515">
        <f>IF(F515="Culex tarsalis",G515,0)</f>
        <v>0</v>
      </c>
      <c r="K515">
        <f>IF(F515="Culex pipiens",G515,0)</f>
        <v>0</v>
      </c>
    </row>
    <row r="516" spans="10:11">
      <c r="J516">
        <f>IF(F516="Culex tarsalis",G516,0)</f>
        <v>0</v>
      </c>
      <c r="K516">
        <f>IF(F516="Culex pipiens",G516,0)</f>
        <v>0</v>
      </c>
    </row>
    <row r="517" spans="10:11">
      <c r="J517">
        <f>IF(F517="Culex tarsalis",G517,0)</f>
        <v>0</v>
      </c>
      <c r="K517">
        <f>IF(F517="Culex pipiens",G517,0)</f>
        <v>0</v>
      </c>
    </row>
    <row r="518" spans="10:11">
      <c r="J518">
        <f>IF(F518="Culex tarsalis",G518,0)</f>
        <v>0</v>
      </c>
      <c r="K518">
        <f>IF(F518="Culex pipiens",G518,0)</f>
        <v>0</v>
      </c>
    </row>
    <row r="519" spans="10:11">
      <c r="J519">
        <f>IF(F519="Culex tarsalis",G519,0)</f>
        <v>0</v>
      </c>
      <c r="K519">
        <f>IF(F519="Culex pipiens",G519,0)</f>
        <v>0</v>
      </c>
    </row>
    <row r="520" spans="10:11">
      <c r="J520">
        <f>IF(F520="Culex tarsalis",G520,0)</f>
        <v>0</v>
      </c>
      <c r="K520">
        <f>IF(F520="Culex pipiens",G520,0)</f>
        <v>0</v>
      </c>
    </row>
    <row r="521" spans="10:11">
      <c r="J521">
        <f>IF(F521="Culex tarsalis",G521,0)</f>
        <v>0</v>
      </c>
      <c r="K521">
        <f>IF(F521="Culex pipiens",G521,0)</f>
        <v>0</v>
      </c>
    </row>
    <row r="522" spans="10:11">
      <c r="J522">
        <f>IF(F522="Culex tarsalis",G522,0)</f>
        <v>0</v>
      </c>
      <c r="K522">
        <f>IF(F522="Culex pipiens",G522,0)</f>
        <v>0</v>
      </c>
    </row>
    <row r="523" spans="10:11">
      <c r="J523">
        <f>IF(F523="Culex tarsalis",G523,0)</f>
        <v>0</v>
      </c>
      <c r="K523">
        <f>IF(F523="Culex pipiens",G523,0)</f>
        <v>0</v>
      </c>
    </row>
    <row r="524" spans="10:11">
      <c r="J524">
        <f>IF(F524="Culex tarsalis",G524,0)</f>
        <v>0</v>
      </c>
      <c r="K524">
        <f>IF(F524="Culex pipiens",G524,0)</f>
        <v>0</v>
      </c>
    </row>
    <row r="525" spans="10:11">
      <c r="J525">
        <f>IF(F525="Culex tarsalis",G525,0)</f>
        <v>0</v>
      </c>
      <c r="K525">
        <f>IF(F525="Culex pipiens",G525,0)</f>
        <v>0</v>
      </c>
    </row>
    <row r="526" spans="10:11">
      <c r="J526">
        <f>IF(F526="Culex tarsalis",G526,0)</f>
        <v>0</v>
      </c>
      <c r="K526">
        <f>IF(F526="Culex pipiens",G526,0)</f>
        <v>0</v>
      </c>
    </row>
    <row r="527" spans="10:11">
      <c r="J527">
        <f>IF(F527="Culex tarsalis",G527,0)</f>
        <v>0</v>
      </c>
      <c r="K527">
        <f>IF(F527="Culex pipiens",G527,0)</f>
        <v>0</v>
      </c>
    </row>
    <row r="528" spans="10:11">
      <c r="J528">
        <f>IF(F528="Culex tarsalis",G528,0)</f>
        <v>0</v>
      </c>
      <c r="K528">
        <f>IF(F528="Culex pipiens",G528,0)</f>
        <v>0</v>
      </c>
    </row>
    <row r="529" spans="10:11">
      <c r="J529">
        <f>IF(F529="Culex tarsalis",G529,0)</f>
        <v>0</v>
      </c>
      <c r="K529">
        <f>IF(F529="Culex pipiens",G529,0)</f>
        <v>0</v>
      </c>
    </row>
    <row r="530" spans="10:11">
      <c r="J530">
        <f>IF(F530="Culex tarsalis",G530,0)</f>
        <v>0</v>
      </c>
      <c r="K530">
        <f>IF(F530="Culex pipiens",G530,0)</f>
        <v>0</v>
      </c>
    </row>
    <row r="531" spans="10:11">
      <c r="J531">
        <f>IF(F531="Culex tarsalis",G531,0)</f>
        <v>0</v>
      </c>
      <c r="K531">
        <f>IF(F531="Culex pipiens",G531,0)</f>
        <v>0</v>
      </c>
    </row>
    <row r="532" spans="10:11">
      <c r="J532">
        <f>IF(F532="Culex tarsalis",G532,0)</f>
        <v>0</v>
      </c>
      <c r="K532">
        <f>IF(F532="Culex pipiens",G532,0)</f>
        <v>0</v>
      </c>
    </row>
    <row r="533" spans="10:11">
      <c r="J533">
        <f>IF(F533="Culex tarsalis",G533,0)</f>
        <v>0</v>
      </c>
      <c r="K533">
        <f>IF(F533="Culex pipiens",G533,0)</f>
        <v>0</v>
      </c>
    </row>
    <row r="534" spans="10:11">
      <c r="J534">
        <f>IF(F534="Culex tarsalis",G534,0)</f>
        <v>0</v>
      </c>
      <c r="K534">
        <f>IF(F534="Culex pipiens",G534,0)</f>
        <v>0</v>
      </c>
    </row>
    <row r="535" spans="10:11">
      <c r="J535">
        <f>IF(F535="Culex tarsalis",G535,0)</f>
        <v>0</v>
      </c>
      <c r="K535">
        <f>IF(F535="Culex pipiens",G535,0)</f>
        <v>0</v>
      </c>
    </row>
    <row r="536" spans="10:11">
      <c r="J536">
        <f>IF(F536="Culex tarsalis",G536,0)</f>
        <v>0</v>
      </c>
      <c r="K536">
        <f>IF(F536="Culex pipiens",G536,0)</f>
        <v>0</v>
      </c>
    </row>
    <row r="537" spans="10:11">
      <c r="J537">
        <f>IF(F537="Culex tarsalis",G537,0)</f>
        <v>0</v>
      </c>
      <c r="K537">
        <f>IF(F537="Culex pipiens",G537,0)</f>
        <v>0</v>
      </c>
    </row>
    <row r="538" spans="10:11">
      <c r="J538">
        <f>IF(F538="Culex tarsalis",G538,0)</f>
        <v>0</v>
      </c>
      <c r="K538">
        <f>IF(F538="Culex pipiens",G538,0)</f>
        <v>0</v>
      </c>
    </row>
    <row r="539" spans="10:11">
      <c r="J539">
        <f>IF(F539="Culex tarsalis",G539,0)</f>
        <v>0</v>
      </c>
      <c r="K539">
        <f>IF(F539="Culex pipiens",G539,0)</f>
        <v>0</v>
      </c>
    </row>
    <row r="540" spans="10:11">
      <c r="J540">
        <f>IF(F540="Culex tarsalis",G540,0)</f>
        <v>0</v>
      </c>
      <c r="K540">
        <f>IF(F540="Culex pipiens",G540,0)</f>
        <v>0</v>
      </c>
    </row>
    <row r="541" spans="10:11">
      <c r="J541">
        <f>IF(F541="Culex tarsalis",G541,0)</f>
        <v>0</v>
      </c>
      <c r="K541">
        <f>IF(F541="Culex pipiens",G541,0)</f>
        <v>0</v>
      </c>
    </row>
    <row r="542" spans="10:11">
      <c r="J542">
        <f>IF(F542="Culex tarsalis",G542,0)</f>
        <v>0</v>
      </c>
      <c r="K542">
        <f>IF(F542="Culex pipiens",G542,0)</f>
        <v>0</v>
      </c>
    </row>
    <row r="543" spans="10:11">
      <c r="J543">
        <f>IF(F543="Culex tarsalis",G543,0)</f>
        <v>0</v>
      </c>
      <c r="K543">
        <f>IF(F543="Culex pipiens",G543,0)</f>
        <v>0</v>
      </c>
    </row>
    <row r="544" spans="10:11">
      <c r="J544">
        <f>IF(F544="Culex tarsalis",G544,0)</f>
        <v>0</v>
      </c>
      <c r="K544">
        <f>IF(F544="Culex pipiens",G544,0)</f>
        <v>0</v>
      </c>
    </row>
    <row r="545" spans="10:11">
      <c r="J545">
        <f>IF(F545="Culex tarsalis",G545,0)</f>
        <v>0</v>
      </c>
      <c r="K545">
        <f>IF(F545="Culex pipiens",G545,0)</f>
        <v>0</v>
      </c>
    </row>
    <row r="546" spans="10:11">
      <c r="J546">
        <f>IF(F546="Culex tarsalis",G546,0)</f>
        <v>0</v>
      </c>
      <c r="K546">
        <f>IF(F546="Culex pipiens",G546,0)</f>
        <v>0</v>
      </c>
    </row>
    <row r="547" spans="10:11">
      <c r="J547">
        <f>IF(F547="Culex tarsalis",G547,0)</f>
        <v>0</v>
      </c>
      <c r="K547">
        <f>IF(F547="Culex pipiens",G547,0)</f>
        <v>0</v>
      </c>
    </row>
    <row r="548" spans="10:11">
      <c r="J548">
        <f>IF(F548="Culex tarsalis",G548,0)</f>
        <v>0</v>
      </c>
      <c r="K548">
        <f>IF(F548="Culex pipiens",G548,0)</f>
        <v>0</v>
      </c>
    </row>
    <row r="549" spans="10:11">
      <c r="J549">
        <f>IF(F549="Culex tarsalis",G549,0)</f>
        <v>0</v>
      </c>
      <c r="K549">
        <f>IF(F549="Culex pipiens",G549,0)</f>
        <v>0</v>
      </c>
    </row>
    <row r="550" spans="10:11">
      <c r="J550">
        <f>IF(F550="Culex tarsalis",G550,0)</f>
        <v>0</v>
      </c>
      <c r="K550">
        <f>IF(F550="Culex pipiens",G550,0)</f>
        <v>0</v>
      </c>
    </row>
    <row r="551" spans="10:11">
      <c r="J551">
        <f>IF(F551="Culex tarsalis",G551,0)</f>
        <v>0</v>
      </c>
      <c r="K551">
        <f>IF(F551="Culex pipiens",G551,0)</f>
        <v>0</v>
      </c>
    </row>
    <row r="552" spans="10:11">
      <c r="J552">
        <f>IF(F552="Culex tarsalis",G552,0)</f>
        <v>0</v>
      </c>
      <c r="K552">
        <f>IF(F552="Culex pipiens",G552,0)</f>
        <v>0</v>
      </c>
    </row>
    <row r="553" spans="10:11">
      <c r="J553">
        <f>IF(F553="Culex tarsalis",G553,0)</f>
        <v>0</v>
      </c>
      <c r="K553">
        <f>IF(F553="Culex pipiens",G553,0)</f>
        <v>0</v>
      </c>
    </row>
    <row r="554" spans="10:11">
      <c r="J554">
        <f>IF(F554="Culex tarsalis",G554,0)</f>
        <v>0</v>
      </c>
      <c r="K554">
        <f>IF(F554="Culex pipiens",G554,0)</f>
        <v>0</v>
      </c>
    </row>
    <row r="555" spans="10:11">
      <c r="J555">
        <f>IF(F555="Culex tarsalis",G555,0)</f>
        <v>0</v>
      </c>
      <c r="K555">
        <f>IF(F555="Culex pipiens",G555,0)</f>
        <v>0</v>
      </c>
    </row>
    <row r="556" spans="10:11">
      <c r="J556">
        <f>IF(F556="Culex tarsalis",G556,0)</f>
        <v>0</v>
      </c>
      <c r="K556">
        <f>IF(F556="Culex pipiens",G556,0)</f>
        <v>0</v>
      </c>
    </row>
    <row r="557" spans="10:11">
      <c r="J557">
        <f>IF(F557="Culex tarsalis",G557,0)</f>
        <v>0</v>
      </c>
      <c r="K557">
        <f>IF(F557="Culex pipiens",G557,0)</f>
        <v>0</v>
      </c>
    </row>
    <row r="558" spans="10:11">
      <c r="J558">
        <f>IF(F558="Culex tarsalis",G558,0)</f>
        <v>0</v>
      </c>
      <c r="K558">
        <f>IF(F558="Culex pipiens",G558,0)</f>
        <v>0</v>
      </c>
    </row>
    <row r="559" spans="10:11">
      <c r="J559">
        <f>IF(F559="Culex tarsalis",G559,0)</f>
        <v>0</v>
      </c>
      <c r="K559">
        <f>IF(F559="Culex pipiens",G559,0)</f>
        <v>0</v>
      </c>
    </row>
    <row r="560" spans="10:11">
      <c r="J560">
        <f>IF(F560="Culex tarsalis",G560,0)</f>
        <v>0</v>
      </c>
      <c r="K560">
        <f>IF(F560="Culex pipiens",G560,0)</f>
        <v>0</v>
      </c>
    </row>
    <row r="561" spans="10:11">
      <c r="J561">
        <f>IF(F561="Culex tarsalis",G561,0)</f>
        <v>0</v>
      </c>
      <c r="K561">
        <f>IF(F561="Culex pipiens",G561,0)</f>
        <v>0</v>
      </c>
    </row>
    <row r="562" spans="10:11">
      <c r="J562">
        <f>IF(F562="Culex tarsalis",G562,0)</f>
        <v>0</v>
      </c>
      <c r="K562">
        <f>IF(F562="Culex pipiens",G562,0)</f>
        <v>0</v>
      </c>
    </row>
    <row r="563" spans="10:11">
      <c r="J563">
        <f>IF(F563="Culex tarsalis",G563,0)</f>
        <v>0</v>
      </c>
      <c r="K563">
        <f>IF(F563="Culex pipiens",G563,0)</f>
        <v>0</v>
      </c>
    </row>
    <row r="564" spans="10:11">
      <c r="J564">
        <f>IF(F564="Culex tarsalis",G564,0)</f>
        <v>0</v>
      </c>
      <c r="K564">
        <f>IF(F564="Culex pipiens",G564,0)</f>
        <v>0</v>
      </c>
    </row>
    <row r="565" spans="10:11">
      <c r="J565">
        <f>IF(F565="Culex tarsalis",G565,0)</f>
        <v>0</v>
      </c>
      <c r="K565">
        <f>IF(F565="Culex pipiens",G565,0)</f>
        <v>0</v>
      </c>
    </row>
    <row r="566" spans="10:11">
      <c r="J566">
        <f>IF(F566="Culex tarsalis",G566,0)</f>
        <v>0</v>
      </c>
      <c r="K566">
        <f>IF(F566="Culex pipiens",G566,0)</f>
        <v>0</v>
      </c>
    </row>
    <row r="567" spans="10:11">
      <c r="J567">
        <f>IF(F567="Culex tarsalis",G567,0)</f>
        <v>0</v>
      </c>
      <c r="K567">
        <f>IF(F567="Culex pipiens",G567,0)</f>
        <v>0</v>
      </c>
    </row>
    <row r="568" spans="10:11">
      <c r="J568">
        <f>IF(F568="Culex tarsalis",G568,0)</f>
        <v>0</v>
      </c>
      <c r="K568">
        <f>IF(F568="Culex pipiens",G568,0)</f>
        <v>0</v>
      </c>
    </row>
    <row r="569" spans="10:11">
      <c r="J569">
        <f>IF(F569="Culex tarsalis",G569,0)</f>
        <v>0</v>
      </c>
      <c r="K569">
        <f>IF(F569="Culex pipiens",G569,0)</f>
        <v>0</v>
      </c>
    </row>
    <row r="570" spans="10:11">
      <c r="J570">
        <f>IF(F570="Culex tarsalis",G570,0)</f>
        <v>0</v>
      </c>
      <c r="K570">
        <f>IF(F570="Culex pipiens",G570,0)</f>
        <v>0</v>
      </c>
    </row>
    <row r="571" spans="10:11">
      <c r="J571">
        <f>IF(F571="Culex tarsalis",G571,0)</f>
        <v>0</v>
      </c>
      <c r="K571">
        <f>IF(F571="Culex pipiens",G571,0)</f>
        <v>0</v>
      </c>
    </row>
    <row r="572" spans="10:11">
      <c r="J572">
        <f>IF(F572="Culex tarsalis",G572,0)</f>
        <v>0</v>
      </c>
      <c r="K572">
        <f>IF(F572="Culex pipiens",G572,0)</f>
        <v>0</v>
      </c>
    </row>
    <row r="573" spans="10:11">
      <c r="J573">
        <f>IF(F573="Culex tarsalis",G573,0)</f>
        <v>0</v>
      </c>
      <c r="K573">
        <f>IF(F573="Culex pipiens",G573,0)</f>
        <v>0</v>
      </c>
    </row>
  </sheetData>
  <sortState xmlns:xlrd2="http://schemas.microsoft.com/office/spreadsheetml/2017/richdata2" ref="A2:AB574">
    <sortCondition ref="C2:C574"/>
    <sortCondition ref="E2:E574"/>
    <sortCondition ref="D2:D57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E16" sqref="E16"/>
    </sheetView>
  </sheetViews>
  <sheetFormatPr defaultRowHeight="1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255</v>
      </c>
      <c r="G1" s="32" t="s">
        <v>256</v>
      </c>
    </row>
    <row r="2" spans="1:10">
      <c r="A2" s="2" t="s">
        <v>13</v>
      </c>
      <c r="B2" t="s">
        <v>257</v>
      </c>
    </row>
    <row r="4" spans="1:10">
      <c r="A4" s="2" t="s">
        <v>258</v>
      </c>
      <c r="B4" t="s">
        <v>259</v>
      </c>
      <c r="C4" t="s">
        <v>260</v>
      </c>
      <c r="D4" t="s">
        <v>261</v>
      </c>
      <c r="G4" s="24" t="s">
        <v>258</v>
      </c>
      <c r="H4" s="24" t="s">
        <v>259</v>
      </c>
      <c r="I4" s="24" t="s">
        <v>260</v>
      </c>
      <c r="J4" s="24" t="s">
        <v>261</v>
      </c>
    </row>
    <row r="5" spans="1:10">
      <c r="A5" s="1" t="s">
        <v>33</v>
      </c>
      <c r="B5">
        <v>0</v>
      </c>
      <c r="C5">
        <v>26</v>
      </c>
      <c r="D5">
        <v>26</v>
      </c>
      <c r="G5" s="1" t="s">
        <v>134</v>
      </c>
      <c r="H5">
        <f>GETPIVOTDATA("Sum of Cx pipiens",$A$4,"Zone","LV")</f>
        <v>19</v>
      </c>
      <c r="I5">
        <f>GETPIVOTDATA("Sum of Cx tarsalis",$A$4,"Zone","LV")</f>
        <v>24</v>
      </c>
      <c r="J5">
        <f>GETPIVOTDATA("Sum of Total CX",$A$4,"Zone","LV")</f>
        <v>43</v>
      </c>
    </row>
    <row r="6" spans="1:10">
      <c r="A6" s="1" t="s">
        <v>88</v>
      </c>
      <c r="B6">
        <v>665</v>
      </c>
      <c r="C6">
        <v>14</v>
      </c>
      <c r="D6">
        <v>679</v>
      </c>
      <c r="G6" s="1" t="s">
        <v>88</v>
      </c>
      <c r="H6">
        <f>GETPIVOTDATA("Sum of Cx pipiens",$A$4,"Zone","NE")</f>
        <v>665</v>
      </c>
      <c r="I6">
        <f>GETPIVOTDATA("Sum of Cx tarsalis",$A$4,"Zone","NE")</f>
        <v>14</v>
      </c>
      <c r="J6">
        <f>GETPIVOTDATA("Sum of Total CX",$A$4,"Zone","NE")</f>
        <v>679</v>
      </c>
    </row>
    <row r="7" spans="1:10">
      <c r="A7" s="1" t="s">
        <v>102</v>
      </c>
      <c r="B7">
        <v>18</v>
      </c>
      <c r="C7">
        <v>5</v>
      </c>
      <c r="D7">
        <v>23</v>
      </c>
      <c r="G7" s="1" t="s">
        <v>102</v>
      </c>
      <c r="H7">
        <f>GETPIVOTDATA("Sum of Cx pipiens",$A$4,"Zone","NW")</f>
        <v>18</v>
      </c>
      <c r="I7">
        <f>GETPIVOTDATA("Sum of Cx tarsalis",$A$4,"Zone","NW")</f>
        <v>5</v>
      </c>
      <c r="J7">
        <f>GETPIVOTDATA("Sum of Total CX",$A$4,"Zone","NW")</f>
        <v>23</v>
      </c>
    </row>
    <row r="8" spans="1:10">
      <c r="A8" s="1" t="s">
        <v>53</v>
      </c>
      <c r="B8">
        <v>340</v>
      </c>
      <c r="C8">
        <v>10</v>
      </c>
      <c r="D8">
        <v>350</v>
      </c>
      <c r="G8" s="1" t="s">
        <v>53</v>
      </c>
      <c r="H8">
        <f>GETPIVOTDATA("Sum of Cx pipiens",$A$4,"Zone","SE")</f>
        <v>340</v>
      </c>
      <c r="I8">
        <f>GETPIVOTDATA("Sum of Cx tarsalis",$A$4,"Zone","SE")</f>
        <v>10</v>
      </c>
      <c r="J8">
        <f>GETPIVOTDATA("Sum of Total CX",$A$4,"Zone","SE")</f>
        <v>350</v>
      </c>
    </row>
    <row r="9" spans="1:10">
      <c r="A9" s="1" t="s">
        <v>161</v>
      </c>
      <c r="B9">
        <v>15</v>
      </c>
      <c r="C9">
        <v>7</v>
      </c>
      <c r="D9">
        <v>22</v>
      </c>
      <c r="G9" s="1" t="s">
        <v>161</v>
      </c>
      <c r="H9">
        <f>GETPIVOTDATA("Sum of Cx pipiens",$A$4,"Zone","SW")</f>
        <v>15</v>
      </c>
      <c r="I9">
        <f>GETPIVOTDATA("Sum of Cx tarsalis",$A$4,"Zone","SW")</f>
        <v>7</v>
      </c>
      <c r="J9">
        <f>GETPIVOTDATA("Sum of Total CX",$A$4,"Zone","SW")</f>
        <v>22</v>
      </c>
    </row>
    <row r="10" spans="1:10">
      <c r="A10" s="1" t="s">
        <v>134</v>
      </c>
      <c r="B10">
        <v>19</v>
      </c>
      <c r="C10">
        <v>24</v>
      </c>
      <c r="D10">
        <v>43</v>
      </c>
      <c r="G10" s="1" t="s">
        <v>262</v>
      </c>
      <c r="H10" t="e">
        <f>GETPIVOTDATA("Sum of Cx pipiens",$A$4,"Zone","BE")</f>
        <v>#REF!</v>
      </c>
      <c r="I10" t="e">
        <f>GETPIVOTDATA("Sum of Cx tarsalis",$A$4,"Zone","BE")</f>
        <v>#REF!</v>
      </c>
      <c r="J10" t="e">
        <f>GETPIVOTDATA("Sum of Total CX",$A$4,"Zone","BE")</f>
        <v>#REF!</v>
      </c>
    </row>
    <row r="11" spans="1:10">
      <c r="A11" s="1" t="s">
        <v>263</v>
      </c>
      <c r="B11">
        <v>1057</v>
      </c>
      <c r="C11">
        <v>86</v>
      </c>
      <c r="D11">
        <v>1143</v>
      </c>
      <c r="G11" s="1" t="s">
        <v>33</v>
      </c>
      <c r="H11">
        <f>GETPIVOTDATA("Sum of Cx pipiens",$A$4,"Zone","BC")</f>
        <v>0</v>
      </c>
      <c r="I11">
        <f>GETPIVOTDATA("Sum of Cx tarsalis",$A$4,"Zone","BC")</f>
        <v>26</v>
      </c>
      <c r="J11">
        <f>GETPIVOTDATA("Sum of Total CX",$A$4,"Zone","BC")</f>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RowHeight="15"/>
  <cols>
    <col min="1" max="1" width="13.140625" bestFit="1" customWidth="1"/>
    <col min="2" max="2" width="16.28515625" customWidth="1"/>
    <col min="3" max="3" width="7.85546875" bestFit="1" customWidth="1"/>
    <col min="4" max="4" width="11.28515625" bestFit="1" customWidth="1"/>
  </cols>
  <sheetData>
    <row r="1" spans="1:11">
      <c r="A1" s="98" t="s">
        <v>264</v>
      </c>
      <c r="B1" s="98"/>
      <c r="H1" s="98" t="s">
        <v>265</v>
      </c>
      <c r="I1" s="98"/>
    </row>
    <row r="2" spans="1:11">
      <c r="A2" s="2" t="s">
        <v>13</v>
      </c>
      <c r="B2" t="s">
        <v>257</v>
      </c>
    </row>
    <row r="4" spans="1:11">
      <c r="A4" s="2" t="s">
        <v>266</v>
      </c>
      <c r="B4" s="2" t="s">
        <v>267</v>
      </c>
      <c r="H4" s="23" t="s">
        <v>266</v>
      </c>
      <c r="I4" s="23" t="s">
        <v>267</v>
      </c>
      <c r="J4" s="23"/>
      <c r="K4" s="23"/>
    </row>
    <row r="5" spans="1:11">
      <c r="A5" s="2" t="s">
        <v>258</v>
      </c>
      <c r="B5" t="s">
        <v>268</v>
      </c>
      <c r="C5" t="s">
        <v>269</v>
      </c>
      <c r="D5" t="s">
        <v>263</v>
      </c>
      <c r="H5" s="24" t="s">
        <v>258</v>
      </c>
      <c r="I5" s="24" t="s">
        <v>270</v>
      </c>
      <c r="J5" s="24" t="s">
        <v>271</v>
      </c>
      <c r="K5" s="24" t="s">
        <v>263</v>
      </c>
    </row>
    <row r="6" spans="1:11">
      <c r="A6" s="1" t="s">
        <v>134</v>
      </c>
      <c r="B6">
        <v>8</v>
      </c>
      <c r="C6">
        <v>1</v>
      </c>
      <c r="D6">
        <v>9</v>
      </c>
      <c r="H6" s="1" t="s">
        <v>134</v>
      </c>
      <c r="I6">
        <f>GETPIVOTDATA("Total",$A$4,"Zone","LV","Spp","pipiens")</f>
        <v>1</v>
      </c>
      <c r="J6">
        <f>GETPIVOTDATA("Total",$A$4,"Zone","LV","Spp","tarsalis")</f>
        <v>8</v>
      </c>
      <c r="K6">
        <f>GETPIVOTDATA("Total",$A$4,"Zone","LV")</f>
        <v>9</v>
      </c>
    </row>
    <row r="7" spans="1:11">
      <c r="A7" s="1" t="s">
        <v>33</v>
      </c>
      <c r="B7">
        <v>26</v>
      </c>
      <c r="D7">
        <v>26</v>
      </c>
      <c r="H7" s="1" t="s">
        <v>88</v>
      </c>
      <c r="I7">
        <f>GETPIVOTDATA("Total",$A$4,"Zone","NE","Spp","pipiens")</f>
        <v>700</v>
      </c>
      <c r="J7">
        <f>GETPIVOTDATA("Total",$A$4,"Zone","NE","Spp","tarsalis")</f>
        <v>15</v>
      </c>
      <c r="K7">
        <f>GETPIVOTDATA("Total",$A$4,"Zone","NE")</f>
        <v>715</v>
      </c>
    </row>
    <row r="8" spans="1:11">
      <c r="A8" s="1" t="s">
        <v>88</v>
      </c>
      <c r="B8">
        <v>15</v>
      </c>
      <c r="C8">
        <v>700</v>
      </c>
      <c r="D8">
        <v>715</v>
      </c>
      <c r="H8" s="1" t="s">
        <v>102</v>
      </c>
      <c r="I8">
        <f>GETPIVOTDATA("Total",$A$4,"Zone","NW","Spp","pipiens")</f>
        <v>70</v>
      </c>
      <c r="J8">
        <f>GETPIVOTDATA("Total",$A$4,"Zone","NW","Spp","tarsalis")</f>
        <v>5</v>
      </c>
      <c r="K8">
        <f>GETPIVOTDATA("Total",$A$4,"Zone","NW")</f>
        <v>75</v>
      </c>
    </row>
    <row r="9" spans="1:11">
      <c r="A9" s="1" t="s">
        <v>102</v>
      </c>
      <c r="B9">
        <v>5</v>
      </c>
      <c r="C9">
        <v>70</v>
      </c>
      <c r="D9">
        <v>75</v>
      </c>
      <c r="H9" s="1" t="s">
        <v>53</v>
      </c>
      <c r="I9">
        <f>GETPIVOTDATA("Total",$A$4,"Zone","SE","Spp","pipiens")</f>
        <v>432</v>
      </c>
      <c r="J9">
        <f>GETPIVOTDATA("Total",$A$4,"Zone","SE","Spp","tarsalis")</f>
        <v>10</v>
      </c>
      <c r="K9">
        <f>GETPIVOTDATA("Total",$A$4,"Zone","SE")</f>
        <v>442</v>
      </c>
    </row>
    <row r="10" spans="1:11">
      <c r="A10" s="1" t="s">
        <v>53</v>
      </c>
      <c r="B10">
        <v>10</v>
      </c>
      <c r="C10">
        <v>432</v>
      </c>
      <c r="D10">
        <v>442</v>
      </c>
      <c r="H10" s="1" t="s">
        <v>161</v>
      </c>
      <c r="I10">
        <f>GETPIVOTDATA("Total",$A$4,"Zone","SW","Spp","pipiens")</f>
        <v>44</v>
      </c>
      <c r="J10">
        <f>GETPIVOTDATA("Total",$A$4,"Zone","SW","Spp","tarsalis")</f>
        <v>7</v>
      </c>
      <c r="K10">
        <f>GETPIVOTDATA("Total",$A$4,"Zone","SW")</f>
        <v>51</v>
      </c>
    </row>
    <row r="11" spans="1:11">
      <c r="A11" s="1" t="s">
        <v>161</v>
      </c>
      <c r="B11">
        <v>7</v>
      </c>
      <c r="C11">
        <v>44</v>
      </c>
      <c r="D11">
        <v>51</v>
      </c>
      <c r="H11" s="1" t="s">
        <v>262</v>
      </c>
      <c r="I11" t="e">
        <f>GETPIVOTDATA("Total",$A$4,"Zone","BE","Spp","pipiens")</f>
        <v>#REF!</v>
      </c>
      <c r="J11" t="e">
        <f>GETPIVOTDATA("Total",$A$4,"Zone","BE","Spp","tarsalis")</f>
        <v>#REF!</v>
      </c>
      <c r="K11" t="e">
        <f>GETPIVOTDATA("Total",$A$4,"Zone","BE")</f>
        <v>#REF!</v>
      </c>
    </row>
    <row r="12" spans="1:11">
      <c r="A12" s="1" t="s">
        <v>263</v>
      </c>
      <c r="B12">
        <v>71</v>
      </c>
      <c r="C12">
        <v>1247</v>
      </c>
      <c r="D12">
        <v>1318</v>
      </c>
      <c r="H12" s="1" t="s">
        <v>33</v>
      </c>
      <c r="I12">
        <f>GETPIVOTDATA("Total",$A$4,"Zone","BC","Spp","pipiens")</f>
        <v>0</v>
      </c>
      <c r="J12">
        <f>GETPIVOTDATA("Total",$A$4,"Zone","BC","Spp","tarsalis")</f>
        <v>26</v>
      </c>
      <c r="K12">
        <f>GETPIVOTDATA("Total",$A$4,"Zone","BC")</f>
        <v>26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4F1FC0-AB96-4C26-A679-E2FFC7D7E833}"/>
</file>

<file path=customXml/itemProps2.xml><?xml version="1.0" encoding="utf-8"?>
<ds:datastoreItem xmlns:ds="http://schemas.openxmlformats.org/officeDocument/2006/customXml" ds:itemID="{5CE44ABA-095B-4FAA-807B-6677C51C636B}"/>
</file>

<file path=customXml/itemProps3.xml><?xml version="1.0" encoding="utf-8"?>
<ds:datastoreItem xmlns:ds="http://schemas.openxmlformats.org/officeDocument/2006/customXml" ds:itemID="{96287B8D-24BB-4754-8E02-39CBBF59D7F2}"/>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Koch,Tobias</cp:lastModifiedBy>
  <cp:revision/>
  <dcterms:created xsi:type="dcterms:W3CDTF">2014-05-12T19:16:27Z</dcterms:created>
  <dcterms:modified xsi:type="dcterms:W3CDTF">2024-02-12T17:05:07Z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1305000</vt:r8>
  </property>
  <property fmtid="{D5CDD505-2E9C-101B-9397-08002B2CF9AE}" pid="4" name="MediaServiceImageTags">
    <vt:lpwstr/>
  </property>
</Properties>
</file>