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2\WNV-s 2022 (LW)\Week 29\"/>
    </mc:Choice>
  </mc:AlternateContent>
  <xr:revisionPtr revIDLastSave="0" documentId="13_ncr:1_{C2802084-27C5-4414-8917-CDB5DE00AC72}" xr6:coauthVersionLast="45" xr6:coauthVersionMax="47" xr10:uidLastSave="{00000000-0000-0000-0000-000000000000}"/>
  <bookViews>
    <workbookView xWindow="2925" yWindow="2250" windowWidth="14400" windowHeight="10755" tabRatio="869" firstSheet="10" activeTab="13" xr2:uid="{00000000-000D-0000-FFFF-FFFF00000000}"/>
  </bookViews>
  <sheets>
    <sheet name="READ ME" sheetId="65" r:id="rId1"/>
    <sheet name="Weekly Data Input" sheetId="2" r:id="rId2"/>
    <sheet name="InfRateTotal" sheetId="107" r:id="rId3"/>
    <sheet name="InfRateZone" sheetId="103" r:id="rId4"/>
    <sheet name="InfRateZO" sheetId="101" r:id="rId5"/>
    <sheet name="InfRateCI" sheetId="99"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0" r:id="rId15"/>
    <pivotCache cacheId="1"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8" i="5" l="1"/>
  <c r="C48" i="5"/>
  <c r="K188" i="59" l="1"/>
  <c r="K189" i="59"/>
  <c r="K190" i="59"/>
  <c r="J188" i="59"/>
  <c r="J189" i="59"/>
  <c r="J190" i="59"/>
  <c r="I14" i="6"/>
  <c r="H14" i="6"/>
  <c r="H13" i="6"/>
  <c r="H12" i="6"/>
  <c r="H11" i="6"/>
  <c r="H10" i="6"/>
  <c r="H9" i="6"/>
  <c r="H8" i="6"/>
  <c r="H7" i="6"/>
  <c r="G14" i="6"/>
  <c r="G13" i="6"/>
  <c r="G12" i="6"/>
  <c r="G11" i="6"/>
  <c r="G10" i="6"/>
  <c r="G9" i="6"/>
  <c r="G8" i="6"/>
  <c r="G7" i="6"/>
  <c r="I12" i="64"/>
  <c r="I11" i="64"/>
  <c r="I10" i="64"/>
  <c r="I9" i="64"/>
  <c r="I8" i="64"/>
  <c r="I7" i="64"/>
  <c r="I6" i="64"/>
  <c r="I11" i="61"/>
  <c r="I8" i="61"/>
  <c r="I12" i="61"/>
  <c r="I10" i="61"/>
  <c r="I9" i="61"/>
  <c r="I7" i="61"/>
  <c r="I6" i="61"/>
  <c r="I81" i="5" l="1"/>
  <c r="J9" i="64"/>
  <c r="H11" i="64"/>
  <c r="H7" i="64"/>
  <c r="J8" i="64"/>
  <c r="H8" i="64"/>
  <c r="J6" i="64"/>
  <c r="H10" i="64"/>
  <c r="H6" i="64"/>
  <c r="J7" i="64"/>
  <c r="H9" i="64"/>
  <c r="J78" i="59" l="1"/>
  <c r="J79" i="59"/>
  <c r="J85" i="59"/>
  <c r="J92" i="59"/>
  <c r="J93" i="59"/>
  <c r="J154" i="59"/>
  <c r="J5" i="59"/>
  <c r="J6" i="59"/>
  <c r="J9" i="59"/>
  <c r="J10" i="59"/>
  <c r="J12" i="59"/>
  <c r="J13" i="59"/>
  <c r="J21" i="59"/>
  <c r="J22" i="59"/>
  <c r="J25" i="59"/>
  <c r="J26" i="59"/>
  <c r="J28" i="59"/>
  <c r="J29" i="59"/>
  <c r="J155" i="59"/>
  <c r="J57" i="59"/>
  <c r="J58" i="59"/>
  <c r="J156" i="59"/>
  <c r="J59" i="59"/>
  <c r="J60" i="59"/>
  <c r="J65" i="59"/>
  <c r="J68" i="59"/>
  <c r="J69" i="59"/>
  <c r="J157" i="59"/>
  <c r="J158" i="59"/>
  <c r="J159" i="59"/>
  <c r="J3" i="59"/>
  <c r="J4" i="59"/>
  <c r="J14" i="59"/>
  <c r="J15" i="59"/>
  <c r="J16" i="59"/>
  <c r="J19" i="59"/>
  <c r="J20" i="59"/>
  <c r="J27" i="59"/>
  <c r="J32" i="59"/>
  <c r="J33" i="59"/>
  <c r="J34" i="59"/>
  <c r="J37" i="59"/>
  <c r="J38" i="59"/>
  <c r="J41" i="59"/>
  <c r="J42" i="59"/>
  <c r="J47" i="59"/>
  <c r="J48" i="59"/>
  <c r="J55" i="59"/>
  <c r="J56" i="59"/>
  <c r="J72" i="59"/>
  <c r="J73" i="59"/>
  <c r="J74" i="59"/>
  <c r="J75" i="59"/>
  <c r="J160" i="59"/>
  <c r="J161" i="59"/>
  <c r="J162" i="59"/>
  <c r="J7" i="59"/>
  <c r="J8" i="59"/>
  <c r="J11" i="59"/>
  <c r="J30" i="59"/>
  <c r="J31" i="59"/>
  <c r="J35" i="59"/>
  <c r="J36" i="59"/>
  <c r="J39" i="59"/>
  <c r="J40" i="59"/>
  <c r="J45" i="59"/>
  <c r="J46" i="59"/>
  <c r="J49" i="59"/>
  <c r="J50" i="59"/>
  <c r="J51" i="59"/>
  <c r="J54" i="59"/>
  <c r="J163" i="59"/>
  <c r="J61" i="59"/>
  <c r="J62" i="59"/>
  <c r="J70" i="59"/>
  <c r="J71" i="59"/>
  <c r="J164" i="59"/>
  <c r="J165" i="59"/>
  <c r="J2" i="59"/>
  <c r="J17" i="59"/>
  <c r="J18" i="59"/>
  <c r="J166" i="59"/>
  <c r="J23" i="59"/>
  <c r="J24" i="59"/>
  <c r="J43" i="59"/>
  <c r="J44" i="59"/>
  <c r="J52" i="59"/>
  <c r="J53" i="59"/>
  <c r="J63" i="59"/>
  <c r="J64" i="59"/>
  <c r="J66" i="59"/>
  <c r="J67" i="59"/>
  <c r="J167" i="59"/>
  <c r="J76" i="59"/>
  <c r="J77" i="59"/>
  <c r="J94" i="59"/>
  <c r="J95" i="59"/>
  <c r="J104" i="59"/>
  <c r="J105" i="59"/>
  <c r="J106" i="59"/>
  <c r="J110" i="59"/>
  <c r="J168" i="59"/>
  <c r="J111" i="59"/>
  <c r="J113" i="59"/>
  <c r="J114" i="59"/>
  <c r="J117" i="59"/>
  <c r="J118" i="59"/>
  <c r="J139" i="59"/>
  <c r="J140" i="59"/>
  <c r="J141" i="59"/>
  <c r="J142" i="59"/>
  <c r="J107" i="59"/>
  <c r="J108" i="59"/>
  <c r="J169" i="59"/>
  <c r="J109" i="59"/>
  <c r="J115" i="59"/>
  <c r="J116" i="59"/>
  <c r="J125" i="59"/>
  <c r="J126" i="59"/>
  <c r="J129" i="59"/>
  <c r="J130" i="59"/>
  <c r="J133" i="59"/>
  <c r="J134" i="59"/>
  <c r="J135" i="59"/>
  <c r="J136" i="59"/>
  <c r="J143" i="59"/>
  <c r="J144" i="59"/>
  <c r="J150" i="59"/>
  <c r="J151" i="59"/>
  <c r="J152" i="59"/>
  <c r="J153" i="59"/>
  <c r="J98" i="59"/>
  <c r="J99" i="59"/>
  <c r="J100" i="59"/>
  <c r="J101" i="59"/>
  <c r="J102" i="59"/>
  <c r="J103" i="59"/>
  <c r="J112" i="59"/>
  <c r="J137" i="59"/>
  <c r="J138" i="59"/>
  <c r="J145" i="59"/>
  <c r="J170" i="59"/>
  <c r="J171" i="59"/>
  <c r="J96" i="59"/>
  <c r="J97" i="59"/>
  <c r="J119" i="59"/>
  <c r="J120" i="59"/>
  <c r="J121" i="59"/>
  <c r="J122" i="59"/>
  <c r="J123" i="59"/>
  <c r="J124" i="59"/>
  <c r="J127" i="59"/>
  <c r="J128" i="59"/>
  <c r="J131" i="59"/>
  <c r="J132" i="59"/>
  <c r="J146" i="59"/>
  <c r="J147" i="59"/>
  <c r="J148" i="59"/>
  <c r="J149" i="59"/>
  <c r="J80" i="59"/>
  <c r="J81" i="59"/>
  <c r="J82" i="59"/>
  <c r="J83" i="59"/>
  <c r="J84" i="59"/>
  <c r="J86" i="59"/>
  <c r="J87" i="59"/>
  <c r="J88" i="59"/>
  <c r="J89" i="59"/>
  <c r="J90" i="59"/>
  <c r="J91" i="59"/>
  <c r="J172" i="59"/>
  <c r="J173" i="59"/>
  <c r="J174" i="59"/>
  <c r="J175" i="59"/>
  <c r="J176" i="59"/>
  <c r="J177" i="59"/>
  <c r="J178" i="59"/>
  <c r="J179" i="59"/>
  <c r="J180" i="59"/>
  <c r="J181" i="59"/>
  <c r="J182" i="59"/>
  <c r="J183" i="59"/>
  <c r="J184" i="59"/>
  <c r="J185" i="59"/>
  <c r="J186" i="59"/>
  <c r="J187" i="59"/>
  <c r="M81" i="5" l="1"/>
  <c r="F14" i="5" s="1"/>
  <c r="M80" i="5"/>
  <c r="L81" i="5"/>
  <c r="E14" i="5" s="1"/>
  <c r="L80" i="5"/>
  <c r="H5" i="63"/>
  <c r="F44" i="5" l="1"/>
  <c r="I13" i="6"/>
  <c r="I12" i="6"/>
  <c r="J11" i="64"/>
  <c r="J12" i="64"/>
  <c r="K11" i="61"/>
  <c r="K12" i="61"/>
  <c r="H10" i="63"/>
  <c r="I11" i="63"/>
  <c r="J10" i="63"/>
  <c r="H11" i="63"/>
  <c r="I10" i="63"/>
  <c r="J11" i="63"/>
  <c r="J11" i="61" l="1"/>
  <c r="D80" i="5" s="1"/>
  <c r="J12" i="61"/>
  <c r="D81" i="5" s="1"/>
  <c r="H48" i="5"/>
  <c r="D14" i="5" s="1"/>
  <c r="H14" i="5" s="1"/>
  <c r="C47" i="5"/>
  <c r="D47" i="5"/>
  <c r="I80" i="5"/>
  <c r="J81" i="5"/>
  <c r="K81" i="5" s="1"/>
  <c r="J80" i="5"/>
  <c r="G80" i="5"/>
  <c r="F81" i="5"/>
  <c r="F80" i="5"/>
  <c r="C80" i="5"/>
  <c r="C81" i="5"/>
  <c r="K31" i="59"/>
  <c r="K120" i="59"/>
  <c r="K136" i="59"/>
  <c r="K170" i="59"/>
  <c r="K48" i="59"/>
  <c r="K53" i="59"/>
  <c r="K45" i="59"/>
  <c r="K142" i="59"/>
  <c r="K165" i="59"/>
  <c r="K81" i="59"/>
  <c r="K73" i="59"/>
  <c r="K137" i="59"/>
  <c r="K108" i="59"/>
  <c r="K15" i="59"/>
  <c r="K11" i="59"/>
  <c r="K59" i="59"/>
  <c r="K160" i="59"/>
  <c r="K111" i="59"/>
  <c r="K19" i="59"/>
  <c r="K100" i="59"/>
  <c r="K68" i="59"/>
  <c r="K132" i="59"/>
  <c r="K150" i="59"/>
  <c r="K156" i="59"/>
  <c r="K49" i="59"/>
  <c r="K106" i="59"/>
  <c r="K29" i="59"/>
  <c r="K125" i="59"/>
  <c r="K166" i="59"/>
  <c r="K103" i="59"/>
  <c r="K146" i="59"/>
  <c r="K2" i="59"/>
  <c r="K157" i="59"/>
  <c r="K121" i="59"/>
  <c r="K101" i="59"/>
  <c r="K92" i="59"/>
  <c r="K17" i="59"/>
  <c r="K52" i="59"/>
  <c r="K122" i="59"/>
  <c r="K171" i="59"/>
  <c r="K99" i="59"/>
  <c r="K12" i="59"/>
  <c r="K6" i="59"/>
  <c r="K75" i="59"/>
  <c r="K23" i="59"/>
  <c r="K168" i="59"/>
  <c r="K41" i="59"/>
  <c r="K33" i="59"/>
  <c r="K97" i="59"/>
  <c r="K69" i="59"/>
  <c r="K154" i="59"/>
  <c r="K7" i="59"/>
  <c r="K162" i="59"/>
  <c r="K98" i="59"/>
  <c r="K67" i="59"/>
  <c r="K5" i="59"/>
  <c r="K30" i="59"/>
  <c r="K105" i="59"/>
  <c r="K145" i="59"/>
  <c r="K51" i="59"/>
  <c r="K28" i="59"/>
  <c r="K14" i="59"/>
  <c r="K119" i="59"/>
  <c r="K152" i="59"/>
  <c r="K143" i="59"/>
  <c r="K24" i="59"/>
  <c r="K40" i="59"/>
  <c r="K46" i="59"/>
  <c r="K159" i="59"/>
  <c r="K26" i="59"/>
  <c r="K3" i="59"/>
  <c r="K155" i="59"/>
  <c r="K115" i="59"/>
  <c r="K135" i="59"/>
  <c r="K37" i="59"/>
  <c r="K10" i="59"/>
  <c r="K167" i="59"/>
  <c r="K65" i="59"/>
  <c r="K72" i="59"/>
  <c r="K66" i="59"/>
  <c r="K117" i="59"/>
  <c r="K131" i="59"/>
  <c r="K124" i="59"/>
  <c r="K116" i="59"/>
  <c r="K27" i="59"/>
  <c r="K62" i="59"/>
  <c r="K134" i="59"/>
  <c r="K64" i="59"/>
  <c r="K21" i="59"/>
  <c r="K80" i="59"/>
  <c r="K149" i="59"/>
  <c r="K38" i="59"/>
  <c r="K133" i="59"/>
  <c r="K107" i="59"/>
  <c r="K55" i="59"/>
  <c r="K144" i="59"/>
  <c r="K74" i="59"/>
  <c r="K158" i="59"/>
  <c r="K32" i="59"/>
  <c r="K128" i="59"/>
  <c r="K129" i="59"/>
  <c r="K63" i="59"/>
  <c r="K96" i="59"/>
  <c r="K54" i="59"/>
  <c r="K22" i="59"/>
  <c r="K93" i="59"/>
  <c r="K4" i="59"/>
  <c r="K112" i="59"/>
  <c r="K82" i="59"/>
  <c r="K83" i="59"/>
  <c r="K84" i="59"/>
  <c r="K86" i="59"/>
  <c r="K87" i="59"/>
  <c r="K88" i="59"/>
  <c r="K89" i="59"/>
  <c r="K90" i="59"/>
  <c r="K91" i="59"/>
  <c r="K172" i="59"/>
  <c r="K173" i="59"/>
  <c r="K174" i="59"/>
  <c r="K175" i="59"/>
  <c r="K176" i="59"/>
  <c r="K177" i="59"/>
  <c r="K178" i="59"/>
  <c r="K179" i="59"/>
  <c r="K180" i="59"/>
  <c r="K181" i="59"/>
  <c r="K182" i="59"/>
  <c r="K183" i="59"/>
  <c r="K184" i="59"/>
  <c r="K185" i="59"/>
  <c r="K186" i="59"/>
  <c r="K187" i="59"/>
  <c r="E81" i="5" l="1"/>
  <c r="E47" i="5"/>
  <c r="H81" i="5"/>
  <c r="E48" i="5"/>
  <c r="I48" i="5" s="1"/>
  <c r="G48" i="5"/>
  <c r="C14" i="5" s="1"/>
  <c r="G14" i="5" s="1"/>
  <c r="I14" i="5" s="1"/>
  <c r="E80" i="5"/>
  <c r="K126" i="59"/>
  <c r="K109" i="59"/>
  <c r="K148" i="59"/>
  <c r="K110" i="59"/>
  <c r="K138" i="59"/>
  <c r="K71" i="59"/>
  <c r="K102" i="59"/>
  <c r="K39" i="59"/>
  <c r="K43" i="59"/>
  <c r="K50" i="59"/>
  <c r="K164" i="59"/>
  <c r="K153" i="59"/>
  <c r="K78" i="59"/>
  <c r="K127" i="59"/>
  <c r="K35" i="59"/>
  <c r="K79" i="59"/>
  <c r="K141" i="59"/>
  <c r="K139" i="59"/>
  <c r="K76" i="59"/>
  <c r="K95" i="59"/>
  <c r="K36" i="59"/>
  <c r="K163" i="59"/>
  <c r="K77" i="59"/>
  <c r="K114" i="59"/>
  <c r="K16" i="59"/>
  <c r="K34" i="59"/>
  <c r="K57" i="59"/>
  <c r="K85" i="59"/>
  <c r="K18" i="59"/>
  <c r="K118" i="59"/>
  <c r="K44" i="59"/>
  <c r="K169" i="59"/>
  <c r="K8" i="59"/>
  <c r="K104" i="59"/>
  <c r="K61" i="59"/>
  <c r="K60" i="59"/>
  <c r="K130" i="59"/>
  <c r="K123" i="59"/>
  <c r="K20" i="59"/>
  <c r="K140" i="59"/>
  <c r="K70" i="59"/>
  <c r="K161" i="59"/>
  <c r="K9" i="59"/>
  <c r="K56" i="59"/>
  <c r="K94" i="59"/>
  <c r="K42" i="59"/>
  <c r="K47" i="59"/>
  <c r="K25" i="59"/>
  <c r="K13" i="59"/>
  <c r="K113" i="59"/>
  <c r="K147" i="59"/>
  <c r="K151" i="59"/>
  <c r="K58" i="59"/>
  <c r="F13" i="5" l="1"/>
  <c r="E13" i="5"/>
  <c r="I11" i="6"/>
  <c r="J10" i="64"/>
  <c r="K10" i="61"/>
  <c r="J5" i="63"/>
  <c r="I5" i="63"/>
  <c r="J10" i="61" l="1"/>
  <c r="H47" i="5"/>
  <c r="D13" i="5" s="1"/>
  <c r="H13" i="5" s="1"/>
  <c r="G47" i="5"/>
  <c r="C13" i="5" s="1"/>
  <c r="G13" i="5" s="1"/>
  <c r="I13" i="5" l="1"/>
  <c r="H80" i="5"/>
  <c r="K80" i="5"/>
  <c r="I47" i="5"/>
  <c r="M79" i="5"/>
  <c r="F12" i="5" s="1"/>
  <c r="L79" i="5"/>
  <c r="E12" i="5" s="1"/>
  <c r="L77" i="5"/>
  <c r="E10" i="5" s="1"/>
  <c r="M77" i="5"/>
  <c r="F10" i="5" s="1"/>
  <c r="M76" i="5"/>
  <c r="F9" i="5" s="1"/>
  <c r="M75" i="5"/>
  <c r="F8" i="5" s="1"/>
  <c r="M74" i="5"/>
  <c r="F7" i="5" s="1"/>
  <c r="M73" i="5"/>
  <c r="F6" i="5" s="1"/>
  <c r="L76" i="5"/>
  <c r="E9" i="5" s="1"/>
  <c r="L75" i="5"/>
  <c r="E8" i="5" s="1"/>
  <c r="L74" i="5"/>
  <c r="E7" i="5" s="1"/>
  <c r="L73" i="5"/>
  <c r="E6" i="5" s="1"/>
  <c r="I8" i="6"/>
  <c r="I7" i="6"/>
  <c r="I9" i="6"/>
  <c r="I10" i="6"/>
  <c r="K9" i="61"/>
  <c r="K6" i="61"/>
  <c r="K8" i="61"/>
  <c r="K7" i="61"/>
  <c r="I9" i="63"/>
  <c r="H9" i="63"/>
  <c r="H8" i="63"/>
  <c r="H7" i="63"/>
  <c r="J8" i="63"/>
  <c r="J9" i="63"/>
  <c r="H6" i="63"/>
  <c r="I8" i="63"/>
  <c r="J7" i="63"/>
  <c r="I6" i="63"/>
  <c r="I7" i="63"/>
  <c r="J6" i="63"/>
  <c r="J6" i="61" l="1"/>
  <c r="D79" i="5"/>
  <c r="J9" i="61"/>
  <c r="J8" i="61"/>
  <c r="J7" i="61"/>
  <c r="D74" i="5" s="1"/>
  <c r="F74" i="5"/>
  <c r="G79" i="5"/>
  <c r="F73" i="5"/>
  <c r="F75" i="5"/>
  <c r="G73" i="5"/>
  <c r="F76" i="5"/>
  <c r="G75" i="5"/>
  <c r="F79" i="5"/>
  <c r="G76" i="5"/>
  <c r="G74" i="5"/>
  <c r="C73" i="5"/>
  <c r="C74" i="5"/>
  <c r="D76" i="5"/>
  <c r="C75" i="5"/>
  <c r="D73" i="5"/>
  <c r="C79" i="5"/>
  <c r="C76" i="5"/>
  <c r="D75" i="5"/>
  <c r="C42" i="5"/>
  <c r="D40" i="5"/>
  <c r="C46" i="5"/>
  <c r="G46" i="5" s="1"/>
  <c r="C43" i="5"/>
  <c r="D42" i="5"/>
  <c r="C41" i="5"/>
  <c r="D46" i="5"/>
  <c r="H46" i="5" s="1"/>
  <c r="D43" i="5"/>
  <c r="H43" i="5" s="1"/>
  <c r="D9" i="5" s="1"/>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<sst xmlns="http://schemas.openxmlformats.org/spreadsheetml/2006/main" count="4025" uniqueCount="595">
  <si>
    <t>Trap Date</t>
  </si>
  <si>
    <t>(All)</t>
  </si>
  <si>
    <t>Sum of Total</t>
  </si>
  <si>
    <t>Column Labels</t>
  </si>
  <si>
    <t>Row Labels</t>
  </si>
  <si>
    <t>pipiens</t>
  </si>
  <si>
    <t>tarsalis</t>
  </si>
  <si>
    <t>Grand Total</t>
  </si>
  <si>
    <t>Week</t>
  </si>
  <si>
    <t>LV</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</si>
  <si>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</si>
  <si>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</si>
  <si>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</si>
  <si>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</si>
  <si>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</si>
  <si>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</si>
  <si>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</si>
  <si>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</si>
  <si>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</si>
  <si>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</si>
  <si>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</si>
  <si>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</si>
  <si>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</si>
  <si>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</si>
  <si>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</si>
  <si>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</si>
  <si>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</si>
  <si>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</si>
  <si>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</si>
  <si>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</si>
  <si>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</si>
  <si>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</si>
  <si>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</si>
  <si>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</si>
  <si>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</si>
  <si>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</si>
  <si>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</si>
  <si>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</si>
  <si>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</si>
  <si>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</si>
  <si>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</si>
  <si>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</si>
  <si>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</si>
  <si>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</si>
  <si>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</si>
  <si>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</si>
  <si>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</si>
  <si>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</si>
  <si>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</si>
  <si>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</si>
  <si>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</si>
  <si>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</si>
  <si>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</si>
  <si>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</si>
  <si>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</si>
  <si>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</si>
  <si>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</si>
  <si>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</si>
  <si>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</si>
  <si>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</si>
  <si>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</si>
  <si>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</si>
  <si>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</si>
  <si>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</si>
  <si>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</si>
  <si>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</si>
  <si>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</si>
  <si>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</si>
  <si>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</si>
  <si>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</si>
  <si>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</si>
  <si>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</si>
  <si>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</si>
  <si>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</si>
  <si>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</si>
  <si>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</si>
  <si>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</si>
  <si>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</si>
  <si>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</si>
  <si>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</si>
  <si>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</si>
  <si>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</si>
  <si>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</si>
  <si>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</si>
  <si>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</si>
  <si>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</si>
  <si>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</si>
  <si>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</si>
  <si>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</si>
  <si>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</si>
  <si>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</si>
  <si>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</si>
  <si>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</si>
  <si>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</si>
  <si>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</si>
  <si>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</si>
  <si>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</si>
  <si>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</si>
  <si>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GRAPH 1A</t>
  </si>
  <si>
    <t>Graph 1B</t>
  </si>
  <si>
    <t>BE</t>
  </si>
  <si>
    <t>Species</t>
  </si>
  <si>
    <t>Contract</t>
  </si>
  <si>
    <t>Type</t>
  </si>
  <si>
    <t>Location</t>
  </si>
  <si>
    <t>BC</t>
  </si>
  <si>
    <t>N/A</t>
  </si>
  <si>
    <t>TT</t>
  </si>
  <si>
    <t>LC</t>
  </si>
  <si>
    <t>LV-069</t>
  </si>
  <si>
    <t>L</t>
  </si>
  <si>
    <t>Cx.</t>
  </si>
  <si>
    <t>F</t>
  </si>
  <si>
    <t>LV-095</t>
  </si>
  <si>
    <t>FC-038</t>
  </si>
  <si>
    <t>FC-069</t>
  </si>
  <si>
    <t>FC-034</t>
  </si>
  <si>
    <t>FC-040gr</t>
  </si>
  <si>
    <t>G</t>
  </si>
  <si>
    <t>FC-040</t>
  </si>
  <si>
    <t>FC-036</t>
  </si>
  <si>
    <t>FC-092gr</t>
  </si>
  <si>
    <t>FC-006</t>
  </si>
  <si>
    <t>FC-091gr</t>
  </si>
  <si>
    <t>FC-072</t>
  </si>
  <si>
    <t>FC-067</t>
  </si>
  <si>
    <t>FC-066gr</t>
  </si>
  <si>
    <t>FC-019</t>
  </si>
  <si>
    <t>FC-014</t>
  </si>
  <si>
    <t>FC-066</t>
  </si>
  <si>
    <t>LV-110</t>
  </si>
  <si>
    <t>LV-104</t>
  </si>
  <si>
    <t>LV-089</t>
  </si>
  <si>
    <t>LV-020</t>
  </si>
  <si>
    <t>WC-055</t>
  </si>
  <si>
    <t>LC-049</t>
  </si>
  <si>
    <t>LC-001</t>
  </si>
  <si>
    <t>LC-053</t>
  </si>
  <si>
    <t>FC-047</t>
  </si>
  <si>
    <t>FC-059</t>
  </si>
  <si>
    <t>FC-004</t>
  </si>
  <si>
    <t>FC-074</t>
  </si>
  <si>
    <t>FC-039</t>
  </si>
  <si>
    <t>FC-064</t>
  </si>
  <si>
    <t>FC-075</t>
  </si>
  <si>
    <t>FC-031</t>
  </si>
  <si>
    <t>FC-023</t>
  </si>
  <si>
    <t>FC-050</t>
  </si>
  <si>
    <t>FC-027</t>
  </si>
  <si>
    <t>FC-053</t>
  </si>
  <si>
    <t>FC-046</t>
  </si>
  <si>
    <t>FC-088gr</t>
  </si>
  <si>
    <t>FC-075gr</t>
  </si>
  <si>
    <t>FC-061</t>
  </si>
  <si>
    <t>FC-052</t>
  </si>
  <si>
    <t>FC-073</t>
  </si>
  <si>
    <t>FC-090gr</t>
  </si>
  <si>
    <t>FC-041</t>
  </si>
  <si>
    <t>FC-060</t>
  </si>
  <si>
    <t>FC-063gr</t>
  </si>
  <si>
    <t>FC-011</t>
  </si>
  <si>
    <t>FC-063</t>
  </si>
  <si>
    <t>FC-058</t>
  </si>
  <si>
    <t>FC-049</t>
  </si>
  <si>
    <t>FC-015</t>
  </si>
  <si>
    <t>FC-001</t>
  </si>
  <si>
    <t>FC-029</t>
  </si>
  <si>
    <t>FC-054</t>
  </si>
  <si>
    <t>FC-029gr</t>
  </si>
  <si>
    <t>FC-062</t>
  </si>
  <si>
    <t>FC-093</t>
  </si>
  <si>
    <t>FC-068</t>
  </si>
  <si>
    <t>FC-071</t>
  </si>
  <si>
    <t>FC-057</t>
  </si>
  <si>
    <t>FC-037</t>
  </si>
  <si>
    <t>FC-089gr</t>
  </si>
  <si>
    <t>BC-15</t>
  </si>
  <si>
    <t>BC-09</t>
  </si>
  <si>
    <t>BC-19</t>
  </si>
  <si>
    <t>LV-Tar</t>
  </si>
  <si>
    <t>LV-Pip</t>
  </si>
  <si>
    <t>FC-Tar</t>
  </si>
  <si>
    <t>FC-Pip</t>
  </si>
  <si>
    <t>BE-Tar</t>
  </si>
  <si>
    <t>BE-Pip</t>
  </si>
  <si>
    <t>BC-Tar</t>
  </si>
  <si>
    <t>NE-Tar</t>
  </si>
  <si>
    <t>NE-Pip</t>
  </si>
  <si>
    <t>NW-Tar</t>
  </si>
  <si>
    <t>SE-Tar</t>
  </si>
  <si>
    <t>SE-Pip</t>
  </si>
  <si>
    <t>NW-Pip</t>
  </si>
  <si>
    <t>SW-Pip</t>
  </si>
  <si>
    <t>SW-Tar</t>
  </si>
  <si>
    <t>Infection Rate</t>
  </si>
  <si>
    <t>Pipiens</t>
  </si>
  <si>
    <t>BC-18</t>
  </si>
  <si>
    <t>Negative</t>
  </si>
  <si>
    <t>Positive</t>
  </si>
  <si>
    <t>Berthoud</t>
  </si>
  <si>
    <t>Berthoud Park</t>
  </si>
  <si>
    <t>Culex tarsalis</t>
  </si>
  <si>
    <t>CDC Light Trap</t>
  </si>
  <si>
    <t xml:space="preserve">LC-001 </t>
  </si>
  <si>
    <t>Culex pipiens</t>
  </si>
  <si>
    <t>Berthoud North</t>
  </si>
  <si>
    <t xml:space="preserve">LC-049 </t>
  </si>
  <si>
    <t>Berthoud West</t>
  </si>
  <si>
    <t xml:space="preserve">LC-053 </t>
  </si>
  <si>
    <t>Fort Collins</t>
  </si>
  <si>
    <t>FC Visitor Center</t>
  </si>
  <si>
    <t>Edora Park</t>
  </si>
  <si>
    <t>Country Club</t>
  </si>
  <si>
    <t>Hemlock</t>
  </si>
  <si>
    <t xml:space="preserve">FC-036 </t>
  </si>
  <si>
    <t>Lochside Lane</t>
  </si>
  <si>
    <t>Redwood</t>
  </si>
  <si>
    <t>Prospect Ponds</t>
  </si>
  <si>
    <t>Poudre River Trail</t>
  </si>
  <si>
    <t>Linden Lake Rd</t>
  </si>
  <si>
    <t>422 Lake Dr</t>
  </si>
  <si>
    <t>Big Horn</t>
  </si>
  <si>
    <t>Boltz</t>
  </si>
  <si>
    <t>3001 San Luis</t>
  </si>
  <si>
    <t>Willow Springs</t>
  </si>
  <si>
    <t>Fossil Creek South</t>
  </si>
  <si>
    <t>Westshore Ct</t>
  </si>
  <si>
    <t>Keeneland And Twin Oak</t>
  </si>
  <si>
    <t>Golden Meadows Ditch</t>
  </si>
  <si>
    <t>Egret and Rookery</t>
  </si>
  <si>
    <t>Springwood and Lochwood</t>
  </si>
  <si>
    <t>West Chase</t>
  </si>
  <si>
    <t>Sage Creek North</t>
  </si>
  <si>
    <t>Golden Current</t>
  </si>
  <si>
    <t>Fishback</t>
  </si>
  <si>
    <t>Casa Grande and Downing</t>
  </si>
  <si>
    <t>Holley Plant Research Center</t>
  </si>
  <si>
    <t xml:space="preserve">118 S Grant </t>
  </si>
  <si>
    <t>Magic Carpet</t>
  </si>
  <si>
    <t>Ben's Park</t>
  </si>
  <si>
    <t>Chelsea Ridge</t>
  </si>
  <si>
    <t>737 Parliament</t>
  </si>
  <si>
    <t>Registry Ridge</t>
  </si>
  <si>
    <t>5029 Crest Dr</t>
  </si>
  <si>
    <t>Silvergate Rd</t>
  </si>
  <si>
    <t>Lopez Elementary</t>
  </si>
  <si>
    <t>Loveland</t>
  </si>
  <si>
    <t>29th and Madison</t>
  </si>
  <si>
    <t>LV-004</t>
  </si>
  <si>
    <t>Outlet Mall Apartments</t>
  </si>
  <si>
    <t>LV-066</t>
  </si>
  <si>
    <t>7 Lakes Park</t>
  </si>
  <si>
    <t>LV-078</t>
  </si>
  <si>
    <t>Harding and Reagan</t>
  </si>
  <si>
    <t>LV-080</t>
  </si>
  <si>
    <t>2229 Arikaree</t>
  </si>
  <si>
    <t>LV-088</t>
  </si>
  <si>
    <t>Pond at Silver Lake</t>
  </si>
  <si>
    <t>LV-093</t>
  </si>
  <si>
    <t>Boyd Lake</t>
  </si>
  <si>
    <t>Sundisk and 13E</t>
  </si>
  <si>
    <t>LV-116</t>
  </si>
  <si>
    <t>Centerra</t>
  </si>
  <si>
    <t>LV-117</t>
  </si>
  <si>
    <t>Jefferson and 11th</t>
  </si>
  <si>
    <t>LV-074</t>
  </si>
  <si>
    <t>1105 East 1st Street</t>
  </si>
  <si>
    <t>LV-077</t>
  </si>
  <si>
    <t>Blue Tree Realty</t>
  </si>
  <si>
    <t>LV-100</t>
  </si>
  <si>
    <t>Cr 20 and 9</t>
  </si>
  <si>
    <t xml:space="preserve">Big Thompson </t>
  </si>
  <si>
    <t>915 S Boise</t>
  </si>
  <si>
    <t>LV-112</t>
  </si>
  <si>
    <t>Springs at Marianna</t>
  </si>
  <si>
    <t>LV-113</t>
  </si>
  <si>
    <t>Golf Vista</t>
  </si>
  <si>
    <t>LV-118</t>
  </si>
  <si>
    <t>LV-124</t>
  </si>
  <si>
    <t>8th And No Name</t>
  </si>
  <si>
    <t>LV-125</t>
  </si>
  <si>
    <t>Jocelyn and Eagle</t>
  </si>
  <si>
    <t>LV-019</t>
  </si>
  <si>
    <t>Cattail Pond</t>
  </si>
  <si>
    <t xml:space="preserve">Linda and 26th </t>
  </si>
  <si>
    <t>LV-021</t>
  </si>
  <si>
    <t>2001 S Douglas</t>
  </si>
  <si>
    <t>LV-042</t>
  </si>
  <si>
    <t>Derby Hill</t>
  </si>
  <si>
    <t>LV-087</t>
  </si>
  <si>
    <t>Jill Drive Pond</t>
  </si>
  <si>
    <t>LV-114</t>
  </si>
  <si>
    <t>Estrella Park</t>
  </si>
  <si>
    <t>LV-014</t>
  </si>
  <si>
    <t>Farasita at Rist Benson</t>
  </si>
  <si>
    <t>LV-097</t>
  </si>
  <si>
    <t>Benson Sculpture Park</t>
  </si>
  <si>
    <t>LV-098</t>
  </si>
  <si>
    <t>Cattails Golfcourse</t>
  </si>
  <si>
    <t>LV-099</t>
  </si>
  <si>
    <t>Glen Isle Ditch</t>
  </si>
  <si>
    <t>LV-102</t>
  </si>
  <si>
    <t>Fallgold</t>
  </si>
  <si>
    <t>LV-122</t>
  </si>
  <si>
    <t>Timnath</t>
  </si>
  <si>
    <t>Timnath - 5th and Kern</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</si>
  <si>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</si>
  <si>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</si>
  <si>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</si>
  <si>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</si>
  <si>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</si>
  <si>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</si>
  <si>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</si>
  <si>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</si>
  <si>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</si>
  <si>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Walmart</t>
  </si>
  <si>
    <t xml:space="preserve">LC-052 </t>
  </si>
  <si>
    <t>Berthoud East</t>
  </si>
  <si>
    <t>N. Linden</t>
  </si>
  <si>
    <t>Rock Creek</t>
  </si>
  <si>
    <t>Stuart and Dorset</t>
  </si>
  <si>
    <t>603 Gilgalad Way</t>
  </si>
  <si>
    <t>Spring Creek Trail-- Michener Dr</t>
  </si>
  <si>
    <t>808 Ponderosa</t>
  </si>
  <si>
    <t>Red Fox Meadows</t>
  </si>
  <si>
    <t>Water's Edge at Blue Mesa</t>
  </si>
  <si>
    <t>Horseshoe Pennninsula</t>
  </si>
  <si>
    <t>9th and DesMoines</t>
  </si>
  <si>
    <t>Bldg D190, 815 14th Street Southwest, Loveland, CO 80537, USA</t>
  </si>
  <si>
    <t>End of City Limits North</t>
  </si>
  <si>
    <t>LV-120</t>
  </si>
  <si>
    <t>West 43rd Railroad</t>
  </si>
  <si>
    <t>LV-105</t>
  </si>
  <si>
    <t>Bayfield and Windsor</t>
  </si>
  <si>
    <t>LV-121</t>
  </si>
  <si>
    <t>Lower Limit</t>
  </si>
  <si>
    <t>Upper Limit</t>
  </si>
  <si>
    <t>Scale</t>
  </si>
  <si>
    <t>Point Est Method</t>
  </si>
  <si>
    <t>CI Method</t>
  </si>
  <si>
    <t>Num Pools</t>
  </si>
  <si>
    <t>Num Pos Pools</t>
  </si>
  <si>
    <t>Num Individuals</t>
  </si>
  <si>
    <t>Bias Corrected MLE</t>
  </si>
  <si>
    <t>Corrected Score</t>
  </si>
  <si>
    <t>Score</t>
  </si>
  <si>
    <t xml:space="preserve">Week </t>
  </si>
  <si>
    <t>CSU-17816</t>
  </si>
  <si>
    <t>Tarsalis</t>
  </si>
  <si>
    <t>CSU-17817</t>
  </si>
  <si>
    <t>CSU-17818</t>
  </si>
  <si>
    <t>CSU-17819</t>
  </si>
  <si>
    <t>CSU-17820</t>
  </si>
  <si>
    <t>CSU-17821</t>
  </si>
  <si>
    <t>CSU-17822</t>
  </si>
  <si>
    <t>CSU-17823</t>
  </si>
  <si>
    <t>CSU-17824</t>
  </si>
  <si>
    <t>CSU-17825</t>
  </si>
  <si>
    <t>CSU-17826</t>
  </si>
  <si>
    <t>CSU-17827</t>
  </si>
  <si>
    <t>CSU-17828</t>
  </si>
  <si>
    <t>CSU-17829</t>
  </si>
  <si>
    <t>CSU-17830</t>
  </si>
  <si>
    <t>CSU-17831</t>
  </si>
  <si>
    <t>CSU-17832</t>
  </si>
  <si>
    <t>CSU-17833</t>
  </si>
  <si>
    <t>CSU-17834</t>
  </si>
  <si>
    <t>CSU-17835</t>
  </si>
  <si>
    <t>CSU-17836</t>
  </si>
  <si>
    <t>CSU-17837</t>
  </si>
  <si>
    <t>CSU-17838</t>
  </si>
  <si>
    <t>CSU-17839</t>
  </si>
  <si>
    <t>CSU-17840</t>
  </si>
  <si>
    <t>CSU-17841</t>
  </si>
  <si>
    <t>CSU-17842</t>
  </si>
  <si>
    <t>CSU-17843</t>
  </si>
  <si>
    <t>CSU-17844</t>
  </si>
  <si>
    <t>CSU-17845</t>
  </si>
  <si>
    <t>CSU-17846</t>
  </si>
  <si>
    <t>CSU-17847</t>
  </si>
  <si>
    <t>CSU-17848</t>
  </si>
  <si>
    <t>CSU-17849</t>
  </si>
  <si>
    <t>CSU-17850</t>
  </si>
  <si>
    <t>CSU-17851</t>
  </si>
  <si>
    <t>CSU-17852</t>
  </si>
  <si>
    <t>CSU-17853</t>
  </si>
  <si>
    <t>CSU-17854</t>
  </si>
  <si>
    <t>CSU-17855</t>
  </si>
  <si>
    <t>CSU-17856</t>
  </si>
  <si>
    <t>CSU-17857</t>
  </si>
  <si>
    <t>CSU-17858</t>
  </si>
  <si>
    <t>CSU-17859</t>
  </si>
  <si>
    <t>CSU-17860</t>
  </si>
  <si>
    <t>CSU-17861</t>
  </si>
  <si>
    <t>CSU-17862</t>
  </si>
  <si>
    <t>CSU-17863</t>
  </si>
  <si>
    <t>CSU-17864</t>
  </si>
  <si>
    <t>CSU-17865</t>
  </si>
  <si>
    <t>CSU-17866</t>
  </si>
  <si>
    <t>CSU-17867</t>
  </si>
  <si>
    <t>CSU-17868</t>
  </si>
  <si>
    <t>CSU-17869</t>
  </si>
  <si>
    <t>CSU-17870</t>
  </si>
  <si>
    <t>CSU-17871</t>
  </si>
  <si>
    <t>CSU-17872</t>
  </si>
  <si>
    <t>CSU-17873</t>
  </si>
  <si>
    <t>CSU-17874</t>
  </si>
  <si>
    <t>CSU-17875</t>
  </si>
  <si>
    <t>CSU-17876</t>
  </si>
  <si>
    <t>CSU-17877</t>
  </si>
  <si>
    <t>CSU-17878</t>
  </si>
  <si>
    <t>CSU-17879</t>
  </si>
  <si>
    <t>CSU-17880</t>
  </si>
  <si>
    <t>CSU-17881</t>
  </si>
  <si>
    <t>CSU-17882</t>
  </si>
  <si>
    <t>CSU-17883</t>
  </si>
  <si>
    <t>CSU-17884</t>
  </si>
  <si>
    <t>CSU-17885</t>
  </si>
  <si>
    <t>CSU-17886</t>
  </si>
  <si>
    <t>CSU-17887</t>
  </si>
  <si>
    <t>CSU-17888</t>
  </si>
  <si>
    <t>CSU-17889</t>
  </si>
  <si>
    <t>CSU-17890</t>
  </si>
  <si>
    <t>CSU-17891</t>
  </si>
  <si>
    <t>CSU-17892</t>
  </si>
  <si>
    <t>CSU-17893</t>
  </si>
  <si>
    <t>CSU-17894</t>
  </si>
  <si>
    <t>CSU-17895</t>
  </si>
  <si>
    <t>CSU-17896</t>
  </si>
  <si>
    <t>CSU-17897</t>
  </si>
  <si>
    <t>CSU-17898</t>
  </si>
  <si>
    <t>CSU-17899</t>
  </si>
  <si>
    <t>CSU-17900</t>
  </si>
  <si>
    <t>CSU-17901</t>
  </si>
  <si>
    <t>CSU-17902</t>
  </si>
  <si>
    <t>CSU-17903</t>
  </si>
  <si>
    <t>CSU-17904</t>
  </si>
  <si>
    <t>CSU-17905</t>
  </si>
  <si>
    <t>CSU-17906</t>
  </si>
  <si>
    <t>CSU-17907</t>
  </si>
  <si>
    <t>CSU-17908</t>
  </si>
  <si>
    <t>CSU-17909</t>
  </si>
  <si>
    <t>CSU-17910</t>
  </si>
  <si>
    <t>CSU-17911</t>
  </si>
  <si>
    <t>CSU-17912</t>
  </si>
  <si>
    <t>CSU-17913</t>
  </si>
  <si>
    <t>CSU-17914</t>
  </si>
  <si>
    <t>CSU-17915</t>
  </si>
  <si>
    <t>CSU-17916</t>
  </si>
  <si>
    <t>CSU-17917</t>
  </si>
  <si>
    <t>CSU-17918</t>
  </si>
  <si>
    <t>CSU-17919</t>
  </si>
  <si>
    <t>CSU-17920</t>
  </si>
  <si>
    <t>CSU-17921</t>
  </si>
  <si>
    <t>CSU-17922</t>
  </si>
  <si>
    <t>CSU-17923</t>
  </si>
  <si>
    <t>CSU-17924</t>
  </si>
  <si>
    <t>CSU-17925</t>
  </si>
  <si>
    <t>CSU-17926</t>
  </si>
  <si>
    <t>CSU-17927</t>
  </si>
  <si>
    <t>CSU-17928</t>
  </si>
  <si>
    <t>CSU-17929</t>
  </si>
  <si>
    <t>CSU-17930</t>
  </si>
  <si>
    <t>CSU-17931</t>
  </si>
  <si>
    <t>CSU-17932</t>
  </si>
  <si>
    <t>CSU-17933</t>
  </si>
  <si>
    <t>CSU-17934</t>
  </si>
  <si>
    <t>CSU-17935</t>
  </si>
  <si>
    <t>CSU-17936</t>
  </si>
  <si>
    <t>CSU-17937</t>
  </si>
  <si>
    <t>CSU-17938</t>
  </si>
  <si>
    <t>LC-054</t>
  </si>
  <si>
    <t>CSU-17939</t>
  </si>
  <si>
    <t>CSU-17940</t>
  </si>
  <si>
    <t>CSU-17941</t>
  </si>
  <si>
    <t>CSU-17942</t>
  </si>
  <si>
    <t>CSU-17943</t>
  </si>
  <si>
    <t>CSU-17944</t>
  </si>
  <si>
    <t>CSU-17945</t>
  </si>
  <si>
    <t>CSU-17946</t>
  </si>
  <si>
    <t>CSU-17947</t>
  </si>
  <si>
    <t>CSU-17948</t>
  </si>
  <si>
    <t>CSU-17949</t>
  </si>
  <si>
    <t>CSU-17950</t>
  </si>
  <si>
    <t>CSU-17951</t>
  </si>
  <si>
    <t>CSU-17952</t>
  </si>
  <si>
    <t>CSU-17953</t>
  </si>
  <si>
    <t>CSU-17954</t>
  </si>
  <si>
    <t>CSU-17955</t>
  </si>
  <si>
    <t>CSU-17956</t>
  </si>
  <si>
    <t>CSU-17957</t>
  </si>
  <si>
    <t>CSU-17958</t>
  </si>
  <si>
    <t>CSU-17959</t>
  </si>
  <si>
    <t>CSU-17960</t>
  </si>
  <si>
    <t>CSU-17961</t>
  </si>
  <si>
    <t>CSU-17962</t>
  </si>
  <si>
    <t>CSU-17963</t>
  </si>
  <si>
    <t>CSU-17964</t>
  </si>
  <si>
    <t>CSU-17965</t>
  </si>
  <si>
    <t>CSU-17966</t>
  </si>
  <si>
    <t>CSU-17967</t>
  </si>
  <si>
    <t>CSU-17968</t>
  </si>
  <si>
    <t>CSU-17969</t>
  </si>
  <si>
    <t>CSU-17970</t>
  </si>
  <si>
    <t>CSU-17971</t>
  </si>
  <si>
    <t>CSU-17972</t>
  </si>
  <si>
    <t>CSU-17973</t>
  </si>
  <si>
    <t>CSU-17974</t>
  </si>
  <si>
    <t>CSU-17975</t>
  </si>
  <si>
    <t>CSU-17976</t>
  </si>
  <si>
    <t>CSU-17977</t>
  </si>
  <si>
    <t>CSU-17978</t>
  </si>
  <si>
    <t>CSU-17979</t>
  </si>
  <si>
    <t>CSU-17980</t>
  </si>
  <si>
    <t>CSU-17981</t>
  </si>
  <si>
    <t>CSU-17982</t>
  </si>
  <si>
    <t>CSU-17983</t>
  </si>
  <si>
    <t>CSU-17984</t>
  </si>
  <si>
    <t>CSU-17985</t>
  </si>
  <si>
    <t>CSU-17986</t>
  </si>
  <si>
    <t>CSU-17987</t>
  </si>
  <si>
    <t>CSU-17988</t>
  </si>
  <si>
    <t>CSU-17989</t>
  </si>
  <si>
    <t>CSU-17990</t>
  </si>
  <si>
    <t>CSU-17991</t>
  </si>
  <si>
    <t>CSU-17992</t>
  </si>
  <si>
    <t>CSU-17993</t>
  </si>
  <si>
    <t>CSU-17994</t>
  </si>
  <si>
    <t>CSU-17995</t>
  </si>
  <si>
    <t>CSU-17996</t>
  </si>
  <si>
    <t>CSU-17997</t>
  </si>
  <si>
    <t>CSU-17998</t>
  </si>
  <si>
    <t>CSU-17999</t>
  </si>
  <si>
    <t>CSU-18000</t>
  </si>
  <si>
    <t>CSU-18001</t>
  </si>
  <si>
    <t>CSU-18002</t>
  </si>
  <si>
    <t>CSU-18003</t>
  </si>
  <si>
    <t>CSU-18004</t>
  </si>
  <si>
    <t>CSU-18005</t>
  </si>
  <si>
    <t>CSU-18006</t>
  </si>
  <si>
    <t>CSU-18007</t>
  </si>
  <si>
    <t>CSU-18008</t>
  </si>
  <si>
    <t>CSU-18009</t>
  </si>
  <si>
    <t>CSU-18010</t>
  </si>
  <si>
    <t>CSU-18011</t>
  </si>
  <si>
    <t>BOU-00095</t>
  </si>
  <si>
    <t>BOU-00096</t>
  </si>
  <si>
    <t>BOU-00097</t>
  </si>
  <si>
    <t>BC-13</t>
  </si>
  <si>
    <t>BOU-00098</t>
  </si>
  <si>
    <t>BOU-00099</t>
  </si>
  <si>
    <t>Berthoud Point</t>
  </si>
  <si>
    <t xml:space="preserve">LC-054 </t>
  </si>
  <si>
    <t>Del Norte Private Park</t>
  </si>
  <si>
    <t>LV-067</t>
  </si>
  <si>
    <t>Boulder</t>
  </si>
  <si>
    <t>23rd/
Meadow</t>
  </si>
  <si>
    <t>BO-02</t>
  </si>
  <si>
    <t>7th/
Pennsylvania</t>
  </si>
  <si>
    <t>BO-08</t>
  </si>
  <si>
    <t>Broadway/
Alpine</t>
  </si>
  <si>
    <t>BO-06</t>
  </si>
  <si>
    <t>Broadway/
Baseline</t>
  </si>
  <si>
    <t>BO-05</t>
  </si>
  <si>
    <t>Burke Park</t>
  </si>
  <si>
    <t>BO-10</t>
  </si>
  <si>
    <t>Christensen
Park</t>
  </si>
  <si>
    <t>BO-03</t>
  </si>
  <si>
    <t>E. Boulder
Rec. Center</t>
  </si>
  <si>
    <t>BO-13</t>
  </si>
  <si>
    <t>Foothills
Community Park</t>
  </si>
  <si>
    <t>BO-01</t>
  </si>
  <si>
    <t>Goose
Creek</t>
  </si>
  <si>
    <t>BO-27</t>
  </si>
  <si>
    <t xml:space="preserve">Greenbelt
Meadows </t>
  </si>
  <si>
    <t>BO-14</t>
  </si>
  <si>
    <t xml:space="preserve">Old Tale Rd./
Gapter </t>
  </si>
  <si>
    <t>BO-28</t>
  </si>
  <si>
    <t xml:space="preserve">Papini Natural 
Area Park </t>
  </si>
  <si>
    <t>BO-24</t>
  </si>
  <si>
    <t>Rolling Rock
Ranch</t>
  </si>
  <si>
    <t>BO-20</t>
  </si>
  <si>
    <t xml:space="preserve">Sawhill
Ponds </t>
  </si>
  <si>
    <t>BO-26</t>
  </si>
  <si>
    <t>Sombrero
Marsh (S)¹</t>
  </si>
  <si>
    <t>BO-22</t>
  </si>
  <si>
    <t>South Boulder
Rec. Center</t>
  </si>
  <si>
    <t>BO-04</t>
  </si>
  <si>
    <t xml:space="preserve">Stazio
Ballfields </t>
  </si>
  <si>
    <t>BO-11</t>
  </si>
  <si>
    <t>Table Mesa/
Stevens</t>
  </si>
  <si>
    <t>BO-07</t>
  </si>
  <si>
    <t>Tom Watson
Park (S)¹</t>
  </si>
  <si>
    <t>BO-25</t>
  </si>
  <si>
    <t>Week: 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</si>
</sst>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0">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8"/>
      <color rgb="FF000000"/>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56">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2" fontId="8" fillId="0" borderId="3" xfId="0" applyNumberFormat="1" applyFont="1" applyBorder="1" applyAlignment="1">
      <alignment horizontal="right" vertical="center" wrapText="1"/>
    </xf>
    <xf numFmtId="0" fontId="0" fillId="0" borderId="0" xfId="0"/>
    <xf numFmtId="14" fontId="0" fillId="0" borderId="0" xfId="0" applyNumberFormat="1"/>
    <xf numFmtId="0" fontId="0" fillId="0" borderId="0" xfId="0"/>
    <xf numFmtId="14" fontId="0" fillId="0" borderId="0" xfId="0" applyNumberFormat="1"/>
    <xf numFmtId="0" fontId="0" fillId="0" borderId="0" xfId="0"/>
    <xf numFmtId="0" fontId="0" fillId="0" borderId="0" xfId="0"/>
    <xf numFmtId="0" fontId="0" fillId="0" borderId="0" xfId="0"/>
    <xf numFmtId="14" fontId="0" fillId="0" borderId="0" xfId="0" applyNumberFormat="1"/>
    <xf numFmtId="0" fontId="14" fillId="3" borderId="13" xfId="0" applyFont="1" applyFill="1" applyBorder="1" applyAlignment="1">
      <alignment vertical="center"/>
    </xf>
    <xf numFmtId="0" fontId="14" fillId="3" borderId="13" xfId="0" applyFont="1" applyFill="1" applyBorder="1" applyAlignment="1">
      <alignment horizontal="left" vertical="center"/>
    </xf>
    <xf numFmtId="0" fontId="17" fillId="3" borderId="13" xfId="0" applyFont="1" applyFill="1" applyBorder="1" applyAlignment="1">
      <alignment horizontal="right"/>
    </xf>
    <xf numFmtId="0" fontId="14" fillId="3" borderId="13" xfId="0" applyFont="1" applyFill="1" applyBorder="1" applyAlignment="1">
      <alignment horizontal="right" vertical="center"/>
    </xf>
    <xf numFmtId="164" fontId="17" fillId="3" borderId="13" xfId="0" applyNumberFormat="1" applyFont="1" applyFill="1" applyBorder="1" applyAlignment="1"/>
    <xf numFmtId="0" fontId="17" fillId="3" borderId="13" xfId="0" applyFont="1" applyFill="1" applyBorder="1"/>
    <xf numFmtId="164" fontId="14" fillId="3" borderId="13" xfId="0" applyNumberFormat="1" applyFont="1" applyFill="1" applyBorder="1" applyAlignment="1">
      <alignment vertical="center"/>
    </xf>
    <xf numFmtId="169" fontId="0" fillId="0" borderId="0" xfId="0" applyNumberFormat="1"/>
    <xf numFmtId="0" fontId="0" fillId="0" borderId="0" xfId="0" applyAlignment="1">
      <alignment horizontal="right"/>
    </xf>
    <xf numFmtId="0" fontId="12" fillId="2" borderId="16" xfId="0" applyFont="1" applyFill="1" applyBorder="1" applyAlignment="1">
      <alignment horizontal="left"/>
    </xf>
    <xf numFmtId="0" fontId="12" fillId="2" borderId="16" xfId="0" applyNumberFormat="1" applyFont="1" applyFill="1" applyBorder="1"/>
    <xf numFmtId="0" fontId="19" fillId="0" borderId="13" xfId="0" applyFont="1" applyFill="1" applyBorder="1" applyAlignment="1">
      <alignment horizontal="right" wrapText="1"/>
    </xf>
    <xf numFmtId="49" fontId="19" fillId="0" borderId="13" xfId="0" applyNumberFormat="1" applyFont="1" applyFill="1" applyBorder="1" applyAlignment="1">
      <alignment horizontal="left" wrapText="1"/>
    </xf>
    <xf numFmtId="0" fontId="17" fillId="0" borderId="13" xfId="0" applyFont="1" applyFill="1" applyBorder="1" applyAlignment="1">
      <alignment horizontal="right"/>
    </xf>
    <xf numFmtId="0" fontId="19" fillId="0" borderId="13" xfId="0" applyFont="1" applyFill="1" applyBorder="1" applyAlignment="1">
      <alignment horizontal="right" vertical="top"/>
    </xf>
    <xf numFmtId="164" fontId="17" fillId="0" borderId="13" xfId="0" applyNumberFormat="1" applyFont="1" applyFill="1" applyBorder="1" applyAlignment="1"/>
    <xf numFmtId="0" fontId="19" fillId="0" borderId="13" xfId="0" applyFont="1" applyFill="1" applyBorder="1" applyAlignment="1">
      <alignment horizontal="left" wrapText="1"/>
    </xf>
    <xf numFmtId="0" fontId="19" fillId="0" borderId="13" xfId="0" applyFont="1" applyFill="1" applyBorder="1" applyAlignment="1">
      <alignment horizontal="left" vertical="top"/>
    </xf>
    <xf numFmtId="0" fontId="14" fillId="0" borderId="13" xfId="0" applyFont="1" applyFill="1" applyBorder="1" applyAlignment="1">
      <alignment horizontal="left" vertical="center"/>
    </xf>
    <xf numFmtId="0" fontId="19" fillId="0" borderId="13" xfId="0" applyFont="1" applyFill="1" applyBorder="1" applyAlignment="1">
      <alignment vertical="top"/>
    </xf>
    <xf numFmtId="0" fontId="14" fillId="0" borderId="13" xfId="0" applyFont="1" applyFill="1" applyBorder="1" applyAlignment="1">
      <alignment horizontal="right" vertical="center"/>
    </xf>
    <xf numFmtId="0" fontId="14" fillId="0" borderId="13" xfId="0" applyFont="1" applyFill="1" applyBorder="1" applyAlignment="1">
      <alignment vertical="center"/>
    </xf>
    <xf numFmtId="0" fontId="17" fillId="0" borderId="13" xfId="0" applyFont="1" applyFill="1" applyBorder="1"/>
    <xf numFmtId="0" fontId="17" fillId="0" borderId="13" xfId="0" applyFont="1" applyFill="1" applyBorder="1" applyAlignment="1"/>
    <xf numFmtId="0" fontId="17" fillId="0" borderId="15" xfId="0" applyFont="1" applyFill="1" applyBorder="1" applyAlignment="1"/>
    <xf numFmtId="0" fontId="14" fillId="0" borderId="15" xfId="0" applyFont="1" applyFill="1" applyBorder="1" applyAlignment="1">
      <alignment vertical="center"/>
    </xf>
    <xf numFmtId="164" fontId="14" fillId="0" borderId="13" xfId="0" applyNumberFormat="1" applyFont="1" applyFill="1" applyBorder="1" applyAlignment="1">
      <alignment vertical="center"/>
    </xf>
    <xf numFmtId="0" fontId="17" fillId="3" borderId="15" xfId="0" applyFont="1" applyFill="1" applyBorder="1" applyAlignment="1"/>
    <xf numFmtId="0" fontId="17" fillId="3" borderId="13" xfId="0" applyFont="1" applyFill="1" applyBorder="1" applyAlignment="1"/>
    <xf numFmtId="0" fontId="14" fillId="3" borderId="15" xfId="0" applyFont="1" applyFill="1" applyBorder="1" applyAlignment="1">
      <alignment vertical="center"/>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4764.674212731479" createdVersion="6" refreshedVersion="6" minRefreshableVersion="3" recordCount="189" xr:uid="{085B7F24-7800-4393-B809-CE6A79A52B0A}">
  <cacheSource type="worksheet">
    <worksheetSource ref="A1:K190" sheet="Weekly 009 input"/>
  </cacheSource>
  <cacheFields count="11">
    <cacheField name="Week" numFmtId="0">
      <sharedItems containsSemiMixedTypes="0" containsString="0" containsNumber="1" containsInteger="1" minValue="29" maxValue="29" count="1">
        <n v="29"/>
      </sharedItems>
    </cacheField>
    <cacheField name="Trap Date" numFmtId="14">
      <sharedItems containsSemiMixedTypes="0" containsNonDate="0" containsDate="1" containsString="0" minDate="2022-07-17T00:00:00" maxDate="2022-07-21T00:00:00"/>
    </cacheField>
    <cacheField name="Contract" numFmtId="0">
      <sharedItems/>
    </cacheField>
    <cacheField name="Location" numFmtId="0">
      <sharedItems/>
    </cacheField>
    <cacheField name="Zone" numFmtId="0">
      <sharedItems count="8">
        <s v="BE"/>
        <s v="NE"/>
        <s v="NW"/>
        <s v="SE"/>
        <s v="SW"/>
        <s v="LV"/>
        <s v="TT"/>
        <s v="BC"/>
      </sharedItems>
    </cacheField>
    <cacheField name="Species" numFmtId="0">
      <sharedItems/>
    </cacheField>
    <cacheField name="Total CX" numFmtId="0">
      <sharedItems containsSemiMixedTypes="0" containsString="0" containsNumber="1" containsInteger="1" minValue="0" maxValue="492"/>
    </cacheField>
    <cacheField name="Type" numFmtId="0">
      <sharedItems/>
    </cacheField>
    <cacheField name="Trap Number" numFmtId="0">
      <sharedItems/>
    </cacheField>
    <cacheField name="Cx tarsalis" numFmtId="0">
      <sharedItems containsSemiMixedTypes="0" containsString="0" containsNumber="1" containsInteger="1" minValue="0" maxValue="492"/>
    </cacheField>
    <cacheField name="Cx pipiens" numFmtId="0">
      <sharedItems containsSemiMixedTypes="0" containsString="0" containsNumber="1" containsInteger="1" minValue="0" maxValue="2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4764.676154745372" createdVersion="6" refreshedVersion="6" minRefreshableVersion="3" recordCount="201" xr:uid="{224377DB-0853-4821-A3B8-F99A6EA0E713}">
  <cacheSource type="worksheet">
    <worksheetSource ref="A1:R202" sheet="Weekly Data Input"/>
  </cacheSource>
  <cacheFields count="18">
    <cacheField name="Year" numFmtId="0">
      <sharedItems containsSemiMixedTypes="0" containsString="0" containsNumber="1" containsInteger="1" minValue="2022" maxValue="2022"/>
    </cacheField>
    <cacheField name="CSU Pool Number     (CMC enters)" numFmtId="0">
      <sharedItems/>
    </cacheField>
    <cacheField name="IDA Pool (CSU enters, leave blank)" numFmtId="0">
      <sharedItems containsMixedTypes="1" containsNumber="1" containsInteger="1" minValue="27422" maxValue="27617"/>
    </cacheField>
    <cacheField name="Week" numFmtId="0">
      <sharedItems containsSemiMixedTypes="0" containsString="0" containsNumber="1" containsInteger="1" minValue="29" maxValue="29" count="1">
        <n v="29"/>
      </sharedItems>
    </cacheField>
    <cacheField name="Trap Date" numFmtId="164">
      <sharedItems containsSemiMixedTypes="0" containsNonDate="0" containsDate="1" containsString="0" minDate="2022-07-18T00:00:00" maxDate="2022-07-22T00:00:00" count="4">
        <d v="2022-07-18T00:00:00"/>
        <d v="2022-07-19T00:00:00"/>
        <d v="2022-07-20T00:00:00"/>
        <d v="2022-07-21T00:00:00"/>
      </sharedItems>
    </cacheField>
    <cacheField name="County" numFmtId="0">
      <sharedItems/>
    </cacheField>
    <cacheField name="Account" numFmtId="0">
      <sharedItems/>
    </cacheField>
    <cacheField name="Collection Site (Trap ID)" numFmtId="0">
      <sharedItems/>
    </cacheField>
    <cacheField name="Zone" numFmtId="0">
      <sharedItems count="7">
        <s v="LV"/>
        <s v="NE"/>
        <s v="NW"/>
        <s v="SE"/>
        <s v="BE"/>
        <s v="SW"/>
        <s v="BC"/>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9">
  <r>
    <x v="0"/>
    <d v="2022-07-19T00:00:00"/>
    <s v="Berthoud"/>
    <s v="Berthoud Park"/>
    <x v="0"/>
    <s v="Culex tarsalis"/>
    <n v="130"/>
    <s v="CDC Light Trap"/>
    <s v="LC-001 "/>
    <n v="130"/>
    <n v="0"/>
  </r>
  <r>
    <x v="0"/>
    <d v="2022-07-19T00:00:00"/>
    <s v="Berthoud"/>
    <s v="Berthoud Park"/>
    <x v="0"/>
    <s v="Culex pipiens"/>
    <n v="5"/>
    <s v="CDC Light Trap"/>
    <s v="LC-001 "/>
    <n v="0"/>
    <n v="5"/>
  </r>
  <r>
    <x v="0"/>
    <d v="2022-07-19T00:00:00"/>
    <s v="Berthoud"/>
    <s v="Berthoud North"/>
    <x v="0"/>
    <s v="Culex tarsalis"/>
    <n v="144"/>
    <s v="CDC Light Trap"/>
    <s v="LC-049 "/>
    <n v="144"/>
    <n v="0"/>
  </r>
  <r>
    <x v="0"/>
    <d v="2022-07-19T00:00:00"/>
    <s v="Berthoud"/>
    <s v="Berthoud West"/>
    <x v="0"/>
    <s v="Culex tarsalis"/>
    <n v="87"/>
    <s v="CDC Light Trap"/>
    <s v="LC-053 "/>
    <n v="87"/>
    <n v="0"/>
  </r>
  <r>
    <x v="0"/>
    <d v="2022-07-19T00:00:00"/>
    <s v="Berthoud"/>
    <s v="Berthoud West"/>
    <x v="0"/>
    <s v="Culex pipiens"/>
    <n v="6"/>
    <s v="CDC Light Trap"/>
    <s v="LC-053 "/>
    <n v="0"/>
    <n v="6"/>
  </r>
  <r>
    <x v="0"/>
    <d v="2022-07-19T00:00:00"/>
    <s v="Berthoud"/>
    <s v="Berthoud Point"/>
    <x v="0"/>
    <s v="Culex tarsalis"/>
    <n v="87"/>
    <s v="CDC Light Trap"/>
    <s v="LC-054 "/>
    <n v="87"/>
    <n v="0"/>
  </r>
  <r>
    <x v="0"/>
    <d v="2022-07-19T00:00:00"/>
    <s v="Berthoud"/>
    <s v="Berthoud Point"/>
    <x v="0"/>
    <s v="Culex pipiens"/>
    <n v="1"/>
    <s v="CDC Light Trap"/>
    <s v="LC-054 "/>
    <n v="0"/>
    <n v="1"/>
  </r>
  <r>
    <x v="0"/>
    <d v="2022-07-19T00:00:00"/>
    <s v="Berthoud"/>
    <s v="Berthoud East"/>
    <x v="0"/>
    <s v="Culex tarsalis"/>
    <n v="19"/>
    <s v="CDC Light Trap"/>
    <s v="WC-055"/>
    <n v="19"/>
    <n v="0"/>
  </r>
  <r>
    <x v="0"/>
    <d v="2022-07-17T00:00:00"/>
    <s v="Fort Collins"/>
    <s v="N. Linden"/>
    <x v="1"/>
    <s v="Culex tarsalis"/>
    <n v="57"/>
    <s v="CDC Light Trap"/>
    <s v="FC-006"/>
    <n v="57"/>
    <n v="0"/>
  </r>
  <r>
    <x v="0"/>
    <d v="2022-07-17T00:00:00"/>
    <s v="Fort Collins"/>
    <s v="FC Visitor Center"/>
    <x v="1"/>
    <s v="Culex pipiens"/>
    <n v="130"/>
    <s v="CDC Light Trap"/>
    <s v="FC-014"/>
    <n v="0"/>
    <n v="130"/>
  </r>
  <r>
    <x v="0"/>
    <d v="2022-07-17T00:00:00"/>
    <s v="Fort Collins"/>
    <s v="FC Visitor Center"/>
    <x v="1"/>
    <s v="Culex tarsalis"/>
    <n v="150"/>
    <s v="CDC Light Trap"/>
    <s v="FC-014"/>
    <n v="150"/>
    <n v="0"/>
  </r>
  <r>
    <x v="0"/>
    <d v="2022-07-17T00:00:00"/>
    <s v="Fort Collins"/>
    <s v="Edora Park"/>
    <x v="1"/>
    <s v="Culex pipiens"/>
    <n v="8"/>
    <s v="CDC Light Trap"/>
    <s v="FC-019"/>
    <n v="0"/>
    <n v="8"/>
  </r>
  <r>
    <x v="0"/>
    <d v="2022-07-17T00:00:00"/>
    <s v="Fort Collins"/>
    <s v="Edora Park"/>
    <x v="1"/>
    <s v="Culex tarsalis"/>
    <n v="115"/>
    <s v="CDC Light Trap"/>
    <s v="FC-019"/>
    <n v="115"/>
    <n v="0"/>
  </r>
  <r>
    <x v="0"/>
    <d v="2022-07-17T00:00:00"/>
    <s v="Fort Collins"/>
    <s v="Country Club"/>
    <x v="1"/>
    <s v="Culex tarsalis"/>
    <n v="290"/>
    <s v="CDC Light Trap"/>
    <s v="FC-034"/>
    <n v="290"/>
    <n v="0"/>
  </r>
  <r>
    <x v="0"/>
    <d v="2022-07-17T00:00:00"/>
    <s v="Fort Collins"/>
    <s v="Hemlock"/>
    <x v="2"/>
    <s v="Culex tarsalis"/>
    <n v="11"/>
    <s v="CDC Light Trap"/>
    <s v="FC-036 "/>
    <n v="11"/>
    <n v="0"/>
  </r>
  <r>
    <x v="0"/>
    <d v="2022-07-17T00:00:00"/>
    <s v="Fort Collins"/>
    <s v="Lochside Lane"/>
    <x v="1"/>
    <s v="Culex tarsalis"/>
    <n v="60"/>
    <s v="CDC Light Trap"/>
    <s v="FC-038"/>
    <n v="60"/>
    <n v="0"/>
  </r>
  <r>
    <x v="0"/>
    <d v="2022-07-17T00:00:00"/>
    <s v="Fort Collins"/>
    <s v="Lochside Lane"/>
    <x v="1"/>
    <s v="Culex pipiens"/>
    <n v="1"/>
    <s v="CDC Light Trap"/>
    <s v="FC-038"/>
    <n v="0"/>
    <n v="1"/>
  </r>
  <r>
    <x v="0"/>
    <d v="2022-07-17T00:00:00"/>
    <s v="Fort Collins"/>
    <s v="Redwood"/>
    <x v="1"/>
    <s v="Culex tarsalis"/>
    <n v="67"/>
    <s v="CDC Light Trap"/>
    <s v="FC-040"/>
    <n v="67"/>
    <n v="0"/>
  </r>
  <r>
    <x v="0"/>
    <d v="2022-07-17T00:00:00"/>
    <s v="Fort Collins"/>
    <s v="Redwood"/>
    <x v="1"/>
    <s v="Culex pipiens"/>
    <n v="21"/>
    <s v="CDC Light Trap"/>
    <s v="FC-040"/>
    <n v="0"/>
    <n v="21"/>
  </r>
  <r>
    <x v="0"/>
    <d v="2022-07-17T00:00:00"/>
    <s v="Fort Collins"/>
    <s v="Prospect Ponds"/>
    <x v="1"/>
    <s v="Culex pipiens"/>
    <n v="210"/>
    <s v="CDC Light Trap"/>
    <s v="FC-066"/>
    <n v="0"/>
    <n v="210"/>
  </r>
  <r>
    <x v="0"/>
    <d v="2022-07-17T00:00:00"/>
    <s v="Fort Collins"/>
    <s v="Prospect Ponds"/>
    <x v="1"/>
    <s v="Culex tarsalis"/>
    <n v="206"/>
    <s v="CDC Light Trap"/>
    <s v="FC-066"/>
    <n v="206"/>
    <n v="0"/>
  </r>
  <r>
    <x v="0"/>
    <d v="2022-07-17T00:00:00"/>
    <s v="Fort Collins"/>
    <s v="Poudre River Trail"/>
    <x v="1"/>
    <s v="Culex pipiens"/>
    <n v="13"/>
    <s v="CDC Light Trap"/>
    <s v="FC-067"/>
    <n v="0"/>
    <n v="13"/>
  </r>
  <r>
    <x v="0"/>
    <d v="2022-07-17T00:00:00"/>
    <s v="Fort Collins"/>
    <s v="Poudre River Trail"/>
    <x v="1"/>
    <s v="Culex tarsalis"/>
    <n v="178"/>
    <s v="CDC Light Trap"/>
    <s v="FC-067"/>
    <n v="178"/>
    <n v="0"/>
  </r>
  <r>
    <x v="0"/>
    <d v="2022-07-17T00:00:00"/>
    <s v="Fort Collins"/>
    <s v="Linden Lake Rd"/>
    <x v="1"/>
    <s v="Culex pipiens"/>
    <n v="4"/>
    <s v="CDC Light Trap"/>
    <s v="FC-069"/>
    <n v="0"/>
    <n v="4"/>
  </r>
  <r>
    <x v="0"/>
    <d v="2022-07-17T00:00:00"/>
    <s v="Fort Collins"/>
    <s v="Linden Lake Rd"/>
    <x v="1"/>
    <s v="Culex tarsalis"/>
    <n v="95"/>
    <s v="CDC Light Trap"/>
    <s v="FC-069"/>
    <n v="95"/>
    <n v="0"/>
  </r>
  <r>
    <x v="0"/>
    <d v="2022-07-17T00:00:00"/>
    <s v="Fort Collins"/>
    <s v="422 Lake Dr"/>
    <x v="1"/>
    <s v="Culex tarsalis"/>
    <n v="146"/>
    <s v="CDC Light Trap"/>
    <s v="FC-072"/>
    <n v="146"/>
    <n v="0"/>
  </r>
  <r>
    <x v="0"/>
    <d v="2022-07-17T00:00:00"/>
    <s v="Fort Collins"/>
    <s v="422 Lake Dr"/>
    <x v="1"/>
    <s v="Culex pipiens"/>
    <n v="2"/>
    <s v="CDC Light Trap"/>
    <s v="FC-072"/>
    <n v="0"/>
    <n v="2"/>
  </r>
  <r>
    <x v="0"/>
    <d v="2022-07-18T00:00:00"/>
    <s v="Fort Collins"/>
    <s v="Big Horn"/>
    <x v="3"/>
    <s v="Culex pipiens"/>
    <n v="5"/>
    <s v="CDC Light Trap"/>
    <s v="FC-004"/>
    <n v="0"/>
    <n v="5"/>
  </r>
  <r>
    <x v="0"/>
    <d v="2022-07-18T00:00:00"/>
    <s v="Fort Collins"/>
    <s v="Big Horn"/>
    <x v="3"/>
    <s v="Culex tarsalis"/>
    <n v="121"/>
    <s v="CDC Light Trap"/>
    <s v="FC-004"/>
    <n v="121"/>
    <n v="0"/>
  </r>
  <r>
    <x v="0"/>
    <d v="2022-07-18T00:00:00"/>
    <s v="Fort Collins"/>
    <s v="Boltz"/>
    <x v="3"/>
    <s v="Culex tarsalis"/>
    <n v="37"/>
    <s v="CDC Light Trap"/>
    <s v="FC-023"/>
    <n v="37"/>
    <n v="0"/>
  </r>
  <r>
    <x v="0"/>
    <d v="2022-07-18T00:00:00"/>
    <s v="Fort Collins"/>
    <s v="3001 San Luis"/>
    <x v="3"/>
    <s v="Culex pipiens"/>
    <n v="11"/>
    <s v="CDC Light Trap"/>
    <s v="FC-027"/>
    <n v="0"/>
    <n v="11"/>
  </r>
  <r>
    <x v="0"/>
    <d v="2022-07-18T00:00:00"/>
    <s v="Fort Collins"/>
    <s v="3001 San Luis"/>
    <x v="3"/>
    <s v="Culex tarsalis"/>
    <n v="100"/>
    <s v="CDC Light Trap"/>
    <s v="FC-027"/>
    <n v="100"/>
    <n v="0"/>
  </r>
  <r>
    <x v="0"/>
    <d v="2022-07-18T00:00:00"/>
    <s v="Fort Collins"/>
    <s v="Willow Springs"/>
    <x v="3"/>
    <s v="Culex tarsalis"/>
    <n v="94"/>
    <s v="CDC Light Trap"/>
    <s v="FC-031"/>
    <n v="94"/>
    <n v="0"/>
  </r>
  <r>
    <x v="0"/>
    <d v="2022-07-18T00:00:00"/>
    <s v="Fort Collins"/>
    <s v="Willow Springs"/>
    <x v="3"/>
    <s v="Culex pipiens"/>
    <n v="4"/>
    <s v="CDC Light Trap"/>
    <s v="FC-031"/>
    <n v="0"/>
    <n v="4"/>
  </r>
  <r>
    <x v="0"/>
    <d v="2022-07-18T00:00:00"/>
    <s v="Fort Collins"/>
    <s v="Fossil Creek South"/>
    <x v="3"/>
    <s v="Culex tarsalis"/>
    <n v="35"/>
    <s v="CDC Light Trap"/>
    <s v="FC-039"/>
    <n v="35"/>
    <n v="0"/>
  </r>
  <r>
    <x v="0"/>
    <d v="2022-07-18T00:00:00"/>
    <s v="Fort Collins"/>
    <s v="Westshore Ct"/>
    <x v="3"/>
    <s v="Culex tarsalis"/>
    <n v="111"/>
    <s v="CDC Light Trap"/>
    <s v="FC-046"/>
    <n v="111"/>
    <n v="0"/>
  </r>
  <r>
    <x v="0"/>
    <d v="2022-07-18T00:00:00"/>
    <s v="Fort Collins"/>
    <s v="Keeneland And Twin Oak"/>
    <x v="3"/>
    <s v="Culex tarsalis"/>
    <n v="27"/>
    <s v="CDC Light Trap"/>
    <s v="FC-047"/>
    <n v="27"/>
    <n v="0"/>
  </r>
  <r>
    <x v="0"/>
    <d v="2022-07-18T00:00:00"/>
    <s v="Fort Collins"/>
    <s v="Keeneland And Twin Oak"/>
    <x v="3"/>
    <s v="Culex pipiens"/>
    <n v="3"/>
    <s v="CDC Light Trap"/>
    <s v="FC-047"/>
    <n v="0"/>
    <n v="3"/>
  </r>
  <r>
    <x v="0"/>
    <d v="2022-07-18T00:00:00"/>
    <s v="Fort Collins"/>
    <s v="Golden Meadows Ditch"/>
    <x v="3"/>
    <s v="Culex pipiens"/>
    <n v="3"/>
    <s v="CDC Light Trap"/>
    <s v="FC-050"/>
    <n v="0"/>
    <n v="3"/>
  </r>
  <r>
    <x v="0"/>
    <d v="2022-07-18T00:00:00"/>
    <s v="Fort Collins"/>
    <s v="Golden Meadows Ditch"/>
    <x v="3"/>
    <s v="Culex tarsalis"/>
    <n v="69"/>
    <s v="CDC Light Trap"/>
    <s v="FC-050"/>
    <n v="69"/>
    <n v="0"/>
  </r>
  <r>
    <x v="0"/>
    <d v="2022-07-18T00:00:00"/>
    <s v="Fort Collins"/>
    <s v="Egret and Rookery"/>
    <x v="3"/>
    <s v="Culex pipiens"/>
    <n v="1"/>
    <s v="CDC Light Trap"/>
    <s v="FC-053"/>
    <n v="0"/>
    <n v="1"/>
  </r>
  <r>
    <x v="0"/>
    <d v="2022-07-18T00:00:00"/>
    <s v="Fort Collins"/>
    <s v="Egret and Rookery"/>
    <x v="3"/>
    <s v="Culex tarsalis"/>
    <n v="123"/>
    <s v="CDC Light Trap"/>
    <s v="FC-053"/>
    <n v="123"/>
    <n v="0"/>
  </r>
  <r>
    <x v="0"/>
    <d v="2022-07-18T00:00:00"/>
    <s v="Fort Collins"/>
    <s v="Springwood and Lochwood"/>
    <x v="3"/>
    <s v="Culex tarsalis"/>
    <n v="104"/>
    <s v="CDC Light Trap"/>
    <s v="FC-059"/>
    <n v="104"/>
    <n v="0"/>
  </r>
  <r>
    <x v="0"/>
    <d v="2022-07-18T00:00:00"/>
    <s v="Fort Collins"/>
    <s v="Springwood and Lochwood"/>
    <x v="3"/>
    <s v="Culex pipiens"/>
    <n v="11"/>
    <s v="CDC Light Trap"/>
    <s v="FC-059"/>
    <n v="0"/>
    <n v="11"/>
  </r>
  <r>
    <x v="0"/>
    <d v="2022-07-18T00:00:00"/>
    <s v="Fort Collins"/>
    <s v="West Chase"/>
    <x v="3"/>
    <s v="Culex pipiens"/>
    <n v="2"/>
    <s v="CDC Light Trap"/>
    <s v="FC-064"/>
    <n v="0"/>
    <n v="2"/>
  </r>
  <r>
    <x v="0"/>
    <d v="2022-07-18T00:00:00"/>
    <s v="Fort Collins"/>
    <s v="West Chase"/>
    <x v="3"/>
    <s v="Culex tarsalis"/>
    <n v="83"/>
    <s v="CDC Light Trap"/>
    <s v="FC-064"/>
    <n v="83"/>
    <n v="0"/>
  </r>
  <r>
    <x v="0"/>
    <d v="2022-07-18T00:00:00"/>
    <s v="Fort Collins"/>
    <s v="Rock Creek"/>
    <x v="3"/>
    <s v="Culex pipiens"/>
    <n v="20"/>
    <s v="CDC Light Trap"/>
    <s v="FC-074"/>
    <n v="0"/>
    <n v="20"/>
  </r>
  <r>
    <x v="0"/>
    <d v="2022-07-18T00:00:00"/>
    <s v="Fort Collins"/>
    <s v="Rock Creek"/>
    <x v="3"/>
    <s v="Culex tarsalis"/>
    <n v="492"/>
    <s v="CDC Light Trap"/>
    <s v="FC-074"/>
    <n v="492"/>
    <n v="0"/>
  </r>
  <r>
    <x v="0"/>
    <d v="2022-07-18T00:00:00"/>
    <s v="Fort Collins"/>
    <s v="Sage Creek North"/>
    <x v="3"/>
    <s v="Culex tarsalis"/>
    <n v="22"/>
    <s v="CDC Light Trap"/>
    <s v="FC-075"/>
    <n v="22"/>
    <n v="0"/>
  </r>
  <r>
    <x v="0"/>
    <d v="2022-07-18T00:00:00"/>
    <s v="Fort Collins"/>
    <s v="Sage Creek North"/>
    <x v="3"/>
    <s v="Culex pipiens"/>
    <n v="4"/>
    <s v="CDC Light Trap"/>
    <s v="FC-075"/>
    <n v="0"/>
    <n v="4"/>
  </r>
  <r>
    <x v="0"/>
    <d v="2022-07-19T00:00:00"/>
    <s v="Fort Collins"/>
    <s v="Golden Current"/>
    <x v="2"/>
    <s v="Culex tarsalis"/>
    <n v="13"/>
    <s v="CDC Light Trap"/>
    <s v="FC-011"/>
    <n v="13"/>
    <n v="0"/>
  </r>
  <r>
    <x v="0"/>
    <d v="2022-07-19T00:00:00"/>
    <s v="Fort Collins"/>
    <s v="Golden Current"/>
    <x v="2"/>
    <s v="Culex pipiens"/>
    <n v="15"/>
    <s v="CDC Light Trap"/>
    <s v="FC-011"/>
    <n v="0"/>
    <n v="15"/>
  </r>
  <r>
    <x v="0"/>
    <d v="2022-07-19T00:00:00"/>
    <s v="Fort Collins"/>
    <s v="Stuart and Dorset"/>
    <x v="2"/>
    <s v="Culex pipiens"/>
    <n v="3"/>
    <s v="CDC Light Trap"/>
    <s v="FC-015"/>
    <n v="0"/>
    <n v="3"/>
  </r>
  <r>
    <x v="0"/>
    <d v="2022-07-19T00:00:00"/>
    <s v="Fort Collins"/>
    <s v="Stuart and Dorset"/>
    <x v="2"/>
    <s v="Culex tarsalis"/>
    <n v="7"/>
    <s v="CDC Light Trap"/>
    <s v="FC-015"/>
    <n v="7"/>
    <n v="0"/>
  </r>
  <r>
    <x v="0"/>
    <d v="2022-07-19T00:00:00"/>
    <s v="Fort Collins"/>
    <s v="Fishback"/>
    <x v="2"/>
    <s v="Culex tarsalis"/>
    <n v="125"/>
    <s v="CDC Light Trap"/>
    <s v="FC-041"/>
    <n v="125"/>
    <n v="0"/>
  </r>
  <r>
    <x v="0"/>
    <d v="2022-07-19T00:00:00"/>
    <s v="Fort Collins"/>
    <s v="Fishback"/>
    <x v="2"/>
    <s v="Culex pipiens"/>
    <n v="10"/>
    <s v="CDC Light Trap"/>
    <s v="FC-041"/>
    <n v="0"/>
    <n v="10"/>
  </r>
  <r>
    <x v="0"/>
    <d v="2022-07-19T00:00:00"/>
    <s v="Fort Collins"/>
    <s v="Casa Grande and Downing"/>
    <x v="4"/>
    <s v="Culex tarsalis"/>
    <n v="76"/>
    <s v="CDC Light Trap"/>
    <s v="FC-049"/>
    <n v="76"/>
    <n v="0"/>
  </r>
  <r>
    <x v="0"/>
    <d v="2022-07-19T00:00:00"/>
    <s v="Fort Collins"/>
    <s v="Casa Grande and Downing"/>
    <x v="4"/>
    <s v="Culex pipiens"/>
    <n v="5"/>
    <s v="CDC Light Trap"/>
    <s v="FC-049"/>
    <n v="0"/>
    <n v="5"/>
  </r>
  <r>
    <x v="0"/>
    <d v="2022-07-19T00:00:00"/>
    <s v="Fort Collins"/>
    <s v="603 Gilgalad Way"/>
    <x v="2"/>
    <s v="Culex tarsalis"/>
    <n v="20"/>
    <s v="CDC Light Trap"/>
    <s v="FC-052"/>
    <n v="20"/>
    <n v="0"/>
  </r>
  <r>
    <x v="0"/>
    <d v="2022-07-19T00:00:00"/>
    <s v="Fort Collins"/>
    <s v="Spring Creek Trail-- Michener Dr"/>
    <x v="4"/>
    <s v="Culex pipiens"/>
    <n v="1"/>
    <s v="CDC Light Trap"/>
    <s v="FC-058"/>
    <n v="0"/>
    <n v="1"/>
  </r>
  <r>
    <x v="0"/>
    <d v="2022-07-19T00:00:00"/>
    <s v="Fort Collins"/>
    <s v="Spring Creek Trail-- Michener Dr"/>
    <x v="4"/>
    <s v="Culex tarsalis"/>
    <n v="2"/>
    <s v="CDC Light Trap"/>
    <s v="FC-058"/>
    <n v="2"/>
    <n v="0"/>
  </r>
  <r>
    <x v="0"/>
    <d v="2022-07-19T00:00:00"/>
    <s v="Fort Collins"/>
    <s v="808 Ponderosa"/>
    <x v="2"/>
    <s v="Culex tarsalis"/>
    <n v="7"/>
    <s v="CDC Light Trap"/>
    <s v="FC-060"/>
    <n v="7"/>
    <n v="0"/>
  </r>
  <r>
    <x v="0"/>
    <d v="2022-07-19T00:00:00"/>
    <s v="Fort Collins"/>
    <s v="Holley Plant Research Center"/>
    <x v="2"/>
    <s v="Culex tarsalis"/>
    <n v="89"/>
    <s v="CDC Light Trap"/>
    <s v="FC-061"/>
    <n v="89"/>
    <n v="0"/>
  </r>
  <r>
    <x v="0"/>
    <d v="2022-07-19T00:00:00"/>
    <s v="Fort Collins"/>
    <s v="Holley Plant Research Center"/>
    <x v="2"/>
    <s v="Culex pipiens"/>
    <n v="10"/>
    <s v="CDC Light Trap"/>
    <s v="FC-061"/>
    <n v="0"/>
    <n v="10"/>
  </r>
  <r>
    <x v="0"/>
    <d v="2022-07-19T00:00:00"/>
    <s v="Fort Collins"/>
    <s v="Red Fox Meadows"/>
    <x v="2"/>
    <s v="Culex tarsalis"/>
    <n v="24"/>
    <s v="CDC Light Trap"/>
    <s v="FC-063"/>
    <n v="24"/>
    <n v="0"/>
  </r>
  <r>
    <x v="0"/>
    <d v="2022-07-19T00:00:00"/>
    <s v="Fort Collins"/>
    <s v="118 S Grant "/>
    <x v="2"/>
    <s v="Culex pipiens"/>
    <n v="7"/>
    <s v="CDC Light Trap"/>
    <s v="FC-073"/>
    <n v="0"/>
    <n v="7"/>
  </r>
  <r>
    <x v="0"/>
    <d v="2022-07-19T00:00:00"/>
    <s v="Fort Collins"/>
    <s v="118 S Grant "/>
    <x v="2"/>
    <s v="Culex tarsalis"/>
    <n v="62"/>
    <s v="CDC Light Trap"/>
    <s v="FC-073"/>
    <n v="62"/>
    <n v="0"/>
  </r>
  <r>
    <x v="0"/>
    <d v="2022-07-20T00:00:00"/>
    <s v="Fort Collins"/>
    <s v="Magic Carpet"/>
    <x v="4"/>
    <s v="Culex tarsalis"/>
    <n v="56"/>
    <s v="CDC Light Trap"/>
    <s v="FC-001"/>
    <n v="56"/>
    <n v="0"/>
  </r>
  <r>
    <x v="0"/>
    <d v="2022-07-20T00:00:00"/>
    <s v="Fort Collins"/>
    <s v="Magic Carpet"/>
    <x v="4"/>
    <s v="Culex pipiens"/>
    <n v="16"/>
    <s v="CDC Light Trap"/>
    <s v="FC-001"/>
    <n v="0"/>
    <n v="16"/>
  </r>
  <r>
    <x v="0"/>
    <d v="2022-07-20T00:00:00"/>
    <s v="Fort Collins"/>
    <s v="Ben's Park"/>
    <x v="3"/>
    <s v="Culex tarsalis"/>
    <n v="109"/>
    <s v="CDC Light Trap"/>
    <s v="FC-029"/>
    <n v="109"/>
    <n v="0"/>
  </r>
  <r>
    <x v="0"/>
    <d v="2022-07-20T00:00:00"/>
    <s v="Fort Collins"/>
    <s v="Ben's Park"/>
    <x v="3"/>
    <s v="Culex pipiens"/>
    <n v="4"/>
    <s v="CDC Light Trap"/>
    <s v="FC-029"/>
    <n v="0"/>
    <n v="4"/>
  </r>
  <r>
    <x v="0"/>
    <d v="2022-07-20T00:00:00"/>
    <s v="Fort Collins"/>
    <s v="Chelsea Ridge"/>
    <x v="4"/>
    <s v="Culex tarsalis"/>
    <n v="216"/>
    <s v="CDC Light Trap"/>
    <s v="FC-037"/>
    <n v="216"/>
    <n v="0"/>
  </r>
  <r>
    <x v="0"/>
    <d v="2022-07-20T00:00:00"/>
    <s v="Fort Collins"/>
    <s v="Chelsea Ridge"/>
    <x v="4"/>
    <s v="Culex pipiens"/>
    <n v="8"/>
    <s v="CDC Light Trap"/>
    <s v="FC-037"/>
    <n v="0"/>
    <n v="8"/>
  </r>
  <r>
    <x v="0"/>
    <d v="2022-07-20T00:00:00"/>
    <s v="Fort Collins"/>
    <s v="737 Parliament"/>
    <x v="3"/>
    <s v="Culex tarsalis"/>
    <n v="51"/>
    <s v="CDC Light Trap"/>
    <s v="FC-054"/>
    <n v="51"/>
    <n v="0"/>
  </r>
  <r>
    <x v="0"/>
    <d v="2022-07-20T00:00:00"/>
    <s v="Fort Collins"/>
    <s v="737 Parliament"/>
    <x v="3"/>
    <s v="Culex pipiens"/>
    <n v="1"/>
    <s v="CDC Light Trap"/>
    <s v="FC-054"/>
    <n v="0"/>
    <n v="1"/>
  </r>
  <r>
    <x v="0"/>
    <d v="2022-07-20T00:00:00"/>
    <s v="Fort Collins"/>
    <s v="Registry Ridge"/>
    <x v="4"/>
    <s v="Culex tarsalis"/>
    <n v="8"/>
    <s v="CDC Light Trap"/>
    <s v="FC-057"/>
    <n v="8"/>
    <n v="0"/>
  </r>
  <r>
    <x v="0"/>
    <d v="2022-07-20T00:00:00"/>
    <s v="Fort Collins"/>
    <s v="Water's Edge at Blue Mesa"/>
    <x v="4"/>
    <s v="Culex tarsalis"/>
    <n v="9"/>
    <s v="CDC Light Trap"/>
    <s v="FC-062"/>
    <n v="9"/>
    <n v="0"/>
  </r>
  <r>
    <x v="0"/>
    <d v="2022-07-20T00:00:00"/>
    <s v="Fort Collins"/>
    <s v="Water's Edge at Blue Mesa"/>
    <x v="4"/>
    <s v="Culex pipiens"/>
    <n v="5"/>
    <s v="CDC Light Trap"/>
    <s v="FC-062"/>
    <n v="0"/>
    <n v="5"/>
  </r>
  <r>
    <x v="0"/>
    <d v="2022-07-20T00:00:00"/>
    <s v="Fort Collins"/>
    <s v="5029 Crest Dr"/>
    <x v="4"/>
    <s v="Culex tarsalis"/>
    <n v="26"/>
    <s v="CDC Light Trap"/>
    <s v="FC-068"/>
    <n v="26"/>
    <n v="0"/>
  </r>
  <r>
    <x v="0"/>
    <d v="2022-07-20T00:00:00"/>
    <s v="Fort Collins"/>
    <s v="Silvergate Rd"/>
    <x v="4"/>
    <s v="Culex tarsalis"/>
    <n v="15"/>
    <s v="CDC Light Trap"/>
    <s v="FC-071"/>
    <n v="15"/>
    <n v="0"/>
  </r>
  <r>
    <x v="0"/>
    <d v="2022-07-20T00:00:00"/>
    <s v="Fort Collins"/>
    <s v="Silvergate Rd"/>
    <x v="4"/>
    <s v="Culex pipiens"/>
    <n v="2"/>
    <s v="CDC Light Trap"/>
    <s v="FC-071"/>
    <n v="0"/>
    <n v="2"/>
  </r>
  <r>
    <x v="0"/>
    <d v="2022-07-20T00:00:00"/>
    <s v="Fort Collins"/>
    <s v="Lopez Elementary"/>
    <x v="4"/>
    <s v="Culex pipiens"/>
    <n v="3"/>
    <s v="CDC Light Trap"/>
    <s v="FC-093"/>
    <n v="0"/>
    <n v="3"/>
  </r>
  <r>
    <x v="0"/>
    <d v="2022-07-20T00:00:00"/>
    <s v="Fort Collins"/>
    <s v="Lopez Elementary"/>
    <x v="4"/>
    <s v="Culex tarsalis"/>
    <n v="92"/>
    <s v="CDC Light Trap"/>
    <s v="FC-093"/>
    <n v="92"/>
    <n v="0"/>
  </r>
  <r>
    <x v="0"/>
    <d v="2022-07-17T00:00:00"/>
    <s v="Loveland"/>
    <s v="29th and Madison"/>
    <x v="5"/>
    <s v="Culex pipiens"/>
    <n v="5"/>
    <s v="CDC Light Trap"/>
    <s v="LV-004"/>
    <n v="0"/>
    <n v="5"/>
  </r>
  <r>
    <x v="0"/>
    <d v="2022-07-17T00:00:00"/>
    <s v="Loveland"/>
    <s v="29th and Madison"/>
    <x v="5"/>
    <s v="Culex tarsalis"/>
    <n v="234"/>
    <s v="CDC Light Trap"/>
    <s v="LV-004"/>
    <n v="234"/>
    <n v="0"/>
  </r>
  <r>
    <x v="0"/>
    <d v="2022-07-17T00:00:00"/>
    <s v="Loveland"/>
    <s v="Outlet Mall Apartments"/>
    <x v="5"/>
    <s v="Culex tarsalis"/>
    <n v="1"/>
    <s v="CDC Light Trap"/>
    <s v="LV-066"/>
    <n v="1"/>
    <n v="0"/>
  </r>
  <r>
    <x v="0"/>
    <d v="2022-07-17T00:00:00"/>
    <s v="Loveland"/>
    <s v="Horseshoe Pennninsula"/>
    <x v="5"/>
    <s v="Culex tarsalis"/>
    <n v="107"/>
    <s v="CDC Light Trap"/>
    <s v="LV-069"/>
    <n v="107"/>
    <n v="0"/>
  </r>
  <r>
    <x v="0"/>
    <d v="2022-07-17T00:00:00"/>
    <s v="Loveland"/>
    <s v="Horseshoe Pennninsula"/>
    <x v="5"/>
    <s v="Culex pipiens"/>
    <n v="5"/>
    <s v="CDC Light Trap"/>
    <s v="LV-069"/>
    <n v="0"/>
    <n v="5"/>
  </r>
  <r>
    <x v="0"/>
    <d v="2022-07-17T00:00:00"/>
    <s v="Loveland"/>
    <s v="7 Lakes Park"/>
    <x v="5"/>
    <s v="Culex pipiens"/>
    <n v="4"/>
    <s v="CDC Light Trap"/>
    <s v="LV-078"/>
    <n v="0"/>
    <n v="4"/>
  </r>
  <r>
    <x v="0"/>
    <d v="2022-07-17T00:00:00"/>
    <s v="Loveland"/>
    <s v="7 Lakes Park"/>
    <x v="5"/>
    <s v="Culex tarsalis"/>
    <n v="138"/>
    <s v="CDC Light Trap"/>
    <s v="LV-078"/>
    <n v="138"/>
    <n v="0"/>
  </r>
  <r>
    <x v="0"/>
    <d v="2022-07-17T00:00:00"/>
    <s v="Loveland"/>
    <s v="Harding and Reagan"/>
    <x v="5"/>
    <s v="Culex tarsalis"/>
    <n v="168"/>
    <s v="CDC Light Trap"/>
    <s v="LV-080"/>
    <n v="168"/>
    <n v="0"/>
  </r>
  <r>
    <x v="0"/>
    <d v="2022-07-17T00:00:00"/>
    <s v="Loveland"/>
    <s v="2229 Arikaree"/>
    <x v="5"/>
    <s v="Culex tarsalis"/>
    <n v="45"/>
    <s v="CDC Light Trap"/>
    <s v="LV-088"/>
    <n v="45"/>
    <n v="0"/>
  </r>
  <r>
    <x v="0"/>
    <d v="2022-07-17T00:00:00"/>
    <s v="Loveland"/>
    <s v="2229 Arikaree"/>
    <x v="5"/>
    <s v="Culex pipiens"/>
    <n v="17"/>
    <s v="CDC Light Trap"/>
    <s v="LV-088"/>
    <n v="0"/>
    <n v="17"/>
  </r>
  <r>
    <x v="0"/>
    <d v="2022-07-17T00:00:00"/>
    <s v="Loveland"/>
    <s v="Pond at Silver Lake"/>
    <x v="5"/>
    <s v="Culex tarsalis"/>
    <n v="5"/>
    <s v="CDC Light Trap"/>
    <s v="LV-093"/>
    <n v="5"/>
    <n v="0"/>
  </r>
  <r>
    <x v="0"/>
    <d v="2022-07-17T00:00:00"/>
    <s v="Loveland"/>
    <s v="Boyd Lake"/>
    <x v="5"/>
    <s v="Culex tarsalis"/>
    <n v="50"/>
    <s v="CDC Light Trap"/>
    <s v="LV-095"/>
    <n v="50"/>
    <n v="0"/>
  </r>
  <r>
    <x v="0"/>
    <d v="2022-07-17T00:00:00"/>
    <s v="Loveland"/>
    <s v="Sundisk and 13E"/>
    <x v="5"/>
    <s v="Culex pipiens"/>
    <n v="3"/>
    <s v="CDC Light Trap"/>
    <s v="LV-116"/>
    <n v="0"/>
    <n v="3"/>
  </r>
  <r>
    <x v="0"/>
    <d v="2022-07-17T00:00:00"/>
    <s v="Loveland"/>
    <s v="Sundisk and 13E"/>
    <x v="5"/>
    <s v="Culex tarsalis"/>
    <n v="31"/>
    <s v="CDC Light Trap"/>
    <s v="LV-116"/>
    <n v="31"/>
    <n v="0"/>
  </r>
  <r>
    <x v="0"/>
    <d v="2022-07-17T00:00:00"/>
    <s v="Loveland"/>
    <s v="Centerra"/>
    <x v="5"/>
    <s v="Culex pipiens"/>
    <n v="40"/>
    <s v="CDC Light Trap"/>
    <s v="LV-117"/>
    <n v="0"/>
    <n v="40"/>
  </r>
  <r>
    <x v="0"/>
    <d v="2022-07-17T00:00:00"/>
    <s v="Loveland"/>
    <s v="Centerra"/>
    <x v="5"/>
    <s v="Culex tarsalis"/>
    <n v="40"/>
    <s v="CDC Light Trap"/>
    <s v="LV-117"/>
    <n v="40"/>
    <n v="0"/>
  </r>
  <r>
    <x v="0"/>
    <d v="2022-07-18T00:00:00"/>
    <s v="Loveland"/>
    <s v="Jefferson and 11th"/>
    <x v="5"/>
    <s v="Culex tarsalis"/>
    <n v="91"/>
    <s v="CDC Light Trap"/>
    <s v="LV-074"/>
    <n v="91"/>
    <n v="0"/>
  </r>
  <r>
    <x v="0"/>
    <d v="2022-07-18T00:00:00"/>
    <s v="Loveland"/>
    <s v="Jefferson and 11th"/>
    <x v="5"/>
    <s v="Culex pipiens"/>
    <n v="48"/>
    <s v="CDC Light Trap"/>
    <s v="LV-074"/>
    <n v="0"/>
    <n v="48"/>
  </r>
  <r>
    <x v="0"/>
    <d v="2022-07-18T00:00:00"/>
    <s v="Loveland"/>
    <s v="1105 East 1st Street"/>
    <x v="5"/>
    <s v="Culex pipiens"/>
    <n v="1"/>
    <s v="CDC Light Trap"/>
    <s v="LV-077"/>
    <n v="0"/>
    <n v="1"/>
  </r>
  <r>
    <x v="0"/>
    <d v="2022-07-18T00:00:00"/>
    <s v="Loveland"/>
    <s v="1105 East 1st Street"/>
    <x v="5"/>
    <s v="Culex tarsalis"/>
    <n v="21"/>
    <s v="CDC Light Trap"/>
    <s v="LV-077"/>
    <n v="21"/>
    <n v="0"/>
  </r>
  <r>
    <x v="0"/>
    <d v="2022-07-18T00:00:00"/>
    <s v="Loveland"/>
    <s v="9th and DesMoines"/>
    <x v="5"/>
    <s v="Culex tarsalis"/>
    <n v="335"/>
    <s v="CDC Light Trap"/>
    <s v="LV-089"/>
    <n v="335"/>
    <n v="0"/>
  </r>
  <r>
    <x v="0"/>
    <d v="2022-07-18T00:00:00"/>
    <s v="Loveland"/>
    <s v="9th and DesMoines"/>
    <x v="5"/>
    <s v="Culex pipiens"/>
    <n v="23"/>
    <s v="CDC Light Trap"/>
    <s v="LV-089"/>
    <n v="0"/>
    <n v="23"/>
  </r>
  <r>
    <x v="0"/>
    <d v="2022-07-18T00:00:00"/>
    <s v="Loveland"/>
    <s v="Blue Tree Realty"/>
    <x v="5"/>
    <s v="Culex tarsalis"/>
    <n v="19"/>
    <s v="CDC Light Trap"/>
    <s v="LV-100"/>
    <n v="19"/>
    <n v="0"/>
  </r>
  <r>
    <x v="0"/>
    <d v="2022-07-18T00:00:00"/>
    <s v="Loveland"/>
    <s v="Blue Tree Realty"/>
    <x v="5"/>
    <s v="Culex pipiens"/>
    <n v="6"/>
    <s v="CDC Light Trap"/>
    <s v="LV-100"/>
    <n v="0"/>
    <n v="6"/>
  </r>
  <r>
    <x v="0"/>
    <d v="2022-07-18T00:00:00"/>
    <s v="Loveland"/>
    <s v="Cr 20 and 9"/>
    <x v="5"/>
    <s v="Culex tarsalis"/>
    <n v="16"/>
    <s v="CDC Light Trap"/>
    <s v="LV-104"/>
    <n v="16"/>
    <n v="0"/>
  </r>
  <r>
    <x v="0"/>
    <d v="2022-07-18T00:00:00"/>
    <s v="Loveland"/>
    <s v="Cr 20 and 9"/>
    <x v="5"/>
    <s v="Culex pipiens"/>
    <n v="5"/>
    <s v="CDC Light Trap"/>
    <s v="LV-104"/>
    <n v="0"/>
    <n v="5"/>
  </r>
  <r>
    <x v="0"/>
    <d v="2022-07-18T00:00:00"/>
    <s v="Loveland"/>
    <s v="Big Thompson "/>
    <x v="5"/>
    <s v="Culex tarsalis"/>
    <n v="49"/>
    <s v="CDC Light Trap"/>
    <s v="LV-110"/>
    <n v="49"/>
    <n v="0"/>
  </r>
  <r>
    <x v="0"/>
    <d v="2022-07-18T00:00:00"/>
    <s v="Loveland"/>
    <s v="915 S Boise"/>
    <x v="5"/>
    <s v="Culex pipiens"/>
    <n v="32"/>
    <s v="CDC Light Trap"/>
    <s v="LV-112"/>
    <n v="0"/>
    <n v="32"/>
  </r>
  <r>
    <x v="0"/>
    <d v="2022-07-18T00:00:00"/>
    <s v="Loveland"/>
    <s v="915 S Boise"/>
    <x v="5"/>
    <s v="Culex tarsalis"/>
    <n v="108"/>
    <s v="CDC Light Trap"/>
    <s v="LV-112"/>
    <n v="108"/>
    <n v="0"/>
  </r>
  <r>
    <x v="0"/>
    <d v="2022-07-18T00:00:00"/>
    <s v="Loveland"/>
    <s v="Springs at Marianna"/>
    <x v="5"/>
    <s v="Culex tarsalis"/>
    <n v="48"/>
    <s v="CDC Light Trap"/>
    <s v="LV-113"/>
    <n v="48"/>
    <n v="0"/>
  </r>
  <r>
    <x v="0"/>
    <d v="2022-07-18T00:00:00"/>
    <s v="Loveland"/>
    <s v="Golf Vista"/>
    <x v="5"/>
    <s v="Culex tarsalis"/>
    <n v="8"/>
    <s v="CDC Light Trap"/>
    <s v="LV-118"/>
    <n v="8"/>
    <n v="0"/>
  </r>
  <r>
    <x v="0"/>
    <d v="2022-07-18T00:00:00"/>
    <s v="Loveland"/>
    <s v="Golf Vista"/>
    <x v="5"/>
    <s v="Culex pipiens"/>
    <n v="2"/>
    <s v="CDC Light Trap"/>
    <s v="LV-118"/>
    <n v="0"/>
    <n v="2"/>
  </r>
  <r>
    <x v="0"/>
    <d v="2022-07-18T00:00:00"/>
    <s v="Loveland"/>
    <s v="Bldg D190, 815 14th Street Southwest, Loveland, CO 80537, USA"/>
    <x v="5"/>
    <s v="Culex tarsalis"/>
    <n v="60"/>
    <s v="CDC Light Trap"/>
    <s v="LV-124"/>
    <n v="60"/>
    <n v="0"/>
  </r>
  <r>
    <x v="0"/>
    <d v="2022-07-18T00:00:00"/>
    <s v="Loveland"/>
    <s v="8th And No Name"/>
    <x v="5"/>
    <s v="Culex tarsalis"/>
    <n v="11"/>
    <s v="CDC Light Trap"/>
    <s v="LV-125"/>
    <n v="11"/>
    <n v="0"/>
  </r>
  <r>
    <x v="0"/>
    <d v="2022-07-19T00:00:00"/>
    <s v="Loveland"/>
    <s v="Jocelyn and Eagle"/>
    <x v="5"/>
    <s v="Culex tarsalis"/>
    <n v="9"/>
    <s v="CDC Light Trap"/>
    <s v="LV-019"/>
    <n v="9"/>
    <n v="0"/>
  </r>
  <r>
    <x v="0"/>
    <d v="2022-07-19T00:00:00"/>
    <s v="Loveland"/>
    <s v="Cattail Pond"/>
    <x v="5"/>
    <s v="Culex pipiens"/>
    <n v="15"/>
    <s v="CDC Light Trap"/>
    <s v="LV-020"/>
    <n v="0"/>
    <n v="15"/>
  </r>
  <r>
    <x v="0"/>
    <d v="2022-07-19T00:00:00"/>
    <s v="Loveland"/>
    <s v="Cattail Pond"/>
    <x v="5"/>
    <s v="Culex tarsalis"/>
    <n v="309"/>
    <s v="CDC Light Trap"/>
    <s v="LV-020"/>
    <n v="309"/>
    <n v="0"/>
  </r>
  <r>
    <x v="0"/>
    <d v="2022-07-19T00:00:00"/>
    <s v="Loveland"/>
    <s v="Linda and 26th "/>
    <x v="5"/>
    <s v="Culex tarsalis"/>
    <n v="31"/>
    <s v="CDC Light Trap"/>
    <s v="LV-021"/>
    <n v="31"/>
    <n v="0"/>
  </r>
  <r>
    <x v="0"/>
    <d v="2022-07-19T00:00:00"/>
    <s v="Loveland"/>
    <s v="2001 S Douglas"/>
    <x v="5"/>
    <s v="Culex tarsalis"/>
    <n v="26"/>
    <s v="CDC Light Trap"/>
    <s v="LV-042"/>
    <n v="26"/>
    <n v="0"/>
  </r>
  <r>
    <x v="0"/>
    <d v="2022-07-19T00:00:00"/>
    <s v="Loveland"/>
    <s v="2001 S Douglas"/>
    <x v="5"/>
    <s v="Culex pipiens"/>
    <n v="15"/>
    <s v="CDC Light Trap"/>
    <s v="LV-042"/>
    <n v="0"/>
    <n v="15"/>
  </r>
  <r>
    <x v="0"/>
    <d v="2022-07-19T00:00:00"/>
    <s v="Loveland"/>
    <s v="Del Norte Private Park"/>
    <x v="5"/>
    <s v="Culex tarsalis"/>
    <n v="64"/>
    <s v="CDC Light Trap"/>
    <s v="LV-067"/>
    <n v="64"/>
    <n v="0"/>
  </r>
  <r>
    <x v="0"/>
    <d v="2022-07-19T00:00:00"/>
    <s v="Loveland"/>
    <s v="Del Norte Private Park"/>
    <x v="5"/>
    <s v="Culex pipiens"/>
    <n v="1"/>
    <s v="CDC Light Trap"/>
    <s v="LV-067"/>
    <n v="0"/>
    <n v="1"/>
  </r>
  <r>
    <x v="0"/>
    <d v="2022-07-19T00:00:00"/>
    <s v="Loveland"/>
    <s v="Derby Hill"/>
    <x v="5"/>
    <s v="Culex pipiens"/>
    <n v="2"/>
    <s v="CDC Light Trap"/>
    <s v="LV-087"/>
    <n v="0"/>
    <n v="2"/>
  </r>
  <r>
    <x v="0"/>
    <d v="2022-07-19T00:00:00"/>
    <s v="Loveland"/>
    <s v="Derby Hill"/>
    <x v="5"/>
    <s v="Culex tarsalis"/>
    <n v="61"/>
    <s v="CDC Light Trap"/>
    <s v="LV-087"/>
    <n v="61"/>
    <n v="0"/>
  </r>
  <r>
    <x v="0"/>
    <d v="2022-07-19T00:00:00"/>
    <s v="Loveland"/>
    <s v="Jill Drive Pond"/>
    <x v="5"/>
    <s v="Culex tarsalis"/>
    <n v="25"/>
    <s v="CDC Light Trap"/>
    <s v="LV-114"/>
    <n v="25"/>
    <n v="0"/>
  </r>
  <r>
    <x v="0"/>
    <d v="2022-07-19T00:00:00"/>
    <s v="Loveland"/>
    <s v="End of City Limits North"/>
    <x v="5"/>
    <s v="Culex tarsalis"/>
    <n v="22"/>
    <s v="CDC Light Trap"/>
    <s v="LV-120"/>
    <n v="22"/>
    <n v="0"/>
  </r>
  <r>
    <x v="0"/>
    <d v="2022-07-20T00:00:00"/>
    <s v="Loveland"/>
    <s v="Estrella Park"/>
    <x v="5"/>
    <s v="Culex pipiens"/>
    <n v="2"/>
    <s v="CDC Light Trap"/>
    <s v="LV-014"/>
    <n v="0"/>
    <n v="2"/>
  </r>
  <r>
    <x v="0"/>
    <d v="2022-07-20T00:00:00"/>
    <s v="Loveland"/>
    <s v="Estrella Park"/>
    <x v="5"/>
    <s v="Culex tarsalis"/>
    <n v="15"/>
    <s v="CDC Light Trap"/>
    <s v="LV-014"/>
    <n v="15"/>
    <n v="0"/>
  </r>
  <r>
    <x v="0"/>
    <d v="2022-07-20T00:00:00"/>
    <s v="Loveland"/>
    <s v="Farasita at Rist Benson"/>
    <x v="5"/>
    <s v="Culex tarsalis"/>
    <n v="25"/>
    <s v="CDC Light Trap"/>
    <s v="LV-097"/>
    <n v="25"/>
    <n v="0"/>
  </r>
  <r>
    <x v="0"/>
    <d v="2022-07-20T00:00:00"/>
    <s v="Loveland"/>
    <s v="Farasita at Rist Benson"/>
    <x v="5"/>
    <s v="Culex pipiens"/>
    <n v="18"/>
    <s v="CDC Light Trap"/>
    <s v="LV-097"/>
    <n v="0"/>
    <n v="18"/>
  </r>
  <r>
    <x v="0"/>
    <d v="2022-07-20T00:00:00"/>
    <s v="Loveland"/>
    <s v="Benson Sculpture Park"/>
    <x v="5"/>
    <s v="Culex pipiens"/>
    <n v="3"/>
    <s v="CDC Light Trap"/>
    <s v="LV-098"/>
    <n v="0"/>
    <n v="3"/>
  </r>
  <r>
    <x v="0"/>
    <d v="2022-07-20T00:00:00"/>
    <s v="Loveland"/>
    <s v="Benson Sculpture Park"/>
    <x v="5"/>
    <s v="Culex tarsalis"/>
    <n v="21"/>
    <s v="CDC Light Trap"/>
    <s v="LV-098"/>
    <n v="21"/>
    <n v="0"/>
  </r>
  <r>
    <x v="0"/>
    <d v="2022-07-20T00:00:00"/>
    <s v="Loveland"/>
    <s v="Cattails Golfcourse"/>
    <x v="5"/>
    <s v="Culex tarsalis"/>
    <n v="4"/>
    <s v="CDC Light Trap"/>
    <s v="LV-099"/>
    <n v="4"/>
    <n v="0"/>
  </r>
  <r>
    <x v="0"/>
    <d v="2022-07-20T00:00:00"/>
    <s v="Loveland"/>
    <s v="Glen Isle Ditch"/>
    <x v="5"/>
    <s v="Culex pipiens"/>
    <n v="12"/>
    <s v="CDC Light Trap"/>
    <s v="LV-102"/>
    <n v="0"/>
    <n v="12"/>
  </r>
  <r>
    <x v="0"/>
    <d v="2022-07-20T00:00:00"/>
    <s v="Loveland"/>
    <s v="Glen Isle Ditch"/>
    <x v="5"/>
    <s v="Culex tarsalis"/>
    <n v="76"/>
    <s v="CDC Light Trap"/>
    <s v="LV-102"/>
    <n v="76"/>
    <n v="0"/>
  </r>
  <r>
    <x v="0"/>
    <d v="2022-07-20T00:00:00"/>
    <s v="Loveland"/>
    <s v="West 43rd Railroad"/>
    <x v="5"/>
    <s v="Culex tarsalis"/>
    <n v="14"/>
    <s v="CDC Light Trap"/>
    <s v="LV-105"/>
    <n v="14"/>
    <n v="0"/>
  </r>
  <r>
    <x v="0"/>
    <d v="2022-07-20T00:00:00"/>
    <s v="Loveland"/>
    <s v="West 43rd Railroad"/>
    <x v="5"/>
    <s v="Culex pipiens"/>
    <n v="1"/>
    <s v="CDC Light Trap"/>
    <s v="LV-105"/>
    <n v="0"/>
    <n v="1"/>
  </r>
  <r>
    <x v="0"/>
    <d v="2022-07-20T00:00:00"/>
    <s v="Loveland"/>
    <s v="Bayfield and Windsor"/>
    <x v="5"/>
    <s v="Culex tarsalis"/>
    <n v="5"/>
    <s v="CDC Light Trap"/>
    <s v="LV-121"/>
    <n v="5"/>
    <n v="0"/>
  </r>
  <r>
    <x v="0"/>
    <d v="2022-07-20T00:00:00"/>
    <s v="Loveland"/>
    <s v="Bayfield and Windsor"/>
    <x v="5"/>
    <s v="Culex pipiens"/>
    <n v="1"/>
    <s v="CDC Light Trap"/>
    <s v="LV-121"/>
    <n v="0"/>
    <n v="1"/>
  </r>
  <r>
    <x v="0"/>
    <d v="2022-07-20T00:00:00"/>
    <s v="Loveland"/>
    <s v="Fallgold"/>
    <x v="5"/>
    <s v="Culex pipiens"/>
    <n v="3"/>
    <s v="CDC Light Trap"/>
    <s v="LV-122"/>
    <n v="0"/>
    <n v="3"/>
  </r>
  <r>
    <x v="0"/>
    <d v="2022-07-20T00:00:00"/>
    <s v="Loveland"/>
    <s v="Fallgold"/>
    <x v="5"/>
    <s v="Culex tarsalis"/>
    <n v="12"/>
    <s v="CDC Light Trap"/>
    <s v="LV-122"/>
    <n v="12"/>
    <n v="0"/>
  </r>
  <r>
    <x v="0"/>
    <d v="2022-07-17T00:00:00"/>
    <s v="Timnath"/>
    <s v="Timnath - 5th and Kern"/>
    <x v="6"/>
    <s v="Culex tarsalis"/>
    <n v="50"/>
    <s v="CDC Light Trap"/>
    <s v="LC-010 "/>
    <n v="50"/>
    <n v="0"/>
  </r>
  <r>
    <x v="0"/>
    <d v="2022-07-17T00:00:00"/>
    <s v="Timnath"/>
    <s v="Timnath - Golf Course"/>
    <x v="6"/>
    <s v="Culex tarsalis"/>
    <n v="24"/>
    <s v="CDC Light Trap"/>
    <s v="LC-022 "/>
    <n v="24"/>
    <n v="0"/>
  </r>
  <r>
    <x v="0"/>
    <d v="2022-07-17T00:00:00"/>
    <s v="Timnath"/>
    <s v="Timnath - Summerfields"/>
    <x v="6"/>
    <s v="Culex pipiens"/>
    <n v="2"/>
    <s v="CDC Light Trap"/>
    <s v="LC-048 "/>
    <n v="0"/>
    <n v="2"/>
  </r>
  <r>
    <x v="0"/>
    <d v="2022-07-17T00:00:00"/>
    <s v="Timnath"/>
    <s v="Timnath - Summerfields"/>
    <x v="6"/>
    <s v="Culex tarsalis"/>
    <n v="60"/>
    <s v="CDC Light Trap"/>
    <s v="LC-048 "/>
    <n v="60"/>
    <n v="0"/>
  </r>
  <r>
    <x v="0"/>
    <d v="2022-07-17T00:00:00"/>
    <s v="Timnath"/>
    <s v="Timnath - Wildwing"/>
    <x v="6"/>
    <s v="Culex tarsalis"/>
    <n v="80"/>
    <s v="CDC Light Trap"/>
    <s v="LC-050 "/>
    <n v="80"/>
    <n v="0"/>
  </r>
  <r>
    <x v="0"/>
    <d v="2022-07-17T00:00:00"/>
    <s v="Timnath"/>
    <s v="Timnath - Serratoga Falls"/>
    <x v="6"/>
    <s v="Culex tarsalis"/>
    <n v="42"/>
    <s v="CDC Light Trap"/>
    <s v="LC-051 "/>
    <n v="42"/>
    <n v="0"/>
  </r>
  <r>
    <x v="0"/>
    <d v="2022-07-17T00:00:00"/>
    <s v="Timnath"/>
    <s v="Timnath - Walmart"/>
    <x v="6"/>
    <s v="Culex tarsalis"/>
    <n v="340"/>
    <s v="CDC Light Trap"/>
    <s v="LC-052 "/>
    <n v="340"/>
    <n v="0"/>
  </r>
  <r>
    <x v="0"/>
    <d v="2022-07-18T00:00:00"/>
    <s v="Boulder"/>
    <s v="23rd/_x000a_Meadow"/>
    <x v="7"/>
    <s v="Culex pipiens"/>
    <n v="0"/>
    <s v="CDC Light Trap"/>
    <s v="BO-02"/>
    <n v="0"/>
    <n v="0"/>
  </r>
  <r>
    <x v="0"/>
    <d v="2022-07-18T00:00:00"/>
    <s v="Boulder"/>
    <s v="7th/_x000a_Pennsylvania"/>
    <x v="7"/>
    <s v="Culex pipiens"/>
    <n v="1"/>
    <s v="CDC Light Trap"/>
    <s v="BO-08"/>
    <n v="0"/>
    <n v="1"/>
  </r>
  <r>
    <x v="0"/>
    <d v="2022-07-18T00:00:00"/>
    <s v="Boulder"/>
    <s v="Broadway/_x000a_Alpine"/>
    <x v="7"/>
    <s v="Culex pipiens"/>
    <n v="0"/>
    <s v="CDC Light Trap"/>
    <s v="BO-06"/>
    <n v="0"/>
    <n v="0"/>
  </r>
  <r>
    <x v="0"/>
    <d v="2022-07-18T00:00:00"/>
    <s v="Boulder"/>
    <s v="Broadway/_x000a_Baseline"/>
    <x v="7"/>
    <s v="Culex pipiens"/>
    <n v="0"/>
    <s v="CDC Light Trap"/>
    <s v="BO-05"/>
    <n v="0"/>
    <n v="0"/>
  </r>
  <r>
    <x v="0"/>
    <d v="2022-07-18T00:00:00"/>
    <s v="Boulder"/>
    <s v="Burke Park"/>
    <x v="7"/>
    <s v="Culex pipiens"/>
    <n v="3"/>
    <s v="CDC Light Trap"/>
    <s v="BO-10"/>
    <n v="0"/>
    <n v="3"/>
  </r>
  <r>
    <x v="0"/>
    <d v="2022-07-18T00:00:00"/>
    <s v="Boulder"/>
    <s v="Christensen_x000a_Park"/>
    <x v="7"/>
    <s v="Culex pipiens"/>
    <n v="7"/>
    <s v="CDC Light Trap"/>
    <s v="BO-03"/>
    <n v="0"/>
    <n v="7"/>
  </r>
  <r>
    <x v="0"/>
    <d v="2022-07-18T00:00:00"/>
    <s v="Boulder"/>
    <s v="E. Boulder_x000a_Rec. Center"/>
    <x v="7"/>
    <s v="Culex pipiens"/>
    <n v="4"/>
    <s v="CDC Light Trap"/>
    <s v="BO-13"/>
    <n v="0"/>
    <n v="4"/>
  </r>
  <r>
    <x v="0"/>
    <d v="2022-07-18T00:00:00"/>
    <s v="Boulder"/>
    <s v="Foothills_x000a_Community Park"/>
    <x v="7"/>
    <s v="Culex pipiens"/>
    <n v="8"/>
    <s v="CDC Light Trap"/>
    <s v="BO-01"/>
    <n v="0"/>
    <n v="8"/>
  </r>
  <r>
    <x v="0"/>
    <d v="2022-07-18T00:00:00"/>
    <s v="Boulder"/>
    <s v="Goose_x000a_Creek"/>
    <x v="7"/>
    <s v="Culex pipiens"/>
    <n v="1"/>
    <s v="CDC Light Trap"/>
    <s v="BO-27"/>
    <n v="0"/>
    <n v="1"/>
  </r>
  <r>
    <x v="0"/>
    <d v="2022-07-18T00:00:00"/>
    <s v="Boulder"/>
    <s v="Greenbelt_x000a_Meadows "/>
    <x v="7"/>
    <s v="Culex pipiens"/>
    <n v="35"/>
    <s v="CDC Light Trap"/>
    <s v="BO-14"/>
    <n v="0"/>
    <n v="35"/>
  </r>
  <r>
    <x v="0"/>
    <d v="2022-07-18T00:00:00"/>
    <s v="Boulder"/>
    <s v="Old Tale Rd./_x000a_Gapter "/>
    <x v="7"/>
    <s v="Culex pipiens"/>
    <n v="0"/>
    <s v="CDC Light Trap"/>
    <s v="BO-28"/>
    <n v="0"/>
    <n v="0"/>
  </r>
  <r>
    <x v="0"/>
    <d v="2022-07-18T00:00:00"/>
    <s v="Boulder"/>
    <s v="Papini Natural _x000a_Area Park "/>
    <x v="7"/>
    <s v="Culex pipiens"/>
    <n v="1"/>
    <s v="CDC Light Trap"/>
    <s v="BO-24"/>
    <n v="0"/>
    <n v="1"/>
  </r>
  <r>
    <x v="0"/>
    <d v="2022-07-18T00:00:00"/>
    <s v="Boulder"/>
    <s v="Rolling Rock_x000a_Ranch"/>
    <x v="7"/>
    <s v="Culex pipiens"/>
    <n v="24"/>
    <s v="CDC Light Trap"/>
    <s v="BO-20"/>
    <n v="0"/>
    <n v="24"/>
  </r>
  <r>
    <x v="0"/>
    <d v="2022-07-18T00:00:00"/>
    <s v="Boulder"/>
    <s v="Sawhill_x000a_Ponds "/>
    <x v="7"/>
    <s v="Culex pipiens"/>
    <n v="1"/>
    <s v="CDC Light Trap"/>
    <s v="BO-26"/>
    <n v="0"/>
    <n v="1"/>
  </r>
  <r>
    <x v="0"/>
    <d v="2022-07-18T00:00:00"/>
    <s v="Boulder"/>
    <s v="Sombrero_x000a_Marsh (S)¹"/>
    <x v="7"/>
    <s v="Culex pipiens"/>
    <n v="3"/>
    <s v="CDC Light Trap"/>
    <s v="BO-22"/>
    <n v="0"/>
    <n v="3"/>
  </r>
  <r>
    <x v="0"/>
    <d v="2022-07-18T00:00:00"/>
    <s v="Boulder"/>
    <s v="South Boulder_x000a_Rec. Center"/>
    <x v="7"/>
    <s v="Culex pipiens"/>
    <n v="2"/>
    <s v="CDC Light Trap"/>
    <s v="BO-04"/>
    <n v="0"/>
    <n v="2"/>
  </r>
  <r>
    <x v="0"/>
    <d v="2022-07-18T00:00:00"/>
    <s v="Boulder"/>
    <s v="Stazio_x000a_Ballfields "/>
    <x v="7"/>
    <s v="Culex pipiens"/>
    <n v="0"/>
    <s v="CDC Light Trap"/>
    <s v="BO-11"/>
    <n v="0"/>
    <n v="0"/>
  </r>
  <r>
    <x v="0"/>
    <d v="2022-07-18T00:00:00"/>
    <s v="Boulder"/>
    <s v="Table Mesa/_x000a_Stevens"/>
    <x v="7"/>
    <s v="Culex pipiens"/>
    <n v="1"/>
    <s v="CDC Light Trap"/>
    <s v="BO-07"/>
    <n v="0"/>
    <n v="1"/>
  </r>
  <r>
    <x v="0"/>
    <d v="2022-07-18T00:00:00"/>
    <s v="Boulder"/>
    <s v="Tom Watson_x000a_Park (S)¹"/>
    <x v="7"/>
    <s v="Culex pipiens"/>
    <n v="0"/>
    <s v="CDC Light Trap"/>
    <s v="BO-25"/>
    <n v="0"/>
    <n v="0"/>
  </r>
  <r>
    <x v="0"/>
    <d v="2022-07-18T00:00:00"/>
    <s v="Boulder"/>
    <s v="23rd/_x000a_Meadow"/>
    <x v="7"/>
    <s v="Culex tarsalis"/>
    <n v="14"/>
    <s v="CDC Light Trap"/>
    <s v="BO-02"/>
    <n v="14"/>
    <n v="0"/>
  </r>
  <r>
    <x v="0"/>
    <d v="2022-07-18T00:00:00"/>
    <s v="Boulder"/>
    <s v="7th/_x000a_Pennsylvania"/>
    <x v="7"/>
    <s v="Culex tarsalis"/>
    <n v="1"/>
    <s v="CDC Light Trap"/>
    <s v="BO-08"/>
    <n v="1"/>
    <n v="0"/>
  </r>
  <r>
    <x v="0"/>
    <d v="2022-07-18T00:00:00"/>
    <s v="Boulder"/>
    <s v="Broadway/_x000a_Alpine"/>
    <x v="7"/>
    <s v="Culex tarsalis"/>
    <n v="0"/>
    <s v="CDC Light Trap"/>
    <s v="BO-06"/>
    <n v="0"/>
    <n v="0"/>
  </r>
  <r>
    <x v="0"/>
    <d v="2022-07-18T00:00:00"/>
    <s v="Boulder"/>
    <s v="Broadway/_x000a_Baseline"/>
    <x v="7"/>
    <s v="Culex tarsalis"/>
    <n v="0"/>
    <s v="CDC Light Trap"/>
    <s v="BO-05"/>
    <n v="0"/>
    <n v="0"/>
  </r>
  <r>
    <x v="0"/>
    <d v="2022-07-18T00:00:00"/>
    <s v="Boulder"/>
    <s v="Burke Park"/>
    <x v="7"/>
    <s v="Culex tarsalis"/>
    <n v="35"/>
    <s v="CDC Light Trap"/>
    <s v="BO-10"/>
    <n v="35"/>
    <n v="0"/>
  </r>
  <r>
    <x v="0"/>
    <d v="2022-07-18T00:00:00"/>
    <s v="Boulder"/>
    <s v="Christensen_x000a_Park"/>
    <x v="7"/>
    <s v="Culex tarsalis"/>
    <n v="11"/>
    <s v="CDC Light Trap"/>
    <s v="BO-03"/>
    <n v="11"/>
    <n v="0"/>
  </r>
  <r>
    <x v="0"/>
    <d v="2022-07-18T00:00:00"/>
    <s v="Boulder"/>
    <s v="E. Boulder_x000a_Rec. Center"/>
    <x v="7"/>
    <s v="Culex tarsalis"/>
    <n v="184"/>
    <s v="CDC Light Trap"/>
    <s v="BO-13"/>
    <n v="184"/>
    <n v="0"/>
  </r>
  <r>
    <x v="0"/>
    <d v="2022-07-18T00:00:00"/>
    <s v="Boulder"/>
    <s v="Foothills_x000a_Community Park"/>
    <x v="7"/>
    <s v="Culex tarsalis"/>
    <n v="6"/>
    <s v="CDC Light Trap"/>
    <s v="BO-01"/>
    <n v="6"/>
    <n v="0"/>
  </r>
  <r>
    <x v="0"/>
    <d v="2022-07-18T00:00:00"/>
    <s v="Boulder"/>
    <s v="Goose_x000a_Creek"/>
    <x v="7"/>
    <s v="Culex tarsalis"/>
    <n v="7"/>
    <s v="CDC Light Trap"/>
    <s v="BO-27"/>
    <n v="7"/>
    <n v="0"/>
  </r>
  <r>
    <x v="0"/>
    <d v="2022-07-18T00:00:00"/>
    <s v="Boulder"/>
    <s v="Greenbelt_x000a_Meadows "/>
    <x v="7"/>
    <s v="Culex tarsalis"/>
    <n v="135"/>
    <s v="CDC Light Trap"/>
    <s v="BO-14"/>
    <n v="135"/>
    <n v="0"/>
  </r>
  <r>
    <x v="0"/>
    <d v="2022-07-18T00:00:00"/>
    <s v="Boulder"/>
    <s v="Old Tale Rd./_x000a_Gapter "/>
    <x v="7"/>
    <s v="Culex tarsalis"/>
    <n v="21"/>
    <s v="CDC Light Trap"/>
    <s v="BO-28"/>
    <n v="21"/>
    <n v="0"/>
  </r>
  <r>
    <x v="0"/>
    <d v="2022-07-18T00:00:00"/>
    <s v="Boulder"/>
    <s v="Papini Natural _x000a_Area Park "/>
    <x v="7"/>
    <s v="Culex tarsalis"/>
    <n v="32"/>
    <s v="CDC Light Trap"/>
    <s v="BO-24"/>
    <n v="32"/>
    <n v="0"/>
  </r>
  <r>
    <x v="0"/>
    <d v="2022-07-18T00:00:00"/>
    <s v="Boulder"/>
    <s v="Rolling Rock_x000a_Ranch"/>
    <x v="7"/>
    <s v="Culex tarsalis"/>
    <n v="40"/>
    <s v="CDC Light Trap"/>
    <s v="BO-20"/>
    <n v="40"/>
    <n v="0"/>
  </r>
  <r>
    <x v="0"/>
    <d v="2022-07-18T00:00:00"/>
    <s v="Boulder"/>
    <s v="Sawhill_x000a_Ponds "/>
    <x v="7"/>
    <s v="Culex tarsalis"/>
    <n v="37"/>
    <s v="CDC Light Trap"/>
    <s v="BO-26"/>
    <n v="37"/>
    <n v="0"/>
  </r>
  <r>
    <x v="0"/>
    <d v="2022-07-18T00:00:00"/>
    <s v="Boulder"/>
    <s v="Sombrero_x000a_Marsh (S)¹"/>
    <x v="7"/>
    <s v="Culex tarsalis"/>
    <n v="61"/>
    <s v="CDC Light Trap"/>
    <s v="BO-22"/>
    <n v="61"/>
    <n v="0"/>
  </r>
  <r>
    <x v="0"/>
    <d v="2022-07-18T00:00:00"/>
    <s v="Boulder"/>
    <s v="South Boulder_x000a_Rec. Center"/>
    <x v="7"/>
    <s v="Culex tarsalis"/>
    <n v="13"/>
    <s v="CDC Light Trap"/>
    <s v="BO-04"/>
    <n v="13"/>
    <n v="0"/>
  </r>
  <r>
    <x v="0"/>
    <d v="2022-07-18T00:00:00"/>
    <s v="Boulder"/>
    <s v="Stazio_x000a_Ballfields "/>
    <x v="7"/>
    <s v="Culex tarsalis"/>
    <n v="9"/>
    <s v="CDC Light Trap"/>
    <s v="BO-11"/>
    <n v="9"/>
    <n v="0"/>
  </r>
  <r>
    <x v="0"/>
    <d v="2022-07-18T00:00:00"/>
    <s v="Boulder"/>
    <s v="Table Mesa/_x000a_Stevens"/>
    <x v="7"/>
    <s v="Culex tarsalis"/>
    <n v="7"/>
    <s v="CDC Light Trap"/>
    <s v="BO-07"/>
    <n v="7"/>
    <n v="0"/>
  </r>
  <r>
    <x v="0"/>
    <d v="2022-07-18T00:00:00"/>
    <s v="Boulder"/>
    <s v="Tom Watson_x000a_Park (S)¹"/>
    <x v="7"/>
    <s v="Culex tarsalis"/>
    <n v="21"/>
    <s v="CDC Light Trap"/>
    <s v="BO-25"/>
    <n v="21"/>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n v="2022"/>
    <s v="CSU-17816"/>
    <n v="27422"/>
    <x v="0"/>
    <x v="0"/>
    <s v="LC"/>
    <s v="LV"/>
    <s v="LV-069"/>
    <x v="0"/>
    <s v="L"/>
    <s v="Cx."/>
    <x v="0"/>
    <s v="F"/>
    <m/>
    <n v="50"/>
    <n v="50"/>
    <n v="0"/>
    <s v="Negative"/>
  </r>
  <r>
    <n v="2022"/>
    <s v="CSU-17817"/>
    <n v="27423"/>
    <x v="0"/>
    <x v="0"/>
    <s v="LC"/>
    <s v="LV"/>
    <s v="LV-069"/>
    <x v="0"/>
    <s v="L"/>
    <s v="Cx."/>
    <x v="0"/>
    <s v="F"/>
    <m/>
    <n v="50"/>
    <n v="50"/>
    <n v="0"/>
    <s v="Negative"/>
  </r>
  <r>
    <n v="2022"/>
    <s v="CSU-17818"/>
    <n v="27424"/>
    <x v="0"/>
    <x v="0"/>
    <s v="LC"/>
    <s v="LV"/>
    <s v="LV-069"/>
    <x v="0"/>
    <s v="L"/>
    <s v="Cx."/>
    <x v="0"/>
    <s v="F"/>
    <m/>
    <n v="7"/>
    <n v="7"/>
    <n v="0"/>
    <s v="Negative"/>
  </r>
  <r>
    <n v="2022"/>
    <s v="CSU-17819"/>
    <n v="27425"/>
    <x v="0"/>
    <x v="0"/>
    <s v="LC"/>
    <s v="LV"/>
    <s v="LV-069"/>
    <x v="0"/>
    <s v="L"/>
    <s v="Cx."/>
    <x v="1"/>
    <s v="F"/>
    <m/>
    <n v="5"/>
    <n v="5"/>
    <n v="0"/>
    <s v="Negative"/>
  </r>
  <r>
    <n v="2022"/>
    <s v="CSU-17820"/>
    <n v="27426"/>
    <x v="0"/>
    <x v="0"/>
    <s v="LC"/>
    <s v="FC"/>
    <s v="FC-040gr"/>
    <x v="1"/>
    <s v="G"/>
    <s v="Cx."/>
    <x v="1"/>
    <s v="F"/>
    <n v="39"/>
    <m/>
    <n v="39"/>
    <n v="0"/>
    <s v="Negative"/>
  </r>
  <r>
    <n v="2022"/>
    <s v="CSU-17821"/>
    <n v="27427"/>
    <x v="0"/>
    <x v="0"/>
    <s v="LC"/>
    <s v="FC"/>
    <s v="FC-092gr"/>
    <x v="1"/>
    <s v="G"/>
    <s v="Cx."/>
    <x v="1"/>
    <s v="F"/>
    <n v="16"/>
    <m/>
    <n v="16"/>
    <n v="0"/>
    <s v="Negative"/>
  </r>
  <r>
    <n v="2022"/>
    <s v="CSU-17822"/>
    <n v="27428"/>
    <x v="0"/>
    <x v="0"/>
    <s v="LC"/>
    <s v="LV"/>
    <s v="LV-095"/>
    <x v="0"/>
    <s v="L"/>
    <s v="Cx."/>
    <x v="0"/>
    <s v="F"/>
    <m/>
    <n v="50"/>
    <n v="50"/>
    <n v="0"/>
    <s v="Negative"/>
  </r>
  <r>
    <n v="2022"/>
    <s v="CSU-17823"/>
    <n v="27429"/>
    <x v="0"/>
    <x v="0"/>
    <s v="LC"/>
    <s v="FC"/>
    <s v="FC-091gr"/>
    <x v="1"/>
    <s v="G"/>
    <s v="Cx."/>
    <x v="1"/>
    <s v="F"/>
    <n v="50"/>
    <m/>
    <n v="50"/>
    <n v="0"/>
    <s v="Negative"/>
  </r>
  <r>
    <n v="2022"/>
    <s v="CSU-17824"/>
    <n v="27430"/>
    <x v="0"/>
    <x v="0"/>
    <s v="LC"/>
    <s v="FC"/>
    <s v="FC-091gr"/>
    <x v="1"/>
    <s v="G"/>
    <s v="Cx."/>
    <x v="1"/>
    <s v="F"/>
    <n v="5"/>
    <m/>
    <n v="5"/>
    <n v="0"/>
    <s v="Negative"/>
  </r>
  <r>
    <n v="2022"/>
    <s v="CSU-17825"/>
    <n v="27431"/>
    <x v="0"/>
    <x v="0"/>
    <s v="LC"/>
    <s v="FC"/>
    <s v="FC-066gr"/>
    <x v="1"/>
    <s v="G"/>
    <s v="Cx."/>
    <x v="1"/>
    <s v="F"/>
    <n v="31"/>
    <m/>
    <n v="31"/>
    <n v="0"/>
    <s v="Negative"/>
  </r>
  <r>
    <n v="2022"/>
    <s v="CSU-17826"/>
    <n v="27432"/>
    <x v="0"/>
    <x v="0"/>
    <s v="LC"/>
    <s v="FC"/>
    <s v="FC-006"/>
    <x v="1"/>
    <s v="L"/>
    <s v="Cx."/>
    <x v="0"/>
    <s v="F"/>
    <m/>
    <n v="50"/>
    <n v="50"/>
    <n v="0"/>
    <s v="Negative"/>
  </r>
  <r>
    <n v="2022"/>
    <s v="CSU-17827"/>
    <n v="27433"/>
    <x v="0"/>
    <x v="0"/>
    <s v="LC"/>
    <s v="FC"/>
    <s v="FC-006"/>
    <x v="1"/>
    <s v="L"/>
    <s v="Cx."/>
    <x v="0"/>
    <s v="F"/>
    <m/>
    <n v="7"/>
    <n v="7"/>
    <n v="0"/>
    <s v="Negative"/>
  </r>
  <r>
    <n v="2022"/>
    <s v="CSU-17828"/>
    <n v="27434"/>
    <x v="0"/>
    <x v="0"/>
    <s v="LC"/>
    <s v="FC"/>
    <s v="FC-038"/>
    <x v="1"/>
    <s v="L"/>
    <s v="Cx."/>
    <x v="0"/>
    <s v="F"/>
    <m/>
    <n v="50"/>
    <n v="50"/>
    <n v="0"/>
    <s v="Negative"/>
  </r>
  <r>
    <n v="2022"/>
    <s v="CSU-17829"/>
    <n v="27435"/>
    <x v="0"/>
    <x v="0"/>
    <s v="LC"/>
    <s v="FC"/>
    <s v="FC-038"/>
    <x v="1"/>
    <s v="L"/>
    <s v="Cx."/>
    <x v="0"/>
    <s v="F"/>
    <m/>
    <n v="10"/>
    <n v="10"/>
    <n v="0"/>
    <s v="Negative"/>
  </r>
  <r>
    <n v="2022"/>
    <s v="CSU-17830"/>
    <n v="27436"/>
    <x v="0"/>
    <x v="0"/>
    <s v="LC"/>
    <s v="FC"/>
    <s v="FC-038"/>
    <x v="1"/>
    <s v="L"/>
    <s v="Cx."/>
    <x v="1"/>
    <s v="F"/>
    <m/>
    <n v="1"/>
    <n v="1"/>
    <n v="0"/>
    <s v="Negative"/>
  </r>
  <r>
    <n v="2022"/>
    <s v="CSU-17831"/>
    <n v="27437"/>
    <x v="0"/>
    <x v="0"/>
    <s v="LC"/>
    <s v="FC"/>
    <s v="FC-069"/>
    <x v="1"/>
    <s v="L"/>
    <s v="Cx."/>
    <x v="0"/>
    <s v="F"/>
    <m/>
    <n v="50"/>
    <n v="50"/>
    <n v="0"/>
    <s v="Negative"/>
  </r>
  <r>
    <n v="2022"/>
    <s v="CSU-17832"/>
    <n v="27438"/>
    <x v="0"/>
    <x v="0"/>
    <s v="LC"/>
    <s v="FC"/>
    <s v="FC-069"/>
    <x v="1"/>
    <s v="L"/>
    <s v="Cx."/>
    <x v="0"/>
    <s v="F"/>
    <m/>
    <n v="45"/>
    <n v="45"/>
    <n v="0"/>
    <s v="Negative"/>
  </r>
  <r>
    <n v="2022"/>
    <s v="CSU-17833"/>
    <n v="27439"/>
    <x v="0"/>
    <x v="0"/>
    <s v="LC"/>
    <s v="FC"/>
    <s v="FC-069"/>
    <x v="1"/>
    <s v="L"/>
    <s v="Cx."/>
    <x v="1"/>
    <s v="F"/>
    <m/>
    <n v="4"/>
    <n v="4"/>
    <n v="0"/>
    <s v="Negative"/>
  </r>
  <r>
    <n v="2022"/>
    <s v="CSU-17834"/>
    <n v="27440"/>
    <x v="0"/>
    <x v="0"/>
    <s v="LC"/>
    <s v="FC"/>
    <s v="FC-034"/>
    <x v="1"/>
    <s v="L"/>
    <s v="Cx."/>
    <x v="0"/>
    <s v="F"/>
    <m/>
    <n v="50"/>
    <n v="50"/>
    <n v="0"/>
    <s v="Negative"/>
  </r>
  <r>
    <n v="2022"/>
    <s v="CSU-17835"/>
    <n v="27441"/>
    <x v="0"/>
    <x v="0"/>
    <s v="LC"/>
    <s v="FC"/>
    <s v="FC-034"/>
    <x v="1"/>
    <s v="L"/>
    <s v="Cx."/>
    <x v="0"/>
    <s v="F"/>
    <m/>
    <n v="50"/>
    <n v="50"/>
    <n v="0"/>
    <s v="Negative"/>
  </r>
  <r>
    <n v="2022"/>
    <s v="CSU-17836"/>
    <n v="27442"/>
    <x v="0"/>
    <x v="0"/>
    <s v="LC"/>
    <s v="FC"/>
    <s v="FC-034"/>
    <x v="1"/>
    <s v="L"/>
    <s v="Cx."/>
    <x v="0"/>
    <s v="F"/>
    <m/>
    <n v="50"/>
    <n v="50"/>
    <n v="0"/>
    <s v="Negative"/>
  </r>
  <r>
    <n v="2022"/>
    <s v="CSU-17837"/>
    <n v="27443"/>
    <x v="0"/>
    <x v="0"/>
    <s v="LC"/>
    <s v="FC"/>
    <s v="FC-034"/>
    <x v="1"/>
    <s v="L"/>
    <s v="Cx."/>
    <x v="0"/>
    <s v="F"/>
    <m/>
    <n v="50"/>
    <n v="50"/>
    <n v="0"/>
    <s v="Negative"/>
  </r>
  <r>
    <n v="2022"/>
    <s v="CSU-17838"/>
    <n v="27444"/>
    <x v="0"/>
    <x v="0"/>
    <s v="LC"/>
    <s v="FC"/>
    <s v="FC-034"/>
    <x v="1"/>
    <s v="L"/>
    <s v="Cx."/>
    <x v="0"/>
    <s v="F"/>
    <m/>
    <n v="50"/>
    <n v="50"/>
    <n v="0"/>
    <s v="Negative"/>
  </r>
  <r>
    <n v="2022"/>
    <s v="CSU-17839"/>
    <n v="27445"/>
    <x v="0"/>
    <x v="0"/>
    <s v="LC"/>
    <s v="FC"/>
    <s v="FC-034"/>
    <x v="1"/>
    <s v="L"/>
    <s v="Cx."/>
    <x v="0"/>
    <s v="F"/>
    <m/>
    <n v="40"/>
    <n v="40"/>
    <n v="0"/>
    <s v="Negative"/>
  </r>
  <r>
    <n v="2022"/>
    <s v="CSU-17840"/>
    <n v="27446"/>
    <x v="0"/>
    <x v="0"/>
    <s v="LC"/>
    <s v="FC"/>
    <s v="FC-072"/>
    <x v="1"/>
    <s v="L"/>
    <s v="Cx."/>
    <x v="0"/>
    <s v="F"/>
    <m/>
    <n v="50"/>
    <n v="50"/>
    <n v="0"/>
    <s v="Negative"/>
  </r>
  <r>
    <n v="2022"/>
    <s v="CSU-17841"/>
    <n v="27447"/>
    <x v="0"/>
    <x v="0"/>
    <s v="LC"/>
    <s v="FC"/>
    <s v="FC-072"/>
    <x v="1"/>
    <s v="L"/>
    <s v="Cx."/>
    <x v="0"/>
    <s v="F"/>
    <m/>
    <n v="50"/>
    <n v="50"/>
    <n v="0"/>
    <s v="Negative"/>
  </r>
  <r>
    <n v="2022"/>
    <s v="CSU-17842"/>
    <n v="27448"/>
    <x v="0"/>
    <x v="0"/>
    <s v="LC"/>
    <s v="FC"/>
    <s v="FC-072"/>
    <x v="1"/>
    <s v="L"/>
    <s v="Cx."/>
    <x v="0"/>
    <s v="F"/>
    <m/>
    <n v="46"/>
    <n v="46"/>
    <n v="0"/>
    <s v="Negative"/>
  </r>
  <r>
    <n v="2022"/>
    <s v="CSU-17843"/>
    <n v="27449"/>
    <x v="0"/>
    <x v="0"/>
    <s v="LC"/>
    <s v="FC"/>
    <s v="FC-072"/>
    <x v="1"/>
    <s v="L"/>
    <s v="Cx."/>
    <x v="1"/>
    <s v="F"/>
    <m/>
    <n v="2"/>
    <n v="2"/>
    <n v="0"/>
    <s v="Negative"/>
  </r>
  <r>
    <n v="2022"/>
    <s v="CSU-17844"/>
    <n v="27450"/>
    <x v="0"/>
    <x v="0"/>
    <s v="LC"/>
    <s v="FC"/>
    <s v="FC-036"/>
    <x v="2"/>
    <s v="L"/>
    <s v="Cx."/>
    <x v="0"/>
    <s v="F"/>
    <m/>
    <n v="11"/>
    <n v="11"/>
    <n v="0"/>
    <s v="Negative"/>
  </r>
  <r>
    <n v="2022"/>
    <s v="CSU-17845"/>
    <n v="27451"/>
    <x v="0"/>
    <x v="0"/>
    <s v="LC"/>
    <s v="FC"/>
    <s v="FC-067"/>
    <x v="1"/>
    <s v="L"/>
    <s v="Cx."/>
    <x v="0"/>
    <s v="F"/>
    <m/>
    <n v="50"/>
    <n v="50"/>
    <n v="0"/>
    <s v="Negative"/>
  </r>
  <r>
    <n v="2022"/>
    <s v="CSU-17846"/>
    <n v="27452"/>
    <x v="0"/>
    <x v="0"/>
    <s v="LC"/>
    <s v="FC"/>
    <s v="FC-067"/>
    <x v="1"/>
    <s v="L"/>
    <s v="Cx."/>
    <x v="0"/>
    <s v="F"/>
    <m/>
    <n v="50"/>
    <n v="50"/>
    <n v="0"/>
    <s v="Negative"/>
  </r>
  <r>
    <n v="2022"/>
    <s v="CSU-17847"/>
    <n v="27453"/>
    <x v="0"/>
    <x v="0"/>
    <s v="LC"/>
    <s v="FC"/>
    <s v="FC-067"/>
    <x v="1"/>
    <s v="L"/>
    <s v="Cx."/>
    <x v="0"/>
    <s v="F"/>
    <m/>
    <n v="50"/>
    <n v="50"/>
    <n v="0"/>
    <s v="Negative"/>
  </r>
  <r>
    <n v="2022"/>
    <s v="CSU-17848"/>
    <n v="27454"/>
    <x v="0"/>
    <x v="0"/>
    <s v="LC"/>
    <s v="FC"/>
    <s v="FC-067"/>
    <x v="1"/>
    <s v="L"/>
    <s v="Cx."/>
    <x v="0"/>
    <s v="F"/>
    <m/>
    <n v="28"/>
    <n v="28"/>
    <n v="0"/>
    <s v="Negative"/>
  </r>
  <r>
    <n v="2022"/>
    <s v="CSU-17849"/>
    <n v="27455"/>
    <x v="0"/>
    <x v="0"/>
    <s v="LC"/>
    <s v="FC"/>
    <s v="FC-067"/>
    <x v="1"/>
    <s v="L"/>
    <s v="Cx."/>
    <x v="1"/>
    <s v="F"/>
    <m/>
    <n v="13"/>
    <n v="13"/>
    <n v="0"/>
    <s v="Negative"/>
  </r>
  <r>
    <n v="2022"/>
    <s v="CSU-17850"/>
    <n v="27456"/>
    <x v="0"/>
    <x v="0"/>
    <s v="LC"/>
    <s v="FC"/>
    <s v="FC-019"/>
    <x v="1"/>
    <s v="L"/>
    <s v="Cx."/>
    <x v="0"/>
    <s v="F"/>
    <m/>
    <n v="50"/>
    <n v="50"/>
    <n v="0"/>
    <s v="Negative"/>
  </r>
  <r>
    <n v="2022"/>
    <s v="CSU-17851"/>
    <n v="27457"/>
    <x v="0"/>
    <x v="0"/>
    <s v="LC"/>
    <s v="FC"/>
    <s v="FC-019"/>
    <x v="1"/>
    <s v="L"/>
    <s v="Cx."/>
    <x v="0"/>
    <s v="F"/>
    <m/>
    <n v="50"/>
    <n v="50"/>
    <n v="0"/>
    <s v="Negative"/>
  </r>
  <r>
    <n v="2022"/>
    <s v="CSU-17852"/>
    <n v="27458"/>
    <x v="0"/>
    <x v="0"/>
    <s v="LC"/>
    <s v="FC"/>
    <s v="FC-019"/>
    <x v="1"/>
    <s v="L"/>
    <s v="Cx."/>
    <x v="0"/>
    <s v="F"/>
    <m/>
    <n v="15"/>
    <n v="15"/>
    <n v="0"/>
    <s v="Negative"/>
  </r>
  <r>
    <n v="2022"/>
    <s v="CSU-17853"/>
    <n v="27459"/>
    <x v="0"/>
    <x v="0"/>
    <s v="LC"/>
    <s v="FC"/>
    <s v="FC-019"/>
    <x v="1"/>
    <s v="L"/>
    <s v="Cx."/>
    <x v="1"/>
    <s v="F"/>
    <m/>
    <n v="8"/>
    <n v="8"/>
    <n v="0"/>
    <s v="Negative"/>
  </r>
  <r>
    <n v="2022"/>
    <s v="CSU-17854"/>
    <n v="27460"/>
    <x v="0"/>
    <x v="0"/>
    <s v="LC"/>
    <s v="FC"/>
    <s v="FC-066"/>
    <x v="1"/>
    <s v="L"/>
    <s v="Cx."/>
    <x v="0"/>
    <s v="F"/>
    <m/>
    <n v="50"/>
    <n v="50"/>
    <n v="0"/>
    <s v="Negative"/>
  </r>
  <r>
    <n v="2022"/>
    <s v="CSU-17855"/>
    <n v="27461"/>
    <x v="0"/>
    <x v="0"/>
    <s v="LC"/>
    <s v="FC"/>
    <s v="FC-066"/>
    <x v="1"/>
    <s v="L"/>
    <s v="Cx."/>
    <x v="0"/>
    <s v="F"/>
    <m/>
    <n v="50"/>
    <n v="50"/>
    <n v="0"/>
    <s v="Negative"/>
  </r>
  <r>
    <n v="2022"/>
    <s v="CSU-17856"/>
    <n v="27462"/>
    <x v="0"/>
    <x v="0"/>
    <s v="LC"/>
    <s v="FC"/>
    <s v="FC-066"/>
    <x v="1"/>
    <s v="L"/>
    <s v="Cx."/>
    <x v="0"/>
    <s v="F"/>
    <m/>
    <n v="50"/>
    <n v="50"/>
    <n v="0"/>
    <s v="Negative"/>
  </r>
  <r>
    <n v="2022"/>
    <s v="CSU-17857"/>
    <n v="27463"/>
    <x v="0"/>
    <x v="0"/>
    <s v="LC"/>
    <s v="FC"/>
    <s v="FC-066"/>
    <x v="1"/>
    <s v="L"/>
    <s v="Cx."/>
    <x v="0"/>
    <s v="F"/>
    <m/>
    <n v="50"/>
    <n v="50"/>
    <n v="0"/>
    <s v="Negative"/>
  </r>
  <r>
    <n v="2022"/>
    <s v="CSU-17858"/>
    <n v="27464"/>
    <x v="0"/>
    <x v="0"/>
    <s v="LC"/>
    <s v="FC"/>
    <s v="FC-066"/>
    <x v="1"/>
    <s v="L"/>
    <s v="Cx."/>
    <x v="0"/>
    <s v="F"/>
    <m/>
    <n v="6"/>
    <n v="6"/>
    <n v="0"/>
    <s v="Negative"/>
  </r>
  <r>
    <n v="2022"/>
    <s v="CSU-17859"/>
    <n v="27465"/>
    <x v="0"/>
    <x v="0"/>
    <s v="LC"/>
    <s v="FC"/>
    <s v="FC-066"/>
    <x v="1"/>
    <s v="L"/>
    <s v="Cx."/>
    <x v="1"/>
    <s v="F"/>
    <m/>
    <n v="50"/>
    <n v="50"/>
    <n v="0"/>
    <s v="Negative"/>
  </r>
  <r>
    <n v="2022"/>
    <s v="CSU-17860"/>
    <n v="27466"/>
    <x v="0"/>
    <x v="0"/>
    <s v="LC"/>
    <s v="FC"/>
    <s v="FC-066"/>
    <x v="1"/>
    <s v="L"/>
    <s v="Cx."/>
    <x v="1"/>
    <s v="F"/>
    <m/>
    <n v="50"/>
    <n v="50"/>
    <n v="0"/>
    <s v="Negative"/>
  </r>
  <r>
    <n v="2022"/>
    <s v="CSU-17861"/>
    <n v="27467"/>
    <x v="0"/>
    <x v="0"/>
    <s v="LC"/>
    <s v="FC"/>
    <s v="FC-066"/>
    <x v="1"/>
    <s v="L"/>
    <s v="Cx."/>
    <x v="1"/>
    <s v="F"/>
    <m/>
    <n v="50"/>
    <n v="50"/>
    <n v="0"/>
    <s v="Negative"/>
  </r>
  <r>
    <n v="2022"/>
    <s v="CSU-17862"/>
    <n v="27468"/>
    <x v="0"/>
    <x v="0"/>
    <s v="LC"/>
    <s v="FC"/>
    <s v="FC-066"/>
    <x v="1"/>
    <s v="L"/>
    <s v="Cx."/>
    <x v="1"/>
    <s v="F"/>
    <m/>
    <n v="50"/>
    <n v="50"/>
    <n v="0"/>
    <s v="Negative"/>
  </r>
  <r>
    <n v="2022"/>
    <s v="CSU-17863"/>
    <n v="27469"/>
    <x v="0"/>
    <x v="0"/>
    <s v="LC"/>
    <s v="FC"/>
    <s v="FC-066"/>
    <x v="1"/>
    <s v="L"/>
    <s v="Cx."/>
    <x v="1"/>
    <s v="F"/>
    <m/>
    <n v="10"/>
    <n v="10"/>
    <n v="0"/>
    <s v="Negative"/>
  </r>
  <r>
    <n v="2022"/>
    <s v="CSU-17864"/>
    <n v="27470"/>
    <x v="0"/>
    <x v="0"/>
    <s v="LC"/>
    <s v="FC"/>
    <s v="FC-040"/>
    <x v="1"/>
    <s v="L"/>
    <s v="Cx."/>
    <x v="1"/>
    <s v="F"/>
    <m/>
    <n v="21"/>
    <n v="21"/>
    <n v="0"/>
    <s v="Negative"/>
  </r>
  <r>
    <n v="2022"/>
    <s v="CSU-17865"/>
    <n v="27471"/>
    <x v="0"/>
    <x v="0"/>
    <s v="LC"/>
    <s v="FC"/>
    <s v="FC-040"/>
    <x v="1"/>
    <s v="L"/>
    <s v="Cx."/>
    <x v="0"/>
    <s v="F"/>
    <m/>
    <n v="50"/>
    <n v="50"/>
    <n v="0"/>
    <s v="Negative"/>
  </r>
  <r>
    <n v="2022"/>
    <s v="CSU-17866"/>
    <n v="27472"/>
    <x v="0"/>
    <x v="0"/>
    <s v="LC"/>
    <s v="FC"/>
    <s v="FC-040"/>
    <x v="1"/>
    <s v="L"/>
    <s v="Cx."/>
    <x v="0"/>
    <s v="F"/>
    <m/>
    <n v="17"/>
    <n v="17"/>
    <n v="0"/>
    <s v="Negative"/>
  </r>
  <r>
    <n v="2022"/>
    <s v="CSU-17867"/>
    <n v="27473"/>
    <x v="0"/>
    <x v="0"/>
    <s v="LC"/>
    <s v="FC"/>
    <s v="FC-014"/>
    <x v="1"/>
    <s v="L"/>
    <s v="Cx."/>
    <x v="0"/>
    <s v="F"/>
    <m/>
    <n v="50"/>
    <n v="50"/>
    <n v="0"/>
    <s v="Negative"/>
  </r>
  <r>
    <n v="2022"/>
    <s v="CSU-17868"/>
    <n v="27474"/>
    <x v="0"/>
    <x v="0"/>
    <s v="LC"/>
    <s v="FC"/>
    <s v="FC-014"/>
    <x v="1"/>
    <s v="L"/>
    <s v="Cx."/>
    <x v="0"/>
    <s v="F"/>
    <m/>
    <n v="50"/>
    <n v="50"/>
    <n v="0"/>
    <s v="Negative"/>
  </r>
  <r>
    <n v="2022"/>
    <s v="CSU-17869"/>
    <n v="27475"/>
    <x v="0"/>
    <x v="0"/>
    <s v="LC"/>
    <s v="FC"/>
    <s v="FC-014"/>
    <x v="1"/>
    <s v="L"/>
    <s v="Cx."/>
    <x v="0"/>
    <s v="F"/>
    <m/>
    <n v="50"/>
    <n v="50"/>
    <n v="0"/>
    <s v="Negative"/>
  </r>
  <r>
    <n v="2022"/>
    <s v="CSU-17870"/>
    <n v="27476"/>
    <x v="0"/>
    <x v="0"/>
    <s v="LC"/>
    <s v="FC"/>
    <s v="FC-014"/>
    <x v="1"/>
    <s v="L"/>
    <s v="Cx."/>
    <x v="1"/>
    <s v="F"/>
    <m/>
    <n v="50"/>
    <n v="50"/>
    <n v="0"/>
    <s v="Negative"/>
  </r>
  <r>
    <n v="2022"/>
    <s v="CSU-17871"/>
    <n v="27477"/>
    <x v="0"/>
    <x v="0"/>
    <s v="LC"/>
    <s v="FC"/>
    <s v="FC-014"/>
    <x v="1"/>
    <s v="L"/>
    <s v="Cx."/>
    <x v="1"/>
    <s v="F"/>
    <m/>
    <n v="50"/>
    <n v="50"/>
    <n v="0"/>
    <s v="Negative"/>
  </r>
  <r>
    <n v="2022"/>
    <s v="CSU-17872"/>
    <n v="27478"/>
    <x v="0"/>
    <x v="0"/>
    <s v="LC"/>
    <s v="FC"/>
    <s v="FC-014"/>
    <x v="1"/>
    <s v="L"/>
    <s v="Cx."/>
    <x v="1"/>
    <s v="F"/>
    <m/>
    <n v="30"/>
    <n v="30"/>
    <n v="0"/>
    <s v="Negative"/>
  </r>
  <r>
    <n v="2022"/>
    <s v="CSU-17873"/>
    <n v="27479"/>
    <x v="0"/>
    <x v="1"/>
    <s v="LC"/>
    <s v="LV"/>
    <s v="LV-104"/>
    <x v="0"/>
    <s v="L"/>
    <s v="Cx."/>
    <x v="0"/>
    <s v="F"/>
    <m/>
    <n v="16"/>
    <n v="16"/>
    <n v="0"/>
    <s v="Negative"/>
  </r>
  <r>
    <n v="2022"/>
    <s v="CSU-17874"/>
    <n v="27480"/>
    <x v="0"/>
    <x v="1"/>
    <s v="LC"/>
    <s v="LV"/>
    <s v="LV-104"/>
    <x v="0"/>
    <s v="L"/>
    <s v="Cx."/>
    <x v="1"/>
    <s v="F"/>
    <m/>
    <n v="5"/>
    <n v="5"/>
    <n v="0"/>
    <s v="Negative"/>
  </r>
  <r>
    <n v="2022"/>
    <s v="CSU-17875"/>
    <n v="27481"/>
    <x v="0"/>
    <x v="1"/>
    <s v="LC"/>
    <s v="LV"/>
    <s v="LV-089"/>
    <x v="0"/>
    <s v="L"/>
    <s v="Cx."/>
    <x v="0"/>
    <s v="F"/>
    <m/>
    <n v="50"/>
    <n v="50"/>
    <n v="1"/>
    <s v="Positive"/>
  </r>
  <r>
    <n v="2022"/>
    <s v="CSU-17876"/>
    <n v="27482"/>
    <x v="0"/>
    <x v="1"/>
    <s v="LC"/>
    <s v="LV"/>
    <s v="LV-089"/>
    <x v="0"/>
    <s v="L"/>
    <s v="Cx."/>
    <x v="0"/>
    <s v="F"/>
    <m/>
    <n v="50"/>
    <n v="50"/>
    <n v="0"/>
    <s v="Negative"/>
  </r>
  <r>
    <n v="2022"/>
    <s v="CSU-17877"/>
    <n v="27483"/>
    <x v="0"/>
    <x v="1"/>
    <s v="LC"/>
    <s v="LV"/>
    <s v="LV-089"/>
    <x v="0"/>
    <s v="L"/>
    <s v="Cx."/>
    <x v="0"/>
    <s v="F"/>
    <m/>
    <n v="50"/>
    <n v="50"/>
    <n v="0"/>
    <s v="Negative"/>
  </r>
  <r>
    <n v="2022"/>
    <s v="CSU-17878"/>
    <n v="27484"/>
    <x v="0"/>
    <x v="1"/>
    <s v="LC"/>
    <s v="LV"/>
    <s v="LV-089"/>
    <x v="0"/>
    <s v="L"/>
    <s v="Cx."/>
    <x v="0"/>
    <s v="F"/>
    <m/>
    <n v="50"/>
    <n v="50"/>
    <n v="0"/>
    <s v="Negative"/>
  </r>
  <r>
    <n v="2022"/>
    <s v="CSU-17879"/>
    <n v="27485"/>
    <x v="0"/>
    <x v="1"/>
    <s v="LC"/>
    <s v="LV"/>
    <s v="LV-089"/>
    <x v="0"/>
    <s v="L"/>
    <s v="Cx."/>
    <x v="0"/>
    <s v="F"/>
    <m/>
    <n v="50"/>
    <n v="50"/>
    <n v="0"/>
    <s v="Negative"/>
  </r>
  <r>
    <n v="2022"/>
    <s v="CSU-17880"/>
    <n v="27486"/>
    <x v="0"/>
    <x v="1"/>
    <s v="LC"/>
    <s v="LV"/>
    <s v="LV-089"/>
    <x v="0"/>
    <s v="L"/>
    <s v="Cx."/>
    <x v="0"/>
    <s v="F"/>
    <m/>
    <n v="50"/>
    <n v="50"/>
    <n v="0"/>
    <s v="Negative"/>
  </r>
  <r>
    <n v="2022"/>
    <s v="CSU-17881"/>
    <n v="27487"/>
    <x v="0"/>
    <x v="1"/>
    <s v="LC"/>
    <s v="LV"/>
    <s v="LV-089"/>
    <x v="0"/>
    <s v="L"/>
    <s v="Cx."/>
    <x v="0"/>
    <s v="F"/>
    <m/>
    <n v="35"/>
    <n v="35"/>
    <n v="0"/>
    <s v="Negative"/>
  </r>
  <r>
    <n v="2022"/>
    <s v="CSU-17882"/>
    <n v="27488"/>
    <x v="0"/>
    <x v="1"/>
    <s v="LC"/>
    <s v="LV"/>
    <s v="LV-089"/>
    <x v="0"/>
    <s v="L"/>
    <s v="Cx."/>
    <x v="1"/>
    <s v="F"/>
    <m/>
    <n v="23"/>
    <n v="23"/>
    <n v="0"/>
    <s v="Negative"/>
  </r>
  <r>
    <n v="2022"/>
    <s v="CSU-17883"/>
    <n v="27489"/>
    <x v="0"/>
    <x v="1"/>
    <s v="LC"/>
    <s v="LV"/>
    <s v="LV-110"/>
    <x v="0"/>
    <s v="L"/>
    <s v="Cx."/>
    <x v="0"/>
    <s v="F"/>
    <m/>
    <n v="49"/>
    <n v="49"/>
    <n v="0"/>
    <s v="Negative"/>
  </r>
  <r>
    <n v="2022"/>
    <s v="CSU-17884"/>
    <n v="27490"/>
    <x v="0"/>
    <x v="1"/>
    <s v="LC"/>
    <s v="FC"/>
    <s v="FC-064"/>
    <x v="3"/>
    <s v="L"/>
    <s v="Cx."/>
    <x v="0"/>
    <s v="F"/>
    <m/>
    <n v="50"/>
    <n v="50"/>
    <n v="1"/>
    <s v="Positive"/>
  </r>
  <r>
    <n v="2022"/>
    <s v="CSU-17885"/>
    <n v="27491"/>
    <x v="0"/>
    <x v="1"/>
    <s v="LC"/>
    <s v="FC"/>
    <s v="FC-064"/>
    <x v="3"/>
    <s v="L"/>
    <s v="Cx."/>
    <x v="0"/>
    <s v="F"/>
    <m/>
    <n v="33"/>
    <n v="33"/>
    <n v="0"/>
    <s v="Negative"/>
  </r>
  <r>
    <n v="2022"/>
    <s v="CSU-17886"/>
    <n v="27492"/>
    <x v="0"/>
    <x v="1"/>
    <s v="LC"/>
    <s v="FC"/>
    <s v="FC-064"/>
    <x v="3"/>
    <s v="L"/>
    <s v="Cx."/>
    <x v="1"/>
    <s v="F"/>
    <m/>
    <n v="2"/>
    <n v="2"/>
    <n v="0"/>
    <s v="Negative"/>
  </r>
  <r>
    <n v="2022"/>
    <s v="CSU-17887"/>
    <n v="27493"/>
    <x v="0"/>
    <x v="1"/>
    <s v="LC"/>
    <s v="FC"/>
    <s v="FC-053"/>
    <x v="3"/>
    <s v="L"/>
    <s v="Cx."/>
    <x v="0"/>
    <s v="F"/>
    <m/>
    <n v="50"/>
    <n v="50"/>
    <n v="1"/>
    <s v="Positive"/>
  </r>
  <r>
    <n v="2022"/>
    <s v="CSU-17888"/>
    <n v="27494"/>
    <x v="0"/>
    <x v="1"/>
    <s v="LC"/>
    <s v="FC"/>
    <s v="FC-053"/>
    <x v="3"/>
    <s v="L"/>
    <s v="Cx."/>
    <x v="0"/>
    <s v="F"/>
    <m/>
    <n v="50"/>
    <n v="50"/>
    <n v="0"/>
    <s v="Negative"/>
  </r>
  <r>
    <n v="2022"/>
    <s v="CSU-17889"/>
    <n v="27495"/>
    <x v="0"/>
    <x v="1"/>
    <s v="LC"/>
    <s v="FC"/>
    <s v="FC-053"/>
    <x v="3"/>
    <s v="L"/>
    <s v="Cx."/>
    <x v="0"/>
    <s v="F"/>
    <m/>
    <n v="23"/>
    <n v="23"/>
    <n v="0"/>
    <s v="Negative"/>
  </r>
  <r>
    <n v="2022"/>
    <s v="CSU-17890"/>
    <n v="27496"/>
    <x v="0"/>
    <x v="1"/>
    <s v="LC"/>
    <s v="FC"/>
    <s v="FC-053"/>
    <x v="3"/>
    <s v="L"/>
    <s v="Cx."/>
    <x v="1"/>
    <s v="F"/>
    <m/>
    <n v="1"/>
    <n v="1"/>
    <n v="0"/>
    <s v="Negative"/>
  </r>
  <r>
    <n v="2022"/>
    <s v="CSU-17891"/>
    <n v="27497"/>
    <x v="0"/>
    <x v="1"/>
    <s v="LC"/>
    <s v="FC"/>
    <s v="FC-075"/>
    <x v="3"/>
    <s v="L"/>
    <s v="Cx."/>
    <x v="0"/>
    <s v="F"/>
    <m/>
    <n v="22"/>
    <n v="22"/>
    <n v="1"/>
    <s v="Positive"/>
  </r>
  <r>
    <n v="2022"/>
    <s v="CSU-17892"/>
    <n v="27498"/>
    <x v="0"/>
    <x v="1"/>
    <s v="LC"/>
    <s v="FC"/>
    <s v="FC-075"/>
    <x v="3"/>
    <s v="L"/>
    <s v="Cx."/>
    <x v="1"/>
    <s v="F"/>
    <m/>
    <n v="4"/>
    <n v="4"/>
    <n v="0"/>
    <s v="Negative"/>
  </r>
  <r>
    <n v="2022"/>
    <s v="CSU-17893"/>
    <n v="27499"/>
    <x v="0"/>
    <x v="1"/>
    <s v="LC"/>
    <s v="FC"/>
    <s v="FC-039"/>
    <x v="3"/>
    <s v="L"/>
    <s v="Cx."/>
    <x v="0"/>
    <s v="F"/>
    <m/>
    <n v="35"/>
    <n v="35"/>
    <n v="0"/>
    <s v="Negative"/>
  </r>
  <r>
    <n v="2022"/>
    <s v="CSU-17894"/>
    <n v="27500"/>
    <x v="0"/>
    <x v="1"/>
    <s v="LC"/>
    <s v="FC"/>
    <s v="FC-075gr"/>
    <x v="3"/>
    <s v="G"/>
    <s v="Cx."/>
    <x v="0"/>
    <s v="F"/>
    <n v="2"/>
    <m/>
    <n v="2"/>
    <n v="0"/>
    <s v="Negative"/>
  </r>
  <r>
    <n v="2022"/>
    <s v="CSU-17895"/>
    <n v="27501"/>
    <x v="0"/>
    <x v="1"/>
    <s v="LC"/>
    <s v="FC"/>
    <s v="FC-075gr"/>
    <x v="3"/>
    <s v="G"/>
    <s v="Cx."/>
    <x v="1"/>
    <s v="F"/>
    <n v="41"/>
    <m/>
    <n v="41"/>
    <n v="0"/>
    <s v="Negative"/>
  </r>
  <r>
    <n v="2022"/>
    <s v="CSU-17896"/>
    <n v="27502"/>
    <x v="0"/>
    <x v="1"/>
    <s v="LC"/>
    <s v="FC"/>
    <s v="FC-004"/>
    <x v="3"/>
    <s v="L"/>
    <s v="Cx."/>
    <x v="0"/>
    <s v="F"/>
    <m/>
    <n v="50"/>
    <n v="50"/>
    <n v="0"/>
    <s v="Negative"/>
  </r>
  <r>
    <n v="2022"/>
    <s v="CSU-17897"/>
    <n v="27503"/>
    <x v="0"/>
    <x v="1"/>
    <s v="LC"/>
    <s v="FC"/>
    <s v="FC-004"/>
    <x v="3"/>
    <s v="L"/>
    <s v="Cx."/>
    <x v="0"/>
    <s v="F"/>
    <m/>
    <n v="50"/>
    <n v="50"/>
    <n v="0"/>
    <s v="Negative"/>
  </r>
  <r>
    <n v="2022"/>
    <s v="CSU-17898"/>
    <n v="27504"/>
    <x v="0"/>
    <x v="1"/>
    <s v="LC"/>
    <s v="FC"/>
    <s v="FC-004"/>
    <x v="3"/>
    <s v="L"/>
    <s v="Cx."/>
    <x v="0"/>
    <s v="F"/>
    <m/>
    <n v="21"/>
    <n v="21"/>
    <n v="0"/>
    <s v="Negative"/>
  </r>
  <r>
    <n v="2022"/>
    <s v="CSU-17899"/>
    <n v="27505"/>
    <x v="0"/>
    <x v="1"/>
    <s v="LC"/>
    <s v="FC"/>
    <s v="FC-004"/>
    <x v="3"/>
    <s v="L"/>
    <s v="Cx."/>
    <x v="1"/>
    <s v="F"/>
    <m/>
    <n v="5"/>
    <n v="5"/>
    <n v="0"/>
    <s v="Negative"/>
  </r>
  <r>
    <n v="2022"/>
    <s v="CSU-17900"/>
    <n v="27506"/>
    <x v="0"/>
    <x v="1"/>
    <s v="LC"/>
    <s v="FC"/>
    <s v="FC-088gr"/>
    <x v="3"/>
    <s v="G"/>
    <s v="Cx."/>
    <x v="0"/>
    <s v="F"/>
    <n v="5"/>
    <m/>
    <n v="5"/>
    <n v="0"/>
    <s v="Negative"/>
  </r>
  <r>
    <n v="2022"/>
    <s v="CSU-17901"/>
    <n v="27507"/>
    <x v="0"/>
    <x v="1"/>
    <s v="LC"/>
    <s v="FC"/>
    <s v="FC-088gr"/>
    <x v="3"/>
    <s v="G"/>
    <s v="Cx."/>
    <x v="1"/>
    <s v="F"/>
    <n v="50"/>
    <m/>
    <n v="50"/>
    <n v="0"/>
    <s v="Negative"/>
  </r>
  <r>
    <n v="2022"/>
    <s v="CSU-17902"/>
    <n v="27508"/>
    <x v="0"/>
    <x v="1"/>
    <s v="LC"/>
    <s v="FC"/>
    <s v="FC-088gr"/>
    <x v="3"/>
    <s v="G"/>
    <s v="Cx."/>
    <x v="1"/>
    <s v="F"/>
    <n v="50"/>
    <m/>
    <n v="50"/>
    <n v="0"/>
    <s v="Negative"/>
  </r>
  <r>
    <n v="2022"/>
    <s v="CSU-17903"/>
    <n v="27509"/>
    <x v="0"/>
    <x v="1"/>
    <s v="LC"/>
    <s v="FC"/>
    <s v="FC-088gr"/>
    <x v="3"/>
    <s v="G"/>
    <s v="Cx."/>
    <x v="1"/>
    <s v="F"/>
    <n v="22"/>
    <m/>
    <n v="22"/>
    <n v="0"/>
    <s v="Negative"/>
  </r>
  <r>
    <n v="2022"/>
    <s v="CSU-17904"/>
    <n v="27510"/>
    <x v="0"/>
    <x v="1"/>
    <s v="LC"/>
    <s v="FC"/>
    <s v="FC-074"/>
    <x v="3"/>
    <s v="L"/>
    <s v="Cx."/>
    <x v="0"/>
    <s v="F"/>
    <m/>
    <n v="50"/>
    <n v="50"/>
    <n v="0"/>
    <s v="Negative"/>
  </r>
  <r>
    <n v="2022"/>
    <s v="CSU-17905"/>
    <n v="27511"/>
    <x v="0"/>
    <x v="1"/>
    <s v="LC"/>
    <s v="FC"/>
    <s v="FC-074"/>
    <x v="3"/>
    <s v="L"/>
    <s v="Cx."/>
    <x v="0"/>
    <s v="F"/>
    <m/>
    <n v="50"/>
    <n v="50"/>
    <n v="0"/>
    <s v="Negative"/>
  </r>
  <r>
    <n v="2022"/>
    <s v="CSU-17906"/>
    <n v="27512"/>
    <x v="0"/>
    <x v="1"/>
    <s v="LC"/>
    <s v="FC"/>
    <s v="FC-074"/>
    <x v="3"/>
    <s v="L"/>
    <s v="Cx."/>
    <x v="0"/>
    <s v="F"/>
    <m/>
    <n v="50"/>
    <n v="50"/>
    <n v="0"/>
    <s v="Negative"/>
  </r>
  <r>
    <n v="2022"/>
    <s v="CSU-17907"/>
    <n v="27513"/>
    <x v="0"/>
    <x v="1"/>
    <s v="LC"/>
    <s v="FC"/>
    <s v="FC-074"/>
    <x v="3"/>
    <s v="L"/>
    <s v="Cx."/>
    <x v="0"/>
    <s v="F"/>
    <m/>
    <n v="50"/>
    <n v="50"/>
    <n v="0"/>
    <s v="Negative"/>
  </r>
  <r>
    <n v="2022"/>
    <s v="CSU-17908"/>
    <n v="27514"/>
    <x v="0"/>
    <x v="1"/>
    <s v="LC"/>
    <s v="FC"/>
    <s v="FC-074"/>
    <x v="3"/>
    <s v="L"/>
    <s v="Cx."/>
    <x v="0"/>
    <s v="F"/>
    <m/>
    <n v="50"/>
    <n v="50"/>
    <n v="0"/>
    <s v="Negative"/>
  </r>
  <r>
    <n v="2022"/>
    <s v="CSU-17909"/>
    <n v="27515"/>
    <x v="0"/>
    <x v="1"/>
    <s v="LC"/>
    <s v="FC"/>
    <s v="FC-074"/>
    <x v="3"/>
    <s v="L"/>
    <s v="Cx."/>
    <x v="0"/>
    <s v="F"/>
    <m/>
    <n v="50"/>
    <n v="50"/>
    <n v="0"/>
    <s v="Negative"/>
  </r>
  <r>
    <n v="2022"/>
    <s v="CSU-17910"/>
    <n v="27516"/>
    <x v="0"/>
    <x v="1"/>
    <s v="LC"/>
    <s v="FC"/>
    <s v="FC-074"/>
    <x v="3"/>
    <s v="L"/>
    <s v="Cx."/>
    <x v="0"/>
    <s v="F"/>
    <m/>
    <n v="50"/>
    <n v="50"/>
    <n v="0"/>
    <s v="Negative"/>
  </r>
  <r>
    <n v="2022"/>
    <s v="CSU-17911"/>
    <n v="27517"/>
    <x v="0"/>
    <x v="1"/>
    <s v="LC"/>
    <s v="FC"/>
    <s v="FC-074"/>
    <x v="3"/>
    <s v="L"/>
    <s v="Cx."/>
    <x v="0"/>
    <s v="F"/>
    <m/>
    <n v="50"/>
    <n v="50"/>
    <n v="0"/>
    <s v="Negative"/>
  </r>
  <r>
    <n v="2022"/>
    <s v="CSU-17912"/>
    <n v="27518"/>
    <x v="0"/>
    <x v="1"/>
    <s v="LC"/>
    <s v="FC"/>
    <s v="FC-074"/>
    <x v="3"/>
    <s v="L"/>
    <s v="Cx."/>
    <x v="0"/>
    <s v="F"/>
    <m/>
    <n v="50"/>
    <n v="50"/>
    <n v="0"/>
    <s v="Negative"/>
  </r>
  <r>
    <n v="2022"/>
    <s v="CSU-17913"/>
    <n v="27519"/>
    <x v="0"/>
    <x v="1"/>
    <s v="LC"/>
    <s v="FC"/>
    <s v="FC-074"/>
    <x v="3"/>
    <s v="L"/>
    <s v="Cx."/>
    <x v="0"/>
    <s v="F"/>
    <m/>
    <n v="42"/>
    <n v="42"/>
    <n v="0"/>
    <s v="Negative"/>
  </r>
  <r>
    <n v="2022"/>
    <s v="CSU-17914"/>
    <n v="27520"/>
    <x v="0"/>
    <x v="1"/>
    <s v="LC"/>
    <s v="FC"/>
    <s v="FC-074"/>
    <x v="3"/>
    <s v="L"/>
    <s v="Cx."/>
    <x v="1"/>
    <s v="F"/>
    <m/>
    <n v="20"/>
    <n v="20"/>
    <n v="0"/>
    <s v="Negative"/>
  </r>
  <r>
    <n v="2022"/>
    <s v="CSU-17915"/>
    <n v="27521"/>
    <x v="0"/>
    <x v="1"/>
    <s v="LC"/>
    <s v="FC"/>
    <s v="FC-027"/>
    <x v="3"/>
    <s v="L"/>
    <s v="Cx."/>
    <x v="0"/>
    <s v="F"/>
    <m/>
    <n v="50"/>
    <n v="50"/>
    <n v="0"/>
    <s v="Negative"/>
  </r>
  <r>
    <n v="2022"/>
    <s v="CSU-17916"/>
    <n v="27522"/>
    <x v="0"/>
    <x v="1"/>
    <s v="LC"/>
    <s v="FC"/>
    <s v="FC-027"/>
    <x v="3"/>
    <s v="L"/>
    <s v="Cx."/>
    <x v="0"/>
    <s v="F"/>
    <m/>
    <n v="50"/>
    <n v="50"/>
    <n v="0"/>
    <s v="Negative"/>
  </r>
  <r>
    <n v="2022"/>
    <s v="CSU-17917"/>
    <n v="27523"/>
    <x v="0"/>
    <x v="1"/>
    <s v="LC"/>
    <s v="FC"/>
    <s v="FC-027"/>
    <x v="3"/>
    <s v="L"/>
    <s v="Cx."/>
    <x v="1"/>
    <s v="F"/>
    <m/>
    <n v="11"/>
    <n v="11"/>
    <n v="0"/>
    <s v="Negative"/>
  </r>
  <r>
    <n v="2022"/>
    <s v="CSU-17918"/>
    <n v="27524"/>
    <x v="0"/>
    <x v="1"/>
    <s v="LC"/>
    <s v="FC"/>
    <s v="FC-023"/>
    <x v="3"/>
    <s v="L"/>
    <s v="Cx."/>
    <x v="0"/>
    <s v="F"/>
    <m/>
    <n v="37"/>
    <n v="37"/>
    <n v="0"/>
    <s v="Negative"/>
  </r>
  <r>
    <n v="2022"/>
    <s v="CSU-17919"/>
    <n v="27525"/>
    <x v="0"/>
    <x v="1"/>
    <s v="LC"/>
    <s v="FC"/>
    <s v="FC-059"/>
    <x v="3"/>
    <s v="L"/>
    <s v="Cx."/>
    <x v="0"/>
    <s v="F"/>
    <m/>
    <n v="50"/>
    <n v="50"/>
    <n v="0"/>
    <s v="Negative"/>
  </r>
  <r>
    <n v="2022"/>
    <s v="CSU-17920"/>
    <n v="27526"/>
    <x v="0"/>
    <x v="1"/>
    <s v="LC"/>
    <s v="FC"/>
    <s v="FC-059"/>
    <x v="3"/>
    <s v="L"/>
    <s v="Cx."/>
    <x v="0"/>
    <s v="F"/>
    <m/>
    <n v="50"/>
    <n v="50"/>
    <n v="0"/>
    <s v="Negative"/>
  </r>
  <r>
    <n v="2022"/>
    <s v="CSU-17921"/>
    <n v="27527"/>
    <x v="0"/>
    <x v="1"/>
    <s v="LC"/>
    <s v="FC"/>
    <s v="FC-059"/>
    <x v="3"/>
    <s v="L"/>
    <s v="Cx."/>
    <x v="0"/>
    <s v="F"/>
    <m/>
    <n v="4"/>
    <n v="4"/>
    <n v="0"/>
    <s v="Negative"/>
  </r>
  <r>
    <n v="2022"/>
    <s v="CSU-17922"/>
    <n v="27528"/>
    <x v="0"/>
    <x v="1"/>
    <s v="LC"/>
    <s v="FC"/>
    <s v="FC-059"/>
    <x v="3"/>
    <s v="L"/>
    <s v="Cx."/>
    <x v="1"/>
    <s v="F"/>
    <m/>
    <n v="11"/>
    <n v="11"/>
    <n v="0"/>
    <s v="Negative"/>
  </r>
  <r>
    <n v="2022"/>
    <s v="CSU-17923"/>
    <n v="27529"/>
    <x v="0"/>
    <x v="1"/>
    <s v="LC"/>
    <s v="FC"/>
    <s v="FC-050"/>
    <x v="3"/>
    <s v="L"/>
    <s v="Cx."/>
    <x v="0"/>
    <s v="F"/>
    <m/>
    <n v="50"/>
    <n v="50"/>
    <n v="0"/>
    <s v="Negative"/>
  </r>
  <r>
    <n v="2022"/>
    <s v="CSU-17924"/>
    <n v="27530"/>
    <x v="0"/>
    <x v="1"/>
    <s v="LC"/>
    <s v="FC"/>
    <s v="FC-050"/>
    <x v="3"/>
    <s v="L"/>
    <s v="Cx."/>
    <x v="0"/>
    <s v="F"/>
    <m/>
    <n v="19"/>
    <n v="19"/>
    <n v="0"/>
    <s v="Negative"/>
  </r>
  <r>
    <n v="2022"/>
    <s v="CSU-17925"/>
    <n v="27531"/>
    <x v="0"/>
    <x v="1"/>
    <s v="LC"/>
    <s v="FC"/>
    <s v="FC-050"/>
    <x v="3"/>
    <s v="L"/>
    <s v="Cx."/>
    <x v="1"/>
    <s v="F"/>
    <m/>
    <n v="3"/>
    <n v="3"/>
    <n v="0"/>
    <s v="Negative"/>
  </r>
  <r>
    <n v="2022"/>
    <s v="CSU-17926"/>
    <n v="27532"/>
    <x v="0"/>
    <x v="1"/>
    <s v="LC"/>
    <s v="FC"/>
    <s v="FC-047"/>
    <x v="3"/>
    <s v="L"/>
    <s v="Cx."/>
    <x v="0"/>
    <s v="F"/>
    <m/>
    <n v="27"/>
    <n v="27"/>
    <n v="0"/>
    <s v="Negative"/>
  </r>
  <r>
    <n v="2022"/>
    <s v="CSU-17927"/>
    <n v="27533"/>
    <x v="0"/>
    <x v="1"/>
    <s v="LC"/>
    <s v="FC"/>
    <s v="FC-047"/>
    <x v="3"/>
    <s v="L"/>
    <s v="Cx."/>
    <x v="1"/>
    <s v="F"/>
    <m/>
    <n v="3"/>
    <n v="3"/>
    <n v="0"/>
    <s v="Negative"/>
  </r>
  <r>
    <n v="2022"/>
    <s v="CSU-17928"/>
    <n v="27534"/>
    <x v="0"/>
    <x v="1"/>
    <s v="LC"/>
    <s v="FC"/>
    <s v="FC-046"/>
    <x v="3"/>
    <s v="L"/>
    <s v="Cx."/>
    <x v="0"/>
    <s v="F"/>
    <m/>
    <n v="50"/>
    <n v="50"/>
    <n v="0"/>
    <s v="Negative"/>
  </r>
  <r>
    <n v="2022"/>
    <s v="CSU-17929"/>
    <n v="27535"/>
    <x v="0"/>
    <x v="1"/>
    <s v="LC"/>
    <s v="FC"/>
    <s v="FC-046"/>
    <x v="3"/>
    <s v="L"/>
    <s v="Cx."/>
    <x v="0"/>
    <s v="F"/>
    <m/>
    <n v="50"/>
    <n v="50"/>
    <n v="0"/>
    <s v="Negative"/>
  </r>
  <r>
    <n v="2022"/>
    <s v="CSU-17930"/>
    <n v="27536"/>
    <x v="0"/>
    <x v="1"/>
    <s v="LC"/>
    <s v="FC"/>
    <s v="FC-046"/>
    <x v="3"/>
    <s v="L"/>
    <s v="Cx."/>
    <x v="0"/>
    <s v="F"/>
    <m/>
    <n v="11"/>
    <n v="11"/>
    <n v="0"/>
    <s v="Negative"/>
  </r>
  <r>
    <n v="2022"/>
    <s v="CSU-17931"/>
    <n v="27537"/>
    <x v="0"/>
    <x v="1"/>
    <s v="LC"/>
    <s v="FC"/>
    <s v="FC-031"/>
    <x v="3"/>
    <s v="L"/>
    <s v="Cx."/>
    <x v="1"/>
    <s v="F"/>
    <m/>
    <n v="4"/>
    <n v="4"/>
    <n v="0"/>
    <s v="Negative"/>
  </r>
  <r>
    <n v="2022"/>
    <s v="CSU-17932"/>
    <n v="27538"/>
    <x v="0"/>
    <x v="1"/>
    <s v="LC"/>
    <s v="FC"/>
    <s v="FC-031"/>
    <x v="3"/>
    <s v="L"/>
    <s v="Cx."/>
    <x v="0"/>
    <s v="F"/>
    <m/>
    <n v="50"/>
    <n v="50"/>
    <n v="0"/>
    <s v="Negative"/>
  </r>
  <r>
    <n v="2022"/>
    <s v="CSU-17933"/>
    <n v="27539"/>
    <x v="0"/>
    <x v="1"/>
    <s v="LC"/>
    <s v="FC"/>
    <s v="FC-031"/>
    <x v="3"/>
    <s v="L"/>
    <s v="Cx."/>
    <x v="0"/>
    <s v="F"/>
    <m/>
    <n v="44"/>
    <n v="44"/>
    <n v="0"/>
    <s v="Negative"/>
  </r>
  <r>
    <n v="2022"/>
    <s v="CSU-17934"/>
    <n v="27540"/>
    <x v="0"/>
    <x v="2"/>
    <s v="LC"/>
    <s v="FC"/>
    <s v="FC-061"/>
    <x v="2"/>
    <s v="L"/>
    <s v="Cx."/>
    <x v="0"/>
    <s v="F"/>
    <m/>
    <n v="50"/>
    <n v="50"/>
    <n v="0"/>
    <s v="Negative"/>
  </r>
  <r>
    <n v="2022"/>
    <s v="CSU-17935"/>
    <n v="27541"/>
    <x v="0"/>
    <x v="2"/>
    <s v="LC"/>
    <s v="FC"/>
    <s v="FC-061"/>
    <x v="2"/>
    <s v="L"/>
    <s v="Cx."/>
    <x v="0"/>
    <s v="F"/>
    <m/>
    <n v="39"/>
    <n v="39"/>
    <n v="0"/>
    <s v="Negative"/>
  </r>
  <r>
    <n v="2022"/>
    <s v="CSU-17936"/>
    <n v="27542"/>
    <x v="0"/>
    <x v="2"/>
    <s v="LC"/>
    <s v="FC"/>
    <s v="FC-061"/>
    <x v="2"/>
    <s v="L"/>
    <s v="Cx."/>
    <x v="1"/>
    <s v="F"/>
    <m/>
    <n v="10"/>
    <n v="10"/>
    <n v="0"/>
    <s v="Negative"/>
  </r>
  <r>
    <n v="2022"/>
    <s v="CSU-17937"/>
    <n v="27543"/>
    <x v="0"/>
    <x v="2"/>
    <s v="LC"/>
    <s v="FC"/>
    <s v="FC-052"/>
    <x v="2"/>
    <s v="L"/>
    <s v="Cx."/>
    <x v="0"/>
    <s v="F"/>
    <m/>
    <n v="20"/>
    <n v="20"/>
    <n v="0"/>
    <s v="Negative"/>
  </r>
  <r>
    <n v="2022"/>
    <s v="CSU-17938"/>
    <n v="27544"/>
    <x v="0"/>
    <x v="2"/>
    <s v="LC"/>
    <s v="BE"/>
    <s v="LC-054"/>
    <x v="4"/>
    <s v="L"/>
    <s v="Cx."/>
    <x v="0"/>
    <s v="F"/>
    <m/>
    <n v="50"/>
    <n v="50"/>
    <n v="0"/>
    <s v="Negative"/>
  </r>
  <r>
    <n v="2022"/>
    <s v="CSU-17939"/>
    <n v="27545"/>
    <x v="0"/>
    <x v="2"/>
    <s v="LC"/>
    <s v="BE"/>
    <s v="LC-054"/>
    <x v="4"/>
    <s v="L"/>
    <s v="Cx."/>
    <x v="0"/>
    <s v="F"/>
    <m/>
    <n v="37"/>
    <n v="37"/>
    <n v="0"/>
    <s v="Negative"/>
  </r>
  <r>
    <n v="2022"/>
    <s v="CSU-17940"/>
    <n v="27546"/>
    <x v="0"/>
    <x v="2"/>
    <s v="LC"/>
    <s v="BE"/>
    <s v="LC-054"/>
    <x v="4"/>
    <s v="L"/>
    <s v="Cx."/>
    <x v="1"/>
    <s v="F"/>
    <m/>
    <n v="1"/>
    <n v="1"/>
    <n v="0"/>
    <s v="Negative"/>
  </r>
  <r>
    <n v="2022"/>
    <s v="CSU-17941"/>
    <n v="27547"/>
    <x v="0"/>
    <x v="2"/>
    <s v="LC"/>
    <s v="BE"/>
    <s v="WC-055"/>
    <x v="4"/>
    <s v="L"/>
    <s v="Cx."/>
    <x v="0"/>
    <s v="F"/>
    <m/>
    <n v="19"/>
    <n v="19"/>
    <n v="0"/>
    <s v="Negative"/>
  </r>
  <r>
    <n v="2022"/>
    <s v="CSU-17942"/>
    <n v="27548"/>
    <x v="0"/>
    <x v="2"/>
    <s v="LC"/>
    <s v="BE"/>
    <s v="LC-001"/>
    <x v="4"/>
    <s v="L"/>
    <s v="Cx."/>
    <x v="0"/>
    <s v="F"/>
    <m/>
    <n v="50"/>
    <n v="50"/>
    <n v="0"/>
    <s v="Negative"/>
  </r>
  <r>
    <n v="2022"/>
    <s v="CSU-17943"/>
    <n v="27549"/>
    <x v="0"/>
    <x v="2"/>
    <s v="LC"/>
    <s v="BE"/>
    <s v="LC-001"/>
    <x v="4"/>
    <s v="L"/>
    <s v="Cx."/>
    <x v="0"/>
    <s v="F"/>
    <m/>
    <n v="50"/>
    <n v="50"/>
    <n v="0"/>
    <s v="Negative"/>
  </r>
  <r>
    <n v="2022"/>
    <s v="CSU-17944"/>
    <n v="27550"/>
    <x v="0"/>
    <x v="2"/>
    <s v="LC"/>
    <s v="BE"/>
    <s v="LC-001"/>
    <x v="4"/>
    <s v="L"/>
    <s v="Cx."/>
    <x v="0"/>
    <s v="F"/>
    <m/>
    <n v="30"/>
    <n v="30"/>
    <n v="0"/>
    <s v="Negative"/>
  </r>
  <r>
    <n v="2022"/>
    <s v="CSU-17945"/>
    <n v="27551"/>
    <x v="0"/>
    <x v="2"/>
    <s v="LC"/>
    <s v="BE"/>
    <s v="LC-001"/>
    <x v="4"/>
    <s v="L"/>
    <s v="Cx."/>
    <x v="1"/>
    <s v="F"/>
    <m/>
    <n v="5"/>
    <n v="5"/>
    <n v="0"/>
    <s v="Negative"/>
  </r>
  <r>
    <n v="2022"/>
    <s v="CSU-17946"/>
    <n v="27552"/>
    <x v="0"/>
    <x v="2"/>
    <s v="LC"/>
    <s v="BE"/>
    <s v="LC-049"/>
    <x v="4"/>
    <s v="L"/>
    <s v="Cx."/>
    <x v="0"/>
    <s v="F"/>
    <m/>
    <n v="50"/>
    <n v="50"/>
    <n v="0"/>
    <s v="Negative"/>
  </r>
  <r>
    <n v="2022"/>
    <s v="CSU-17947"/>
    <n v="27553"/>
    <x v="0"/>
    <x v="2"/>
    <s v="LC"/>
    <s v="BE"/>
    <s v="LC-049"/>
    <x v="4"/>
    <s v="L"/>
    <s v="Cx."/>
    <x v="0"/>
    <s v="F"/>
    <m/>
    <n v="50"/>
    <n v="50"/>
    <n v="0"/>
    <s v="Negative"/>
  </r>
  <r>
    <n v="2022"/>
    <s v="CSU-17948"/>
    <n v="27554"/>
    <x v="0"/>
    <x v="2"/>
    <s v="LC"/>
    <s v="BE"/>
    <s v="LC-049"/>
    <x v="4"/>
    <s v="L"/>
    <s v="Cx."/>
    <x v="0"/>
    <s v="F"/>
    <m/>
    <n v="44"/>
    <n v="44"/>
    <n v="0"/>
    <s v="Negative"/>
  </r>
  <r>
    <n v="2022"/>
    <s v="CSU-17949"/>
    <n v="27555"/>
    <x v="0"/>
    <x v="2"/>
    <s v="LC"/>
    <s v="LV"/>
    <s v="LV-020"/>
    <x v="0"/>
    <s v="L"/>
    <s v="Cx."/>
    <x v="0"/>
    <s v="F"/>
    <m/>
    <n v="50"/>
    <n v="50"/>
    <n v="0"/>
    <s v="Negative"/>
  </r>
  <r>
    <n v="2022"/>
    <s v="CSU-17950"/>
    <n v="27556"/>
    <x v="0"/>
    <x v="2"/>
    <s v="LC"/>
    <s v="LV"/>
    <s v="LV-020"/>
    <x v="0"/>
    <s v="L"/>
    <s v="Cx."/>
    <x v="0"/>
    <s v="F"/>
    <m/>
    <n v="50"/>
    <n v="50"/>
    <n v="0"/>
    <s v="Negative"/>
  </r>
  <r>
    <n v="2022"/>
    <s v="CSU-17951"/>
    <n v="27557"/>
    <x v="0"/>
    <x v="2"/>
    <s v="LC"/>
    <s v="LV"/>
    <s v="LV-020"/>
    <x v="0"/>
    <s v="L"/>
    <s v="Cx."/>
    <x v="0"/>
    <s v="F"/>
    <m/>
    <n v="50"/>
    <n v="50"/>
    <n v="0"/>
    <s v="Negative"/>
  </r>
  <r>
    <n v="2022"/>
    <s v="CSU-17952"/>
    <n v="27558"/>
    <x v="0"/>
    <x v="2"/>
    <s v="LC"/>
    <s v="LV"/>
    <s v="LV-020"/>
    <x v="0"/>
    <s v="L"/>
    <s v="Cx."/>
    <x v="0"/>
    <s v="F"/>
    <m/>
    <n v="50"/>
    <n v="50"/>
    <n v="1"/>
    <s v="Positive"/>
  </r>
  <r>
    <n v="2022"/>
    <s v="CSU-17953"/>
    <n v="27559"/>
    <x v="0"/>
    <x v="2"/>
    <s v="LC"/>
    <s v="LV"/>
    <s v="LV-020"/>
    <x v="0"/>
    <s v="L"/>
    <s v="Cx."/>
    <x v="0"/>
    <s v="F"/>
    <m/>
    <n v="50"/>
    <n v="50"/>
    <n v="0"/>
    <s v="Negative"/>
  </r>
  <r>
    <n v="2022"/>
    <s v="CSU-17954"/>
    <n v="27560"/>
    <x v="0"/>
    <x v="2"/>
    <s v="LC"/>
    <s v="LV"/>
    <s v="LV-020"/>
    <x v="0"/>
    <s v="L"/>
    <s v="Cx."/>
    <x v="0"/>
    <s v="F"/>
    <m/>
    <n v="50"/>
    <n v="50"/>
    <n v="0"/>
    <s v="Negative"/>
  </r>
  <r>
    <n v="2022"/>
    <s v="CSU-17955"/>
    <n v="27561"/>
    <x v="0"/>
    <x v="2"/>
    <s v="LC"/>
    <s v="LV"/>
    <s v="LV-020"/>
    <x v="0"/>
    <s v="L"/>
    <s v="Cx."/>
    <x v="0"/>
    <s v="F"/>
    <m/>
    <n v="9"/>
    <n v="9"/>
    <n v="0"/>
    <s v="Negative"/>
  </r>
  <r>
    <n v="2022"/>
    <s v="CSU-17956"/>
    <n v="27562"/>
    <x v="0"/>
    <x v="2"/>
    <s v="LC"/>
    <s v="LV"/>
    <s v="LV-020"/>
    <x v="0"/>
    <s v="L"/>
    <s v="Cx."/>
    <x v="1"/>
    <s v="F"/>
    <m/>
    <n v="15"/>
    <n v="15"/>
    <n v="0"/>
    <s v="Negative"/>
  </r>
  <r>
    <n v="2022"/>
    <s v="CSU-17957"/>
    <n v="27563"/>
    <x v="0"/>
    <x v="2"/>
    <s v="LC"/>
    <s v="FC"/>
    <s v="FC-073"/>
    <x v="2"/>
    <s v="L"/>
    <s v="Cx."/>
    <x v="0"/>
    <s v="F"/>
    <m/>
    <n v="50"/>
    <n v="50"/>
    <n v="0"/>
    <s v="Negative"/>
  </r>
  <r>
    <n v="2022"/>
    <s v="CSU-17958"/>
    <n v="27564"/>
    <x v="0"/>
    <x v="2"/>
    <s v="LC"/>
    <s v="FC"/>
    <s v="FC-073"/>
    <x v="2"/>
    <s v="L"/>
    <s v="Cx."/>
    <x v="0"/>
    <s v="F"/>
    <m/>
    <n v="12"/>
    <n v="12"/>
    <n v="0"/>
    <s v="Negative"/>
  </r>
  <r>
    <n v="2022"/>
    <s v="CSU-17959"/>
    <n v="27565"/>
    <x v="0"/>
    <x v="2"/>
    <s v="LC"/>
    <s v="FC"/>
    <s v="FC-073"/>
    <x v="2"/>
    <s v="L"/>
    <s v="Cx."/>
    <x v="1"/>
    <s v="F"/>
    <m/>
    <n v="7"/>
    <n v="7"/>
    <n v="0"/>
    <s v="Negative"/>
  </r>
  <r>
    <n v="2022"/>
    <s v="CSU-17960"/>
    <n v="27566"/>
    <x v="0"/>
    <x v="2"/>
    <s v="LC"/>
    <s v="BE"/>
    <s v="LC-053"/>
    <x v="4"/>
    <s v="L"/>
    <s v="Cx."/>
    <x v="1"/>
    <s v="F"/>
    <m/>
    <n v="6"/>
    <n v="6"/>
    <n v="0"/>
    <s v="Negative"/>
  </r>
  <r>
    <n v="2022"/>
    <s v="CSU-17961"/>
    <n v="27567"/>
    <x v="0"/>
    <x v="2"/>
    <s v="LC"/>
    <s v="BE"/>
    <s v="LC-053"/>
    <x v="4"/>
    <s v="L"/>
    <s v="Cx."/>
    <x v="0"/>
    <s v="F"/>
    <m/>
    <n v="50"/>
    <n v="50"/>
    <n v="0"/>
    <s v="Negative"/>
  </r>
  <r>
    <n v="2022"/>
    <s v="CSU-17962"/>
    <n v="27568"/>
    <x v="0"/>
    <x v="2"/>
    <s v="LC"/>
    <s v="BE"/>
    <s v="LC-053"/>
    <x v="4"/>
    <s v="L"/>
    <s v="Cx."/>
    <x v="0"/>
    <s v="F"/>
    <m/>
    <n v="37"/>
    <n v="37"/>
    <n v="0"/>
    <s v="Negative"/>
  </r>
  <r>
    <n v="2022"/>
    <s v="CSU-17963"/>
    <n v="27569"/>
    <x v="0"/>
    <x v="2"/>
    <s v="LC"/>
    <s v="FC"/>
    <s v="FC-090gr"/>
    <x v="2"/>
    <s v="G"/>
    <s v="Cx."/>
    <x v="1"/>
    <s v="F"/>
    <n v="50"/>
    <m/>
    <n v="50"/>
    <n v="0"/>
    <s v="Negative"/>
  </r>
  <r>
    <n v="2022"/>
    <s v="CSU-17964"/>
    <n v="27570"/>
    <x v="0"/>
    <x v="2"/>
    <s v="LC"/>
    <s v="FC"/>
    <s v="FC-090gr"/>
    <x v="2"/>
    <s v="G"/>
    <s v="Cx."/>
    <x v="1"/>
    <s v="F"/>
    <n v="50"/>
    <m/>
    <n v="50"/>
    <n v="0"/>
    <s v="Negative"/>
  </r>
  <r>
    <n v="2022"/>
    <s v="CSU-17965"/>
    <n v="27571"/>
    <x v="0"/>
    <x v="2"/>
    <s v="LC"/>
    <s v="FC"/>
    <s v="FC-090gr"/>
    <x v="2"/>
    <s v="G"/>
    <s v="Cx."/>
    <x v="1"/>
    <s v="F"/>
    <n v="16"/>
    <m/>
    <n v="16"/>
    <n v="0"/>
    <s v="Negative"/>
  </r>
  <r>
    <n v="2022"/>
    <s v="CSU-17966"/>
    <n v="27572"/>
    <x v="0"/>
    <x v="2"/>
    <s v="LC"/>
    <s v="FC"/>
    <s v="FC-060"/>
    <x v="2"/>
    <s v="L"/>
    <s v="Cx."/>
    <x v="0"/>
    <s v="F"/>
    <m/>
    <n v="7"/>
    <n v="7"/>
    <n v="0"/>
    <s v="Negative"/>
  </r>
  <r>
    <n v="2022"/>
    <s v="CSU-17967"/>
    <n v="27573"/>
    <x v="0"/>
    <x v="2"/>
    <s v="LC"/>
    <s v="FC"/>
    <s v="FC-041"/>
    <x v="2"/>
    <s v="L"/>
    <s v="Cx."/>
    <x v="0"/>
    <s v="F"/>
    <m/>
    <n v="50"/>
    <n v="50"/>
    <n v="0"/>
    <s v="Negative"/>
  </r>
  <r>
    <n v="2022"/>
    <s v="CSU-17968"/>
    <n v="27574"/>
    <x v="0"/>
    <x v="2"/>
    <s v="LC"/>
    <s v="FC"/>
    <s v="FC-041"/>
    <x v="2"/>
    <s v="L"/>
    <s v="Cx."/>
    <x v="0"/>
    <s v="F"/>
    <m/>
    <n v="50"/>
    <n v="50"/>
    <n v="0"/>
    <s v="Negative"/>
  </r>
  <r>
    <n v="2022"/>
    <s v="CSU-17969"/>
    <n v="27575"/>
    <x v="0"/>
    <x v="2"/>
    <s v="LC"/>
    <s v="FC"/>
    <s v="FC-041"/>
    <x v="2"/>
    <s v="L"/>
    <s v="Cx."/>
    <x v="0"/>
    <s v="F"/>
    <m/>
    <n v="25"/>
    <n v="25"/>
    <n v="1"/>
    <s v="Positive"/>
  </r>
  <r>
    <n v="2022"/>
    <s v="CSU-17970"/>
    <n v="27576"/>
    <x v="0"/>
    <x v="2"/>
    <s v="LC"/>
    <s v="FC"/>
    <s v="FC-041"/>
    <x v="2"/>
    <s v="L"/>
    <s v="Cx."/>
    <x v="1"/>
    <s v="F"/>
    <m/>
    <n v="10"/>
    <n v="10"/>
    <n v="0"/>
    <s v="Negative"/>
  </r>
  <r>
    <n v="2022"/>
    <s v="CSU-17971"/>
    <n v="27577"/>
    <x v="0"/>
    <x v="2"/>
    <s v="LC"/>
    <s v="FC"/>
    <s v="FC-063"/>
    <x v="2"/>
    <s v="L"/>
    <s v="Cx."/>
    <x v="0"/>
    <s v="F"/>
    <m/>
    <n v="24"/>
    <n v="24"/>
    <n v="0"/>
    <s v="Negative"/>
  </r>
  <r>
    <n v="2022"/>
    <s v="CSU-17972"/>
    <n v="27578"/>
    <x v="0"/>
    <x v="2"/>
    <s v="LC"/>
    <s v="FC"/>
    <s v="FC-063gr"/>
    <x v="2"/>
    <s v="G"/>
    <s v="Cx."/>
    <x v="1"/>
    <s v="F"/>
    <n v="50"/>
    <m/>
    <n v="50"/>
    <n v="0"/>
    <s v="Negative"/>
  </r>
  <r>
    <n v="2022"/>
    <s v="CSU-17973"/>
    <n v="27579"/>
    <x v="0"/>
    <x v="2"/>
    <s v="LC"/>
    <s v="FC"/>
    <s v="FC-063gr"/>
    <x v="2"/>
    <s v="G"/>
    <s v="Cx."/>
    <x v="1"/>
    <s v="F"/>
    <n v="17"/>
    <m/>
    <n v="17"/>
    <n v="0"/>
    <s v="Negative"/>
  </r>
  <r>
    <n v="2022"/>
    <s v="CSU-17974"/>
    <n v="27580"/>
    <x v="0"/>
    <x v="2"/>
    <s v="LC"/>
    <s v="FC"/>
    <s v="FC-011"/>
    <x v="2"/>
    <s v="L"/>
    <s v="Cx."/>
    <x v="0"/>
    <s v="F"/>
    <m/>
    <n v="13"/>
    <n v="13"/>
    <n v="0"/>
    <s v="Negative"/>
  </r>
  <r>
    <n v="2022"/>
    <s v="CSU-17975"/>
    <n v="27581"/>
    <x v="0"/>
    <x v="2"/>
    <s v="LC"/>
    <s v="FC"/>
    <s v="FC-011"/>
    <x v="2"/>
    <s v="L"/>
    <s v="Cx."/>
    <x v="1"/>
    <s v="F"/>
    <m/>
    <n v="15"/>
    <n v="15"/>
    <n v="0"/>
    <s v="Negative"/>
  </r>
  <r>
    <n v="2022"/>
    <s v="CSU-17976"/>
    <n v="27582"/>
    <x v="0"/>
    <x v="2"/>
    <s v="LC"/>
    <s v="FC"/>
    <s v="FC-058"/>
    <x v="5"/>
    <s v="L"/>
    <s v="Cx."/>
    <x v="0"/>
    <s v="F"/>
    <m/>
    <n v="2"/>
    <n v="2"/>
    <n v="0"/>
    <s v="Negative"/>
  </r>
  <r>
    <n v="2022"/>
    <s v="CSU-17977"/>
    <n v="27583"/>
    <x v="0"/>
    <x v="2"/>
    <s v="LC"/>
    <s v="FC"/>
    <s v="FC-058"/>
    <x v="5"/>
    <s v="L"/>
    <s v="Cx."/>
    <x v="1"/>
    <s v="F"/>
    <m/>
    <n v="1"/>
    <n v="1"/>
    <n v="0"/>
    <s v="Negative"/>
  </r>
  <r>
    <n v="2022"/>
    <s v="CSU-17978"/>
    <n v="27584"/>
    <x v="0"/>
    <x v="2"/>
    <s v="LC"/>
    <s v="FC"/>
    <s v="FC-015"/>
    <x v="2"/>
    <s v="L"/>
    <s v="Cx."/>
    <x v="0"/>
    <s v="F"/>
    <m/>
    <n v="7"/>
    <n v="7"/>
    <n v="0"/>
    <s v="Negative"/>
  </r>
  <r>
    <n v="2022"/>
    <s v="CSU-17979"/>
    <n v="27585"/>
    <x v="0"/>
    <x v="2"/>
    <s v="LC"/>
    <s v="FC"/>
    <s v="FC-015"/>
    <x v="2"/>
    <s v="L"/>
    <s v="Cx."/>
    <x v="1"/>
    <s v="F"/>
    <m/>
    <n v="3"/>
    <n v="3"/>
    <n v="0"/>
    <s v="Negative"/>
  </r>
  <r>
    <n v="2022"/>
    <s v="CSU-17980"/>
    <n v="27586"/>
    <x v="0"/>
    <x v="2"/>
    <s v="LC"/>
    <s v="FC"/>
    <s v="FC-049"/>
    <x v="5"/>
    <s v="L"/>
    <s v="Cx."/>
    <x v="1"/>
    <s v="F"/>
    <m/>
    <n v="5"/>
    <n v="5"/>
    <n v="0"/>
    <s v="Negative"/>
  </r>
  <r>
    <n v="2022"/>
    <s v="CSU-17981"/>
    <n v="27587"/>
    <x v="0"/>
    <x v="2"/>
    <s v="LC"/>
    <s v="FC"/>
    <s v="FC-049"/>
    <x v="5"/>
    <s v="L"/>
    <s v="Cx."/>
    <x v="0"/>
    <s v="F"/>
    <m/>
    <n v="50"/>
    <n v="50"/>
    <n v="0"/>
    <s v="Negative"/>
  </r>
  <r>
    <n v="2022"/>
    <s v="CSU-17982"/>
    <n v="27588"/>
    <x v="0"/>
    <x v="2"/>
    <s v="LC"/>
    <s v="FC"/>
    <s v="FC-049"/>
    <x v="5"/>
    <s v="L"/>
    <s v="Cx."/>
    <x v="0"/>
    <s v="F"/>
    <m/>
    <n v="26"/>
    <n v="26"/>
    <n v="0"/>
    <s v="Negative"/>
  </r>
  <r>
    <n v="2022"/>
    <s v="CSU-17983"/>
    <n v="27589"/>
    <x v="0"/>
    <x v="3"/>
    <s v="LC"/>
    <s v="FC"/>
    <s v="FC-001"/>
    <x v="5"/>
    <s v="L"/>
    <s v="Cx."/>
    <x v="0"/>
    <s v="F"/>
    <m/>
    <n v="50"/>
    <n v="50"/>
    <n v="0"/>
    <s v="Negative"/>
  </r>
  <r>
    <n v="2022"/>
    <s v="CSU-17984"/>
    <n v="27590"/>
    <x v="0"/>
    <x v="3"/>
    <s v="LC"/>
    <s v="FC"/>
    <s v="FC-001"/>
    <x v="5"/>
    <s v="L"/>
    <s v="Cx."/>
    <x v="0"/>
    <s v="F"/>
    <m/>
    <n v="6"/>
    <n v="6"/>
    <n v="0"/>
    <s v="Negative"/>
  </r>
  <r>
    <n v="2022"/>
    <s v="CSU-17985"/>
    <n v="27591"/>
    <x v="0"/>
    <x v="3"/>
    <s v="LC"/>
    <s v="FC"/>
    <s v="FC-001"/>
    <x v="5"/>
    <s v="L"/>
    <s v="Cx."/>
    <x v="1"/>
    <s v="F"/>
    <m/>
    <n v="16"/>
    <n v="16"/>
    <n v="0"/>
    <s v="Negative"/>
  </r>
  <r>
    <n v="2022"/>
    <s v="CSU-17986"/>
    <n v="27592"/>
    <x v="0"/>
    <x v="3"/>
    <s v="LC"/>
    <s v="FC"/>
    <s v="FC-054"/>
    <x v="3"/>
    <s v="L"/>
    <s v="Cx."/>
    <x v="0"/>
    <s v="F"/>
    <m/>
    <n v="50"/>
    <n v="50"/>
    <n v="1"/>
    <s v="Positive"/>
  </r>
  <r>
    <n v="2022"/>
    <s v="CSU-17987"/>
    <n v="27593"/>
    <x v="0"/>
    <x v="3"/>
    <s v="LC"/>
    <s v="FC"/>
    <s v="FC-054"/>
    <x v="3"/>
    <s v="L"/>
    <s v="Cx."/>
    <x v="0"/>
    <s v="F"/>
    <m/>
    <n v="1"/>
    <n v="1"/>
    <n v="0"/>
    <s v="Negative"/>
  </r>
  <r>
    <n v="2022"/>
    <s v="CSU-17988"/>
    <n v="27594"/>
    <x v="0"/>
    <x v="3"/>
    <s v="LC"/>
    <s v="FC"/>
    <s v="FC-054"/>
    <x v="3"/>
    <s v="L"/>
    <s v="Cx."/>
    <x v="1"/>
    <s v="F"/>
    <m/>
    <n v="1"/>
    <n v="1"/>
    <n v="0"/>
    <s v="Negative"/>
  </r>
  <r>
    <n v="2022"/>
    <s v="CSU-17989"/>
    <n v="27595"/>
    <x v="0"/>
    <x v="3"/>
    <s v="LC"/>
    <s v="FC"/>
    <s v="FC-029"/>
    <x v="3"/>
    <s v="L"/>
    <s v="Cx."/>
    <x v="0"/>
    <s v="F"/>
    <m/>
    <n v="50"/>
    <n v="50"/>
    <n v="0"/>
    <s v="Negative"/>
  </r>
  <r>
    <n v="2022"/>
    <s v="CSU-17990"/>
    <n v="27596"/>
    <x v="0"/>
    <x v="3"/>
    <s v="LC"/>
    <s v="FC"/>
    <s v="FC-029"/>
    <x v="3"/>
    <s v="L"/>
    <s v="Cx."/>
    <x v="0"/>
    <s v="F"/>
    <m/>
    <n v="50"/>
    <n v="50"/>
    <n v="0"/>
    <s v="Negative"/>
  </r>
  <r>
    <n v="2022"/>
    <s v="CSU-17991"/>
    <n v="27597"/>
    <x v="0"/>
    <x v="3"/>
    <s v="LC"/>
    <s v="FC"/>
    <s v="FC-029"/>
    <x v="3"/>
    <s v="L"/>
    <s v="Cx."/>
    <x v="0"/>
    <s v="F"/>
    <m/>
    <n v="9"/>
    <n v="9"/>
    <n v="0"/>
    <s v="Negative"/>
  </r>
  <r>
    <n v="2022"/>
    <s v="CSU-17992"/>
    <n v="27598"/>
    <x v="0"/>
    <x v="3"/>
    <s v="LC"/>
    <s v="FC"/>
    <s v="FC-029"/>
    <x v="3"/>
    <s v="L"/>
    <s v="Cx."/>
    <x v="1"/>
    <s v="F"/>
    <m/>
    <n v="4"/>
    <n v="4"/>
    <n v="0"/>
    <s v="Negative"/>
  </r>
  <r>
    <n v="2022"/>
    <s v="CSU-17993"/>
    <n v="27599"/>
    <x v="0"/>
    <x v="3"/>
    <s v="LC"/>
    <s v="FC"/>
    <s v="FC-068"/>
    <x v="5"/>
    <s v="L"/>
    <s v="Cx."/>
    <x v="0"/>
    <s v="F"/>
    <m/>
    <n v="26"/>
    <n v="26"/>
    <n v="0"/>
    <s v="Negative"/>
  </r>
  <r>
    <n v="2022"/>
    <s v="CSU-17994"/>
    <n v="27600"/>
    <x v="0"/>
    <x v="3"/>
    <s v="LC"/>
    <s v="FC"/>
    <s v="FC-029gr"/>
    <x v="3"/>
    <s v="G"/>
    <s v="Cx."/>
    <x v="1"/>
    <s v="F"/>
    <n v="50"/>
    <m/>
    <n v="50"/>
    <n v="0"/>
    <s v="Negative"/>
  </r>
  <r>
    <n v="2022"/>
    <s v="CSU-17995"/>
    <n v="27601"/>
    <x v="0"/>
    <x v="3"/>
    <s v="LC"/>
    <s v="FC"/>
    <s v="FC-029gr"/>
    <x v="3"/>
    <s v="G"/>
    <s v="Cx."/>
    <x v="1"/>
    <s v="F"/>
    <n v="49"/>
    <m/>
    <n v="49"/>
    <n v="0"/>
    <s v="Negative"/>
  </r>
  <r>
    <n v="2022"/>
    <s v="CSU-17996"/>
    <n v="27602"/>
    <x v="0"/>
    <x v="3"/>
    <s v="LC"/>
    <s v="FC"/>
    <s v="FC-062"/>
    <x v="5"/>
    <s v="L"/>
    <s v="Cx."/>
    <x v="0"/>
    <s v="F"/>
    <m/>
    <n v="9"/>
    <n v="9"/>
    <n v="0"/>
    <s v="Negative"/>
  </r>
  <r>
    <n v="2022"/>
    <s v="CSU-17997"/>
    <n v="27603"/>
    <x v="0"/>
    <x v="3"/>
    <s v="LC"/>
    <s v="FC"/>
    <s v="FC-062"/>
    <x v="5"/>
    <s v="L"/>
    <s v="Cx."/>
    <x v="1"/>
    <s v="F"/>
    <m/>
    <n v="5"/>
    <n v="5"/>
    <n v="0"/>
    <s v="Negative"/>
  </r>
  <r>
    <n v="2022"/>
    <s v="CSU-17998"/>
    <n v="27604"/>
    <x v="0"/>
    <x v="3"/>
    <s v="LC"/>
    <s v="FC"/>
    <s v="FC-089gr"/>
    <x v="5"/>
    <s v="G"/>
    <s v="Cx."/>
    <x v="1"/>
    <s v="F"/>
    <n v="50"/>
    <m/>
    <n v="50"/>
    <n v="0"/>
    <s v="Negative"/>
  </r>
  <r>
    <n v="2022"/>
    <s v="CSU-17999"/>
    <n v="27605"/>
    <x v="0"/>
    <x v="3"/>
    <s v="LC"/>
    <s v="FC"/>
    <s v="FC-089gr"/>
    <x v="5"/>
    <s v="G"/>
    <s v="Cx."/>
    <x v="1"/>
    <s v="F"/>
    <n v="16"/>
    <m/>
    <n v="16"/>
    <n v="0"/>
    <s v="Negative"/>
  </r>
  <r>
    <n v="2022"/>
    <s v="CSU-18000"/>
    <n v="27606"/>
    <x v="0"/>
    <x v="3"/>
    <s v="LC"/>
    <s v="FC"/>
    <s v="FC-071"/>
    <x v="5"/>
    <s v="L"/>
    <s v="Cx."/>
    <x v="0"/>
    <s v="F"/>
    <m/>
    <n v="15"/>
    <n v="15"/>
    <n v="0"/>
    <s v="Negative"/>
  </r>
  <r>
    <n v="2022"/>
    <s v="CSU-18001"/>
    <n v="27607"/>
    <x v="0"/>
    <x v="3"/>
    <s v="LC"/>
    <s v="FC"/>
    <s v="FC-071"/>
    <x v="5"/>
    <s v="L"/>
    <s v="Cx."/>
    <x v="1"/>
    <s v="F"/>
    <m/>
    <n v="2"/>
    <n v="2"/>
    <n v="0"/>
    <s v="Negative"/>
  </r>
  <r>
    <n v="2022"/>
    <s v="CSU-18002"/>
    <n v="27608"/>
    <x v="0"/>
    <x v="3"/>
    <s v="LC"/>
    <s v="FC"/>
    <s v="FC-057"/>
    <x v="5"/>
    <s v="L"/>
    <s v="Cx."/>
    <x v="0"/>
    <s v="F"/>
    <m/>
    <n v="8"/>
    <n v="8"/>
    <n v="0"/>
    <s v="Negative"/>
  </r>
  <r>
    <n v="2022"/>
    <s v="CSU-18003"/>
    <n v="27609"/>
    <x v="0"/>
    <x v="3"/>
    <s v="LC"/>
    <s v="FC"/>
    <s v="FC-093"/>
    <x v="5"/>
    <s v="L"/>
    <s v="Cx."/>
    <x v="0"/>
    <s v="F"/>
    <m/>
    <n v="50"/>
    <n v="50"/>
    <n v="0"/>
    <s v="Negative"/>
  </r>
  <r>
    <n v="2022"/>
    <s v="CSU-18004"/>
    <n v="27610"/>
    <x v="0"/>
    <x v="3"/>
    <s v="LC"/>
    <s v="FC"/>
    <s v="FC-093"/>
    <x v="5"/>
    <s v="L"/>
    <s v="Cx."/>
    <x v="0"/>
    <s v="F"/>
    <m/>
    <n v="42"/>
    <n v="42"/>
    <n v="0"/>
    <s v="Negative"/>
  </r>
  <r>
    <n v="2022"/>
    <s v="CSU-18005"/>
    <n v="27611"/>
    <x v="0"/>
    <x v="3"/>
    <s v="LC"/>
    <s v="FC"/>
    <s v="FC-093"/>
    <x v="5"/>
    <s v="L"/>
    <s v="Cx."/>
    <x v="1"/>
    <s v="F"/>
    <m/>
    <n v="3"/>
    <n v="3"/>
    <n v="0"/>
    <s v="Negative"/>
  </r>
  <r>
    <n v="2022"/>
    <s v="CSU-18006"/>
    <n v="27612"/>
    <x v="0"/>
    <x v="3"/>
    <s v="LC"/>
    <s v="FC"/>
    <s v="FC-037"/>
    <x v="5"/>
    <s v="L"/>
    <s v="Cx."/>
    <x v="0"/>
    <s v="F"/>
    <m/>
    <n v="50"/>
    <n v="50"/>
    <n v="0"/>
    <s v="Negative"/>
  </r>
  <r>
    <n v="2022"/>
    <s v="CSU-18007"/>
    <n v="27613"/>
    <x v="0"/>
    <x v="3"/>
    <s v="LC"/>
    <s v="FC"/>
    <s v="FC-037"/>
    <x v="5"/>
    <s v="L"/>
    <s v="Cx."/>
    <x v="0"/>
    <s v="F"/>
    <m/>
    <n v="50"/>
    <n v="50"/>
    <n v="0"/>
    <s v="Negative"/>
  </r>
  <r>
    <n v="2022"/>
    <s v="CSU-18008"/>
    <n v="27614"/>
    <x v="0"/>
    <x v="3"/>
    <s v="LC"/>
    <s v="FC"/>
    <s v="FC-037"/>
    <x v="5"/>
    <s v="L"/>
    <s v="Cx."/>
    <x v="0"/>
    <s v="F"/>
    <m/>
    <n v="50"/>
    <n v="50"/>
    <n v="0"/>
    <s v="Negative"/>
  </r>
  <r>
    <n v="2022"/>
    <s v="CSU-18009"/>
    <n v="27615"/>
    <x v="0"/>
    <x v="3"/>
    <s v="LC"/>
    <s v="FC"/>
    <s v="FC-037"/>
    <x v="5"/>
    <s v="L"/>
    <s v="Cx."/>
    <x v="0"/>
    <s v="F"/>
    <m/>
    <n v="50"/>
    <n v="50"/>
    <n v="0"/>
    <s v="Negative"/>
  </r>
  <r>
    <n v="2022"/>
    <s v="CSU-18010"/>
    <n v="27616"/>
    <x v="0"/>
    <x v="3"/>
    <s v="LC"/>
    <s v="FC"/>
    <s v="FC-037"/>
    <x v="5"/>
    <s v="L"/>
    <s v="Cx."/>
    <x v="0"/>
    <s v="F"/>
    <m/>
    <n v="16"/>
    <n v="16"/>
    <n v="0"/>
    <s v="Negative"/>
  </r>
  <r>
    <n v="2022"/>
    <s v="CSU-18011"/>
    <n v="27617"/>
    <x v="0"/>
    <x v="3"/>
    <s v="LC"/>
    <s v="FC"/>
    <s v="FC-037"/>
    <x v="5"/>
    <s v="L"/>
    <s v="Cx."/>
    <x v="1"/>
    <s v="F"/>
    <m/>
    <n v="8"/>
    <n v="8"/>
    <n v="0"/>
    <s v="Negative"/>
  </r>
  <r>
    <n v="2022"/>
    <s v="BOU-00095"/>
    <s v="N/A"/>
    <x v="0"/>
    <x v="0"/>
    <s v="BC"/>
    <s v="BC"/>
    <s v="BC-19"/>
    <x v="6"/>
    <s v="L"/>
    <s v="Cx."/>
    <x v="0"/>
    <s v="F"/>
    <n v="0"/>
    <n v="21"/>
    <n v="21"/>
    <n v="0"/>
    <s v="Negative"/>
  </r>
  <r>
    <n v="2022"/>
    <s v="BOU-00096"/>
    <s v="N/A"/>
    <x v="0"/>
    <x v="0"/>
    <s v="BC"/>
    <s v="BC"/>
    <s v="BC-15"/>
    <x v="6"/>
    <s v="L"/>
    <s v="Cx."/>
    <x v="0"/>
    <s v="F"/>
    <n v="0"/>
    <n v="49"/>
    <n v="49"/>
    <n v="0"/>
    <s v="Negative"/>
  </r>
  <r>
    <n v="2022"/>
    <s v="BOU-00097"/>
    <s v="N/A"/>
    <x v="0"/>
    <x v="0"/>
    <s v="BC"/>
    <s v="BC"/>
    <s v="BC-13"/>
    <x v="6"/>
    <s v="L"/>
    <s v="Cx."/>
    <x v="0"/>
    <s v="F"/>
    <n v="0"/>
    <n v="49"/>
    <n v="49"/>
    <n v="0"/>
    <s v="Negative"/>
  </r>
  <r>
    <n v="2022"/>
    <s v="BOU-00098"/>
    <s v="N/A"/>
    <x v="0"/>
    <x v="0"/>
    <s v="BC"/>
    <s v="BC"/>
    <s v="BC-18"/>
    <x v="6"/>
    <s v="L"/>
    <s v="Cx."/>
    <x v="0"/>
    <s v="F"/>
    <n v="0"/>
    <n v="37"/>
    <n v="37"/>
    <n v="0"/>
    <s v="Negative"/>
  </r>
  <r>
    <n v="2022"/>
    <s v="BOU-00099"/>
    <s v="N/A"/>
    <x v="0"/>
    <x v="0"/>
    <s v="BC"/>
    <s v="BC"/>
    <s v="BC-09"/>
    <x v="6"/>
    <s v="L"/>
    <s v="Cx."/>
    <x v="0"/>
    <s v="F"/>
    <n v="0"/>
    <n v="13"/>
    <n v="13"/>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FAD641-BF02-40AB-AF40-F79E8AEF8ECF}"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0"/>
        <item x="1"/>
        <item x="2"/>
        <item x="3"/>
        <item x="4"/>
        <item x="6"/>
        <item x="5"/>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6C409C-6196-4A1D-9FFA-E9D1828E5D77}" name="PivotTable1"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0"/>
        <item x="4"/>
        <item x="1"/>
        <item x="2"/>
        <item x="3"/>
        <item x="5"/>
        <item x="6"/>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1949E6-7100-4170-B341-3E42558180A7}" name="PivotTable4"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0"/>
        <item x="4"/>
        <item x="1"/>
        <item x="2"/>
        <item x="3"/>
        <item x="5"/>
        <item x="6"/>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1C852A-A030-4E9D-88EF-D0A529D0E10F}" name="PivotTable1"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0"/>
        <item x="4"/>
        <item x="1"/>
        <item x="2"/>
        <item x="3"/>
        <item x="5"/>
        <item x="6"/>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93</v>
      </c>
    </row>
    <row r="2" spans="1:1">
      <c r="A2" t="s">
        <v>90</v>
      </c>
    </row>
    <row r="3" spans="1:1">
      <c r="A3" t="s">
        <v>91</v>
      </c>
    </row>
    <row r="5" spans="1:1">
      <c r="A5" t="s">
        <v>88</v>
      </c>
    </row>
    <row r="6" spans="1:1">
      <c r="A6" t="s">
        <v>95</v>
      </c>
    </row>
    <row r="7" spans="1:1">
      <c r="A7" t="s">
        <v>89</v>
      </c>
    </row>
    <row r="8" spans="1:1">
      <c r="A8" t="s">
        <v>96</v>
      </c>
    </row>
    <row r="9" spans="1:1">
      <c r="A9" t="s">
        <v>92</v>
      </c>
    </row>
    <row r="10" spans="1:1">
      <c r="A10" t="s">
        <v>94</v>
      </c>
    </row>
    <row r="11" spans="1:1">
      <c r="A11" t="s">
        <v>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topLeftCell="B1" workbookViewId="0">
      <selection activeCell="B9" sqref="B9"/>
    </sheetView>
  </sheetViews>
  <sheetFormatPr defaultColWidth="8.85546875" defaultRowHeight="15"/>
  <cols>
    <col min="1" max="1" width="39.5703125" bestFit="1" customWidth="1"/>
    <col min="2" max="2" width="16.28515625" customWidth="1"/>
    <col min="3" max="3" width="7.5703125" bestFit="1" customWidth="1"/>
    <col min="4" max="5" width="11.28515625" bestFit="1" customWidth="1"/>
    <col min="7" max="7" width="12.42578125" customWidth="1"/>
    <col min="8" max="8" width="9.140625" customWidth="1"/>
  </cols>
  <sheetData>
    <row r="1" spans="1:10">
      <c r="A1" s="33" t="s">
        <v>72</v>
      </c>
      <c r="G1" s="118" t="s">
        <v>52</v>
      </c>
      <c r="H1" s="118"/>
    </row>
    <row r="2" spans="1:10">
      <c r="A2" s="3" t="s">
        <v>8</v>
      </c>
      <c r="B2" s="86" t="s">
        <v>1</v>
      </c>
    </row>
    <row r="4" spans="1:10">
      <c r="A4" s="3" t="s">
        <v>84</v>
      </c>
      <c r="B4" s="3" t="s">
        <v>3</v>
      </c>
      <c r="G4" s="24" t="s">
        <v>84</v>
      </c>
      <c r="H4" s="24" t="s">
        <v>3</v>
      </c>
      <c r="I4" s="24"/>
      <c r="J4" s="24"/>
    </row>
    <row r="5" spans="1:10">
      <c r="A5" s="3" t="s">
        <v>4</v>
      </c>
      <c r="B5" s="86" t="s">
        <v>195</v>
      </c>
      <c r="C5" s="86" t="s">
        <v>348</v>
      </c>
      <c r="D5" s="86" t="s">
        <v>7</v>
      </c>
      <c r="G5" s="25" t="s">
        <v>4</v>
      </c>
      <c r="H5" s="25" t="s">
        <v>5</v>
      </c>
      <c r="I5" s="25" t="s">
        <v>6</v>
      </c>
      <c r="J5" s="25" t="s">
        <v>7</v>
      </c>
    </row>
    <row r="6" spans="1:10">
      <c r="A6" s="1" t="s">
        <v>9</v>
      </c>
      <c r="B6" s="2">
        <v>4</v>
      </c>
      <c r="C6" s="2">
        <v>20</v>
      </c>
      <c r="D6" s="2">
        <v>24</v>
      </c>
      <c r="G6" s="1" t="s">
        <v>9</v>
      </c>
      <c r="H6" s="2">
        <f>GETPIVOTDATA("CSU Pool Number     (CMC enters)",$A$4,"Zone","LV","Spp","Pipiens")</f>
        <v>4</v>
      </c>
      <c r="I6" s="2">
        <f>GETPIVOTDATA("CSU Pool Number     (CMC enters)",$A$4,"Zone","LV","Spp","Tarsalis")</f>
        <v>20</v>
      </c>
      <c r="J6" s="2">
        <f>GETPIVOTDATA("CSU Pool Number     (CMC enters)",$A$4,"Zone","LV")</f>
        <v>24</v>
      </c>
    </row>
    <row r="7" spans="1:10">
      <c r="A7" s="1" t="s">
        <v>100</v>
      </c>
      <c r="B7" s="2">
        <v>3</v>
      </c>
      <c r="C7" s="2">
        <v>11</v>
      </c>
      <c r="D7" s="2">
        <v>14</v>
      </c>
      <c r="G7" s="1" t="s">
        <v>58</v>
      </c>
      <c r="H7" s="2">
        <f>GETPIVOTDATA("CSU Pool Number     (CMC enters)",$A$4,"Zone","NE","Spp","Pipiens")</f>
        <v>19</v>
      </c>
      <c r="I7" s="2">
        <f>GETPIVOTDATA("CSU Pool Number     (CMC enters)",$A$4,"Zone","NE","Spp","Tarsalis")</f>
        <v>32</v>
      </c>
      <c r="J7" s="2">
        <f>GETPIVOTDATA("CSU Pool Number     (CMC enters)",$A$4,"Zone","NE")</f>
        <v>51</v>
      </c>
    </row>
    <row r="8" spans="1:10">
      <c r="A8" s="1" t="s">
        <v>58</v>
      </c>
      <c r="B8" s="2">
        <v>19</v>
      </c>
      <c r="C8" s="2">
        <v>32</v>
      </c>
      <c r="D8" s="2">
        <v>51</v>
      </c>
      <c r="G8" s="1" t="s">
        <v>57</v>
      </c>
      <c r="H8" s="2">
        <f>GETPIVOTDATA("CSU Pool Number     (CMC enters)",$A$4,"Zone","NW","Spp","Pipiens")</f>
        <v>10</v>
      </c>
      <c r="I8" s="2">
        <f>GETPIVOTDATA("CSU Pool Number     (CMC enters)",$A$4,"Zone","NW","Spp","Tarsalis")</f>
        <v>13</v>
      </c>
      <c r="J8" s="2">
        <f>GETPIVOTDATA("CSU Pool Number     (CMC enters)",$A$4,"Zone","NW")</f>
        <v>23</v>
      </c>
    </row>
    <row r="9" spans="1:10">
      <c r="A9" s="1" t="s">
        <v>57</v>
      </c>
      <c r="B9" s="2">
        <v>10</v>
      </c>
      <c r="C9" s="2">
        <v>13</v>
      </c>
      <c r="D9" s="2">
        <v>23</v>
      </c>
      <c r="G9" s="1" t="s">
        <v>59</v>
      </c>
      <c r="H9" s="2">
        <f>GETPIVOTDATA("CSU Pool Number     (CMC enters)",$A$4,"Zone","SE","Spp","Pipiens")</f>
        <v>18</v>
      </c>
      <c r="I9" s="2">
        <f>GETPIVOTDATA("CSU Pool Number     (CMC enters)",$A$4,"Zone","SE","Spp","Tarsalis")</f>
        <v>41</v>
      </c>
      <c r="J9" s="2">
        <f>GETPIVOTDATA("CSU Pool Number     (CMC enters)",$A$4,"Zone","SE")</f>
        <v>59</v>
      </c>
    </row>
    <row r="10" spans="1:10">
      <c r="A10" s="1" t="s">
        <v>59</v>
      </c>
      <c r="B10" s="2">
        <v>18</v>
      </c>
      <c r="C10" s="2">
        <v>41</v>
      </c>
      <c r="D10" s="2">
        <v>59</v>
      </c>
      <c r="G10" s="1" t="s">
        <v>60</v>
      </c>
      <c r="H10" s="2">
        <f>GETPIVOTDATA("CSU Pool Number     (CMC enters)",$A$4,"Zone","SW","Spp","Pipiens")</f>
        <v>9</v>
      </c>
      <c r="I10" s="2">
        <f>GETPIVOTDATA("CSU Pool Number     (CMC enters)",$A$4,"Zone","SW","Spp","Tarsalis")</f>
        <v>16</v>
      </c>
      <c r="J10" s="2">
        <f>GETPIVOTDATA("CSU Pool Number     (CMC enters)",$A$4,"Zone","SW")</f>
        <v>25</v>
      </c>
    </row>
    <row r="11" spans="1:10">
      <c r="A11" s="1" t="s">
        <v>60</v>
      </c>
      <c r="B11" s="2">
        <v>9</v>
      </c>
      <c r="C11" s="2">
        <v>16</v>
      </c>
      <c r="D11" s="2">
        <v>25</v>
      </c>
      <c r="G11" s="1" t="s">
        <v>100</v>
      </c>
      <c r="H11" s="2">
        <f>GETPIVOTDATA("CSU Pool Number     (CMC enters)",$A$4,"Zone","BE","Spp","Pipiens")</f>
        <v>3</v>
      </c>
      <c r="I11" s="2">
        <f>GETPIVOTDATA("CSU Pool Number     (CMC enters)",$A$4,"Zone","BE","Spp","Tarsalis")</f>
        <v>11</v>
      </c>
      <c r="J11">
        <f>GETPIVOTDATA("CSU Pool Number     (CMC enters)",$A$4,"Zone","BE")</f>
        <v>14</v>
      </c>
    </row>
    <row r="12" spans="1:10">
      <c r="A12" s="1" t="s">
        <v>105</v>
      </c>
      <c r="B12" s="2"/>
      <c r="C12" s="2">
        <v>5</v>
      </c>
      <c r="D12" s="2">
        <v>5</v>
      </c>
      <c r="G12" s="1" t="s">
        <v>105</v>
      </c>
      <c r="H12" s="2">
        <v>0</v>
      </c>
      <c r="I12" s="2">
        <f>GETPIVOTDATA("CSU Pool Number     (CMC enters)",$A$4,"Zone","BC","Spp","Tarsalis")</f>
        <v>5</v>
      </c>
      <c r="J12">
        <f>GETPIVOTDATA("CSU Pool Number     (CMC enters)",$A$4,"Zone","BC")</f>
        <v>5</v>
      </c>
    </row>
    <row r="13" spans="1:10">
      <c r="A13" s="1" t="s">
        <v>7</v>
      </c>
      <c r="B13" s="2">
        <v>63</v>
      </c>
      <c r="C13" s="2">
        <v>138</v>
      </c>
      <c r="D13" s="2">
        <v>201</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G21" sqref="G21"/>
    </sheetView>
  </sheetViews>
  <sheetFormatPr defaultColWidth="8.85546875" defaultRowHeight="15"/>
  <cols>
    <col min="1" max="1" width="28.140625" customWidth="1"/>
    <col min="2" max="2" width="16.28515625" customWidth="1"/>
    <col min="3" max="3" width="7.5703125" bestFit="1" customWidth="1"/>
    <col min="4" max="5" width="11.28515625" bestFit="1" customWidth="1"/>
    <col min="6" max="123" width="16.28515625" bestFit="1" customWidth="1"/>
    <col min="124" max="124" width="11.28515625" bestFit="1" customWidth="1"/>
  </cols>
  <sheetData>
    <row r="1" spans="1:9">
      <c r="A1" s="118" t="s">
        <v>72</v>
      </c>
      <c r="B1" s="118"/>
      <c r="C1" s="118"/>
      <c r="F1" s="33" t="s">
        <v>52</v>
      </c>
    </row>
    <row r="3" spans="1:9">
      <c r="A3" s="3" t="s">
        <v>0</v>
      </c>
      <c r="B3" s="86" t="s">
        <v>1</v>
      </c>
    </row>
    <row r="5" spans="1:9">
      <c r="A5" s="3" t="s">
        <v>85</v>
      </c>
      <c r="B5" s="3" t="s">
        <v>3</v>
      </c>
      <c r="F5" s="24" t="s">
        <v>47</v>
      </c>
      <c r="G5" s="24" t="s">
        <v>3</v>
      </c>
      <c r="H5" s="24"/>
      <c r="I5" s="24"/>
    </row>
    <row r="6" spans="1:9">
      <c r="A6" s="3" t="s">
        <v>4</v>
      </c>
      <c r="B6" s="86" t="s">
        <v>195</v>
      </c>
      <c r="C6" s="86" t="s">
        <v>348</v>
      </c>
      <c r="D6" s="86" t="s">
        <v>7</v>
      </c>
      <c r="F6" s="25" t="s">
        <v>4</v>
      </c>
      <c r="G6" s="25" t="s">
        <v>5</v>
      </c>
      <c r="H6" s="25" t="s">
        <v>6</v>
      </c>
      <c r="I6" s="25" t="s">
        <v>7</v>
      </c>
    </row>
    <row r="7" spans="1:9">
      <c r="A7" s="1" t="s">
        <v>9</v>
      </c>
      <c r="B7" s="2">
        <v>0</v>
      </c>
      <c r="C7" s="2">
        <v>2</v>
      </c>
      <c r="D7" s="2">
        <v>2</v>
      </c>
      <c r="F7" s="1" t="s">
        <v>57</v>
      </c>
      <c r="G7" s="2">
        <f>GETPIVOTDATA("Test code (CSU enters)",$A$5,"Zone","NW","Spp","Pipiens")</f>
        <v>0</v>
      </c>
      <c r="H7" s="2">
        <f>GETPIVOTDATA("Test code (CSU enters)",$A$5,"Zone","NW","Spp","Tarsalis")</f>
        <v>1</v>
      </c>
      <c r="I7" s="2">
        <f>GETPIVOTDATA("Test code (CSU enters)",$A$5,"Zone","NW")</f>
        <v>1</v>
      </c>
    </row>
    <row r="8" spans="1:9">
      <c r="A8" s="1" t="s">
        <v>100</v>
      </c>
      <c r="B8" s="2">
        <v>0</v>
      </c>
      <c r="C8" s="2">
        <v>0</v>
      </c>
      <c r="D8" s="2">
        <v>0</v>
      </c>
      <c r="F8" s="1" t="s">
        <v>58</v>
      </c>
      <c r="G8" s="2">
        <f>GETPIVOTDATA("Test code (CSU enters)",$A$5,"Zone","NE","Spp","Pipiens")</f>
        <v>0</v>
      </c>
      <c r="H8" s="2">
        <f>GETPIVOTDATA("Test code (CSU enters)",$A$5,"Zone","NE","Spp","Tarsalis")</f>
        <v>0</v>
      </c>
      <c r="I8" s="2">
        <f>GETPIVOTDATA("Test code (CSU enters)",$A$5,"Zone","NE")</f>
        <v>0</v>
      </c>
    </row>
    <row r="9" spans="1:9">
      <c r="A9" s="1" t="s">
        <v>58</v>
      </c>
      <c r="B9" s="2">
        <v>0</v>
      </c>
      <c r="C9" s="2">
        <v>0</v>
      </c>
      <c r="D9" s="2">
        <v>0</v>
      </c>
      <c r="F9" s="1" t="s">
        <v>59</v>
      </c>
      <c r="G9" s="2">
        <f>GETPIVOTDATA("Test code (CSU enters)",$A$5,"Zone","SE","Spp","Pipiens")</f>
        <v>0</v>
      </c>
      <c r="H9" s="2">
        <f>GETPIVOTDATA("Test code (CSU enters)",$A$5,"Zone","SE","Spp","Tarsalis")</f>
        <v>4</v>
      </c>
      <c r="I9" s="2">
        <f>GETPIVOTDATA("Test code (CSU enters)",$A$5,"Zone","SE")</f>
        <v>4</v>
      </c>
    </row>
    <row r="10" spans="1:9">
      <c r="A10" s="1" t="s">
        <v>57</v>
      </c>
      <c r="B10" s="2">
        <v>0</v>
      </c>
      <c r="C10" s="2">
        <v>1</v>
      </c>
      <c r="D10" s="2">
        <v>1</v>
      </c>
      <c r="F10" s="1" t="s">
        <v>60</v>
      </c>
      <c r="G10" s="2">
        <f>GETPIVOTDATA("Test code (CSU enters)",$A$5,"Zone","SW","Spp","Pipiens")</f>
        <v>0</v>
      </c>
      <c r="H10" s="2">
        <f>GETPIVOTDATA("Test code (CSU enters)",$A$5,"Zone","SW","Spp","Tarsalis")</f>
        <v>0</v>
      </c>
      <c r="I10" s="2">
        <f>GETPIVOTDATA("Test code (CSU enters)",$A$5,"Zone","SW")</f>
        <v>0</v>
      </c>
    </row>
    <row r="11" spans="1:9">
      <c r="A11" s="1" t="s">
        <v>59</v>
      </c>
      <c r="B11" s="2">
        <v>0</v>
      </c>
      <c r="C11" s="2">
        <v>4</v>
      </c>
      <c r="D11" s="2">
        <v>4</v>
      </c>
      <c r="F11" s="1" t="s">
        <v>9</v>
      </c>
      <c r="G11" s="2">
        <f>GETPIVOTDATA("Test code (CSU enters)",$A$5,"Zone","LV","Spp","Pipiens")</f>
        <v>0</v>
      </c>
      <c r="H11" s="2">
        <f>GETPIVOTDATA("Test code (CSU enters)",$A$5,"Zone","LV","Spp","Tarsalis")</f>
        <v>2</v>
      </c>
      <c r="I11" s="2">
        <f>GETPIVOTDATA("Test code (CSU enters)",$A$5,"Zone","LV")</f>
        <v>2</v>
      </c>
    </row>
    <row r="12" spans="1:9">
      <c r="A12" s="1" t="s">
        <v>60</v>
      </c>
      <c r="B12" s="2">
        <v>0</v>
      </c>
      <c r="C12" s="2">
        <v>0</v>
      </c>
      <c r="D12" s="2">
        <v>0</v>
      </c>
      <c r="F12" s="1" t="s">
        <v>100</v>
      </c>
      <c r="G12" s="2">
        <f>GETPIVOTDATA("Test code (CSU enters)",$A$5,"Zone","BE","Spp","Pipiens")</f>
        <v>0</v>
      </c>
      <c r="H12" s="2">
        <f>GETPIVOTDATA("Test code (CSU enters)",$A$5,"Zone","BE","Spp","Tarsalis")</f>
        <v>0</v>
      </c>
      <c r="I12">
        <f>GETPIVOTDATA("Test code (CSU enters)",$A$5,"Zone","BE")</f>
        <v>0</v>
      </c>
    </row>
    <row r="13" spans="1:9">
      <c r="A13" s="1" t="s">
        <v>105</v>
      </c>
      <c r="B13" s="2"/>
      <c r="C13" s="2">
        <v>0</v>
      </c>
      <c r="D13" s="2">
        <v>0</v>
      </c>
      <c r="F13" s="1" t="s">
        <v>105</v>
      </c>
      <c r="G13" s="2">
        <f>GETPIVOTDATA("Test code (CSU enters)",$A$5,"Zone","BC","Spp","Pipiens")</f>
        <v>0</v>
      </c>
      <c r="H13" s="2">
        <f>GETPIVOTDATA("Test code (CSU enters)",$A$5,"Zone","BC","Spp","Tarsalis")</f>
        <v>0</v>
      </c>
      <c r="I13">
        <f>GETPIVOTDATA("Test code (CSU enters)",$A$5,"Zone","BC")</f>
        <v>0</v>
      </c>
    </row>
    <row r="14" spans="1:9">
      <c r="A14" s="1" t="s">
        <v>7</v>
      </c>
      <c r="B14" s="2">
        <v>0</v>
      </c>
      <c r="C14" s="2">
        <v>7</v>
      </c>
      <c r="D14" s="2">
        <v>7</v>
      </c>
      <c r="F14" s="97" t="s">
        <v>7</v>
      </c>
      <c r="G14" s="98">
        <f>GETPIVOTDATA("Test code (CSU enters)",$A$5,"Spp","Pipiens")</f>
        <v>0</v>
      </c>
      <c r="H14" s="98">
        <f>GETPIVOTDATA("Test code (CSU enters)",$A$5,"Spp","Tarsalis")</f>
        <v>7</v>
      </c>
      <c r="I14" s="98">
        <f>GETPIVOTDATA("Test code (CSU enters)",$A$5)</f>
        <v>7</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G9" sqref="G9"/>
    </sheetView>
  </sheetViews>
  <sheetFormatPr defaultColWidth="8.85546875" defaultRowHeight="15"/>
  <cols>
    <col min="1" max="1" width="15.85546875" customWidth="1"/>
    <col min="2" max="2" width="12.140625" customWidth="1"/>
    <col min="3" max="3" width="14.42578125" customWidth="1"/>
  </cols>
  <sheetData>
    <row r="1" spans="1:11">
      <c r="A1" s="34" t="s">
        <v>62</v>
      </c>
      <c r="B1" s="34" t="s">
        <v>63</v>
      </c>
      <c r="C1" s="34" t="s">
        <v>61</v>
      </c>
      <c r="J1" s="50" t="s">
        <v>86</v>
      </c>
      <c r="K1" s="59" t="s">
        <v>194</v>
      </c>
    </row>
    <row r="2" spans="1:11">
      <c r="A2" t="s">
        <v>46</v>
      </c>
      <c r="B2" t="s">
        <v>14</v>
      </c>
      <c r="C2" s="31">
        <v>0</v>
      </c>
      <c r="H2" s="31"/>
      <c r="J2" s="86" t="s">
        <v>185</v>
      </c>
      <c r="K2" s="31">
        <v>0</v>
      </c>
    </row>
    <row r="3" spans="1:11">
      <c r="A3" t="s">
        <v>46</v>
      </c>
      <c r="B3" t="s">
        <v>15</v>
      </c>
      <c r="C3" s="31">
        <v>1.3396363028528271</v>
      </c>
      <c r="I3" s="31"/>
      <c r="J3" s="86" t="s">
        <v>184</v>
      </c>
      <c r="K3" s="31">
        <v>0</v>
      </c>
    </row>
    <row r="4" spans="1:11">
      <c r="A4" t="s">
        <v>9</v>
      </c>
      <c r="B4" t="s">
        <v>14</v>
      </c>
      <c r="C4" s="73">
        <v>0</v>
      </c>
      <c r="I4" s="31"/>
      <c r="J4" s="86" t="s">
        <v>183</v>
      </c>
      <c r="K4" s="31">
        <v>0</v>
      </c>
    </row>
    <row r="5" spans="1:11">
      <c r="A5" t="s">
        <v>9</v>
      </c>
      <c r="B5" t="s">
        <v>15</v>
      </c>
      <c r="C5" s="31">
        <v>2.3807344486126936</v>
      </c>
      <c r="H5" s="31"/>
      <c r="J5" s="86" t="s">
        <v>182</v>
      </c>
      <c r="K5" s="31">
        <v>0</v>
      </c>
    </row>
    <row r="6" spans="1:11">
      <c r="A6" t="s">
        <v>100</v>
      </c>
      <c r="B6" t="s">
        <v>14</v>
      </c>
      <c r="C6" s="73">
        <v>0</v>
      </c>
      <c r="H6" s="31"/>
      <c r="J6" s="86" t="s">
        <v>181</v>
      </c>
      <c r="K6" s="31">
        <v>1.3396363028528271</v>
      </c>
    </row>
    <row r="7" spans="1:11">
      <c r="A7" t="s">
        <v>100</v>
      </c>
      <c r="B7" t="s">
        <v>15</v>
      </c>
      <c r="C7" s="73">
        <v>0</v>
      </c>
      <c r="G7" s="82"/>
      <c r="H7" s="31"/>
      <c r="J7" s="86" t="s">
        <v>180</v>
      </c>
      <c r="K7" s="31">
        <v>0</v>
      </c>
    </row>
    <row r="8" spans="1:11">
      <c r="A8" t="s">
        <v>105</v>
      </c>
      <c r="B8" t="s">
        <v>14</v>
      </c>
      <c r="C8" s="73"/>
      <c r="G8" s="82"/>
      <c r="H8" s="31"/>
      <c r="J8" s="86" t="s">
        <v>179</v>
      </c>
      <c r="K8" s="31">
        <v>2.3807344486126936</v>
      </c>
    </row>
    <row r="9" spans="1:11">
      <c r="A9" t="s">
        <v>105</v>
      </c>
      <c r="B9" t="s">
        <v>15</v>
      </c>
      <c r="C9" s="31">
        <v>0</v>
      </c>
      <c r="G9" s="82"/>
      <c r="H9" s="31"/>
      <c r="K9" s="31"/>
    </row>
    <row r="10" spans="1:11">
      <c r="G10" s="82"/>
      <c r="H10" s="31"/>
      <c r="K10" s="31"/>
    </row>
    <row r="11" spans="1:11">
      <c r="G11" s="82"/>
      <c r="H11" s="31"/>
      <c r="K11" s="31"/>
    </row>
    <row r="12" spans="1:11">
      <c r="G12" s="82"/>
      <c r="H12" s="31"/>
      <c r="K12" s="31"/>
    </row>
    <row r="13" spans="1:11">
      <c r="G13" s="82"/>
      <c r="H13" s="31"/>
      <c r="I13" s="31"/>
      <c r="K13" s="31"/>
    </row>
    <row r="14" spans="1:11">
      <c r="G14" s="82"/>
      <c r="H14" s="31"/>
      <c r="I14" s="50"/>
      <c r="J14" s="59"/>
    </row>
    <row r="15" spans="1:11">
      <c r="G15" s="82"/>
      <c r="H15" s="31"/>
      <c r="J15" s="31"/>
      <c r="K15" s="31"/>
    </row>
    <row r="16" spans="1:11">
      <c r="F16" s="31"/>
      <c r="G16" s="31"/>
      <c r="J16" s="31"/>
      <c r="K16" s="59"/>
    </row>
    <row r="17" spans="6:11">
      <c r="F17" s="31"/>
      <c r="G17" s="31"/>
      <c r="H17" s="59"/>
      <c r="J17" s="31"/>
      <c r="K17" s="31"/>
    </row>
    <row r="18" spans="6:11">
      <c r="F18" s="31"/>
      <c r="H18" s="31"/>
      <c r="J18" s="31"/>
      <c r="K18" s="31"/>
    </row>
    <row r="19" spans="6:11">
      <c r="F19" s="31"/>
      <c r="H19" s="31"/>
      <c r="I19" s="84"/>
      <c r="J19" s="31"/>
      <c r="K19" s="31"/>
    </row>
    <row r="20" spans="6:11">
      <c r="H20" s="31"/>
      <c r="I20" s="84"/>
      <c r="J20" s="31"/>
      <c r="K20" s="31"/>
    </row>
    <row r="21" spans="6:11">
      <c r="H21" s="31"/>
      <c r="I21" s="84"/>
      <c r="J21" s="31"/>
      <c r="K21" s="31"/>
    </row>
    <row r="22" spans="6:11">
      <c r="H22" s="31"/>
      <c r="I22" s="84"/>
      <c r="J22" s="31"/>
      <c r="K22" s="31"/>
    </row>
    <row r="23" spans="6:11">
      <c r="H23" s="31"/>
      <c r="I23" s="84"/>
      <c r="J23" s="31"/>
    </row>
    <row r="24" spans="6:11">
      <c r="I24" s="84"/>
      <c r="J24" s="31"/>
    </row>
    <row r="25" spans="6:11">
      <c r="I25" s="84"/>
      <c r="J25"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G7" sqref="G7"/>
    </sheetView>
  </sheetViews>
  <sheetFormatPr defaultColWidth="8.85546875" defaultRowHeight="15"/>
  <cols>
    <col min="2" max="2" width="15.7109375" customWidth="1"/>
    <col min="3" max="3" width="13.140625" customWidth="1"/>
  </cols>
  <sheetData>
    <row r="1" spans="1:12">
      <c r="A1" s="34" t="s">
        <v>64</v>
      </c>
      <c r="B1" s="34" t="s">
        <v>63</v>
      </c>
      <c r="C1" s="34" t="s">
        <v>61</v>
      </c>
      <c r="I1" s="50" t="s">
        <v>87</v>
      </c>
      <c r="J1" s="59" t="s">
        <v>194</v>
      </c>
    </row>
    <row r="2" spans="1:12">
      <c r="A2" t="s">
        <v>57</v>
      </c>
      <c r="B2" t="s">
        <v>14</v>
      </c>
      <c r="C2" s="31">
        <v>0</v>
      </c>
      <c r="G2" s="31"/>
      <c r="I2" s="86" t="s">
        <v>187</v>
      </c>
      <c r="J2" s="31">
        <v>0</v>
      </c>
    </row>
    <row r="3" spans="1:12">
      <c r="A3" t="s">
        <v>57</v>
      </c>
      <c r="B3" t="s">
        <v>15</v>
      </c>
      <c r="C3" s="31">
        <v>2.7345544387201959</v>
      </c>
      <c r="G3" s="31"/>
      <c r="I3" s="86" t="s">
        <v>186</v>
      </c>
      <c r="J3" s="31">
        <v>0</v>
      </c>
    </row>
    <row r="4" spans="1:12">
      <c r="A4" t="s">
        <v>58</v>
      </c>
      <c r="B4" t="s">
        <v>14</v>
      </c>
      <c r="C4" s="31">
        <v>0</v>
      </c>
      <c r="G4" s="31"/>
      <c r="I4" s="86" t="s">
        <v>191</v>
      </c>
      <c r="J4" s="31">
        <v>0</v>
      </c>
    </row>
    <row r="5" spans="1:12">
      <c r="A5" t="s">
        <v>58</v>
      </c>
      <c r="B5" t="s">
        <v>15</v>
      </c>
      <c r="C5" s="31">
        <v>0</v>
      </c>
      <c r="G5" s="31"/>
      <c r="I5" s="86" t="s">
        <v>188</v>
      </c>
      <c r="J5" s="31">
        <v>2.7345544387201959</v>
      </c>
    </row>
    <row r="6" spans="1:12">
      <c r="A6" t="s">
        <v>59</v>
      </c>
      <c r="B6" t="s">
        <v>14</v>
      </c>
      <c r="C6" s="31">
        <v>0</v>
      </c>
      <c r="G6" s="31"/>
      <c r="H6" s="84"/>
      <c r="I6" s="86" t="s">
        <v>190</v>
      </c>
      <c r="J6" s="31">
        <v>0</v>
      </c>
    </row>
    <row r="7" spans="1:12">
      <c r="A7" t="s">
        <v>59</v>
      </c>
      <c r="B7" t="s">
        <v>15</v>
      </c>
      <c r="C7" s="31">
        <v>2.6280318677468588</v>
      </c>
      <c r="G7" s="31"/>
      <c r="H7" s="84"/>
      <c r="I7" s="86" t="s">
        <v>189</v>
      </c>
      <c r="J7" s="31">
        <v>2.6280318677468588</v>
      </c>
    </row>
    <row r="8" spans="1:12">
      <c r="A8" t="s">
        <v>60</v>
      </c>
      <c r="B8" t="s">
        <v>14</v>
      </c>
      <c r="C8" s="31">
        <v>0</v>
      </c>
      <c r="G8" s="31"/>
      <c r="H8" s="84"/>
      <c r="I8" s="86" t="s">
        <v>192</v>
      </c>
      <c r="J8" s="31">
        <v>0</v>
      </c>
    </row>
    <row r="9" spans="1:12">
      <c r="A9" t="s">
        <v>60</v>
      </c>
      <c r="B9" t="s">
        <v>15</v>
      </c>
      <c r="C9" s="31">
        <v>0</v>
      </c>
      <c r="G9" s="31"/>
      <c r="H9" s="84"/>
      <c r="I9" s="86" t="s">
        <v>193</v>
      </c>
      <c r="J9" s="31">
        <v>0</v>
      </c>
      <c r="L9" s="31"/>
    </row>
    <row r="10" spans="1:12">
      <c r="H10" s="84"/>
      <c r="I10" s="31"/>
      <c r="J10" s="31"/>
      <c r="L10" s="31"/>
    </row>
    <row r="11" spans="1:12">
      <c r="H11" s="84"/>
      <c r="I11" s="31"/>
      <c r="J11" s="31"/>
      <c r="L11" s="31"/>
    </row>
    <row r="12" spans="1:12">
      <c r="B12" s="31"/>
      <c r="H12" s="84"/>
      <c r="I12" s="31"/>
      <c r="J12" s="31"/>
      <c r="L12" s="31"/>
    </row>
    <row r="13" spans="1:12">
      <c r="B13" s="31"/>
      <c r="H13" s="84"/>
      <c r="I13" s="31"/>
      <c r="J13" s="31"/>
      <c r="K13" s="59"/>
      <c r="L13" s="31"/>
    </row>
    <row r="14" spans="1:12">
      <c r="B14" s="31"/>
      <c r="H14" s="84"/>
      <c r="I14" s="31"/>
      <c r="J14" s="31"/>
      <c r="K14" s="31"/>
      <c r="L14" s="31"/>
    </row>
    <row r="15" spans="1:12">
      <c r="B15" s="31"/>
      <c r="H15" s="84"/>
      <c r="I15" s="31"/>
      <c r="J15" s="31"/>
      <c r="K15" s="31"/>
      <c r="L15" s="31"/>
    </row>
    <row r="16" spans="1:12">
      <c r="B16" s="31"/>
      <c r="H16" s="84"/>
      <c r="I16" s="31"/>
      <c r="J16" s="31"/>
      <c r="K16" s="31"/>
      <c r="L16" s="31"/>
    </row>
    <row r="17" spans="2:12">
      <c r="B17" s="31"/>
      <c r="H17" s="84"/>
      <c r="I17" s="31"/>
      <c r="J17" s="31"/>
      <c r="K17" s="31"/>
      <c r="L17" s="31"/>
    </row>
    <row r="18" spans="2:12">
      <c r="B18" s="31"/>
      <c r="H18" s="84"/>
      <c r="I18" s="31"/>
      <c r="J18" s="31"/>
      <c r="K18" s="31"/>
      <c r="L18" s="31"/>
    </row>
    <row r="19" spans="2:12">
      <c r="B19" s="31"/>
      <c r="H19" s="31"/>
      <c r="I19" s="31"/>
      <c r="J19" s="31"/>
      <c r="K19" s="31"/>
      <c r="L19" s="31"/>
    </row>
    <row r="20" spans="2:12">
      <c r="B20" s="31"/>
      <c r="H20" s="31"/>
      <c r="I20" s="31"/>
      <c r="J20" s="31"/>
      <c r="K20" s="31"/>
    </row>
    <row r="21" spans="2:12">
      <c r="B21" s="31"/>
      <c r="H21" s="31"/>
      <c r="I21" s="31"/>
      <c r="J21" s="31"/>
      <c r="K21" s="31"/>
    </row>
    <row r="22" spans="2:12">
      <c r="H22" s="31"/>
      <c r="J22" s="31"/>
      <c r="K22" s="31"/>
    </row>
    <row r="23" spans="2:12">
      <c r="H23" s="31"/>
      <c r="I23" s="31"/>
      <c r="K23" s="31"/>
    </row>
    <row r="24" spans="2:12">
      <c r="H24" s="31"/>
      <c r="I24" s="31"/>
      <c r="K24" s="31"/>
    </row>
    <row r="25" spans="2:12">
      <c r="H25" s="31"/>
      <c r="I25" s="31"/>
      <c r="K25" s="31"/>
    </row>
    <row r="26" spans="2:12">
      <c r="I26" s="31"/>
      <c r="K26" s="31"/>
    </row>
    <row r="27" spans="2:12">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abSelected="1" topLeftCell="A31" zoomScale="70" zoomScaleNormal="70" workbookViewId="0">
      <selection activeCell="D14" sqref="D14"/>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s>
  <sheetData>
    <row r="1" spans="1:15" ht="25.5" customHeight="1">
      <c r="A1" t="s">
        <v>98</v>
      </c>
      <c r="B1" s="4"/>
      <c r="C1" s="123" t="s">
        <v>10</v>
      </c>
      <c r="D1" s="124"/>
      <c r="E1" s="123" t="s">
        <v>11</v>
      </c>
      <c r="F1" s="124"/>
      <c r="G1" s="131"/>
      <c r="H1" s="132"/>
      <c r="I1" s="133"/>
    </row>
    <row r="2" spans="1:15" ht="27" customHeight="1">
      <c r="B2" s="5"/>
      <c r="C2" s="125"/>
      <c r="D2" s="126"/>
      <c r="E2" s="125" t="s">
        <v>12</v>
      </c>
      <c r="F2" s="126"/>
      <c r="G2" s="134" t="s">
        <v>13</v>
      </c>
      <c r="H2" s="135"/>
      <c r="I2" s="136"/>
    </row>
    <row r="3" spans="1:15" ht="15.75" thickBot="1">
      <c r="B3" s="5"/>
      <c r="C3" s="127"/>
      <c r="D3" s="128"/>
      <c r="E3" s="129"/>
      <c r="F3" s="130"/>
      <c r="G3" s="129"/>
      <c r="H3" s="137"/>
      <c r="I3" s="130"/>
    </row>
    <row r="4" spans="1:15" ht="15.75" customHeight="1">
      <c r="B4" s="5" t="s">
        <v>594</v>
      </c>
      <c r="C4" s="119" t="s">
        <v>14</v>
      </c>
      <c r="D4" s="119" t="s">
        <v>15</v>
      </c>
      <c r="E4" s="7" t="s">
        <v>16</v>
      </c>
      <c r="F4" s="7" t="s">
        <v>16</v>
      </c>
      <c r="G4" s="121" t="s">
        <v>17</v>
      </c>
      <c r="H4" s="121" t="s">
        <v>18</v>
      </c>
      <c r="I4" s="9" t="s">
        <v>19</v>
      </c>
    </row>
    <row r="5" spans="1:15" ht="15.75" thickBot="1">
      <c r="B5" s="6"/>
      <c r="C5" s="120"/>
      <c r="D5" s="120"/>
      <c r="E5" s="8" t="s">
        <v>5</v>
      </c>
      <c r="F5" s="8" t="s">
        <v>6</v>
      </c>
      <c r="G5" s="122"/>
      <c r="H5" s="122"/>
      <c r="I5" s="10" t="s">
        <v>20</v>
      </c>
    </row>
    <row r="6" spans="1:15" ht="38.25" customHeight="1" thickBot="1">
      <c r="B6" s="11" t="s">
        <v>53</v>
      </c>
      <c r="C6" s="26">
        <f t="shared" ref="C6:D10" si="0">G40</f>
        <v>5</v>
      </c>
      <c r="D6" s="26">
        <f t="shared" si="0"/>
        <v>39.777777777777779</v>
      </c>
      <c r="E6" s="41">
        <f t="shared" ref="E6:F10" si="1">L73/1000</f>
        <v>0</v>
      </c>
      <c r="F6" s="41">
        <f t="shared" si="1"/>
        <v>2.7345544387201957E-3</v>
      </c>
      <c r="G6" s="32">
        <f t="shared" ref="G6:H10" si="2">C6*E6</f>
        <v>0</v>
      </c>
      <c r="H6" s="32">
        <f t="shared" si="2"/>
        <v>0.10877449878464779</v>
      </c>
      <c r="I6" s="32">
        <f>G6+H6</f>
        <v>0.10877449878464779</v>
      </c>
    </row>
    <row r="7" spans="1:15" ht="26.25" thickBot="1">
      <c r="B7" s="11" t="s">
        <v>54</v>
      </c>
      <c r="C7" s="26">
        <f t="shared" si="0"/>
        <v>38.9</v>
      </c>
      <c r="D7" s="26">
        <f t="shared" si="0"/>
        <v>136.4</v>
      </c>
      <c r="E7" s="41">
        <f t="shared" si="1"/>
        <v>0</v>
      </c>
      <c r="F7" s="41">
        <f t="shared" si="1"/>
        <v>0</v>
      </c>
      <c r="G7" s="32">
        <f t="shared" si="2"/>
        <v>0</v>
      </c>
      <c r="H7" s="32">
        <f t="shared" si="2"/>
        <v>0</v>
      </c>
      <c r="I7" s="32">
        <f>G7+H7</f>
        <v>0</v>
      </c>
    </row>
    <row r="8" spans="1:15" ht="26.25" thickBot="1">
      <c r="B8" s="11" t="s">
        <v>56</v>
      </c>
      <c r="C8" s="26">
        <f t="shared" si="0"/>
        <v>4.5999999999999996</v>
      </c>
      <c r="D8" s="26">
        <f t="shared" si="0"/>
        <v>105.2</v>
      </c>
      <c r="E8" s="41">
        <f t="shared" si="1"/>
        <v>0</v>
      </c>
      <c r="F8" s="41">
        <f t="shared" si="1"/>
        <v>2.628031867746859E-3</v>
      </c>
      <c r="G8" s="32">
        <f t="shared" si="2"/>
        <v>0</v>
      </c>
      <c r="H8" s="32">
        <f t="shared" si="2"/>
        <v>0.27646895248696957</v>
      </c>
      <c r="I8" s="32">
        <f>G8+H8</f>
        <v>0.27646895248696957</v>
      </c>
    </row>
    <row r="9" spans="1:15" ht="26.25" thickBot="1">
      <c r="B9" s="11" t="s">
        <v>55</v>
      </c>
      <c r="C9" s="26">
        <f t="shared" si="0"/>
        <v>4.4444444444444446</v>
      </c>
      <c r="D9" s="26">
        <f>H43</f>
        <v>55.555555555555557</v>
      </c>
      <c r="E9" s="41">
        <f t="shared" si="1"/>
        <v>0</v>
      </c>
      <c r="F9" s="41">
        <f t="shared" si="1"/>
        <v>0</v>
      </c>
      <c r="G9" s="32">
        <f t="shared" si="2"/>
        <v>0</v>
      </c>
      <c r="H9" s="32">
        <f t="shared" si="2"/>
        <v>0</v>
      </c>
      <c r="I9" s="32">
        <f>G9+H9</f>
        <v>0</v>
      </c>
    </row>
    <row r="10" spans="1:15" ht="26.25" thickBot="1">
      <c r="B10" s="11" t="s">
        <v>21</v>
      </c>
      <c r="C10" s="26">
        <f t="shared" si="0"/>
        <v>12.627906976744185</v>
      </c>
      <c r="D10" s="26">
        <f t="shared" si="0"/>
        <v>88.372093023255815</v>
      </c>
      <c r="E10" s="41">
        <f t="shared" si="1"/>
        <v>0</v>
      </c>
      <c r="F10" s="41">
        <f t="shared" si="1"/>
        <v>1.3396363028528272E-3</v>
      </c>
      <c r="G10" s="32">
        <f t="shared" si="2"/>
        <v>0</v>
      </c>
      <c r="H10" s="32">
        <f t="shared" si="2"/>
        <v>0.11838646397304055</v>
      </c>
      <c r="I10" s="32">
        <f>G10+H10</f>
        <v>0.11838646397304055</v>
      </c>
      <c r="N10" s="31"/>
    </row>
    <row r="11" spans="1:15" ht="15.75" thickBot="1">
      <c r="B11" s="11"/>
      <c r="C11" s="12"/>
      <c r="D11" s="12"/>
      <c r="E11" s="41"/>
      <c r="F11" s="41"/>
      <c r="G11" s="32"/>
      <c r="H11" s="32"/>
      <c r="I11" s="32"/>
    </row>
    <row r="12" spans="1:15" ht="15.75" thickBot="1">
      <c r="B12" s="11" t="s">
        <v>9</v>
      </c>
      <c r="C12" s="29">
        <f t="shared" ref="C12:D14" si="3">G46</f>
        <v>7.1351351351351351</v>
      </c>
      <c r="D12" s="29">
        <f t="shared" si="3"/>
        <v>62.270270270270274</v>
      </c>
      <c r="E12" s="41">
        <f t="shared" ref="E12:F14" si="4">L79/1000</f>
        <v>0</v>
      </c>
      <c r="F12" s="41">
        <f t="shared" si="4"/>
        <v>2.3807344486126937E-3</v>
      </c>
      <c r="G12" s="32">
        <f t="shared" ref="G12:H14" si="5">C12*E12</f>
        <v>0</v>
      </c>
      <c r="H12" s="32">
        <f t="shared" si="5"/>
        <v>0.14824897755685532</v>
      </c>
      <c r="I12" s="32">
        <f>G12+H12</f>
        <v>0.14824897755685532</v>
      </c>
    </row>
    <row r="13" spans="1:15" ht="15.75" thickBot="1">
      <c r="B13" s="11" t="s">
        <v>100</v>
      </c>
      <c r="C13" s="29">
        <f t="shared" si="3"/>
        <v>2.4</v>
      </c>
      <c r="D13" s="29">
        <f t="shared" si="3"/>
        <v>93.4</v>
      </c>
      <c r="E13" s="41">
        <f t="shared" si="4"/>
        <v>0</v>
      </c>
      <c r="F13" s="41">
        <f t="shared" si="4"/>
        <v>0</v>
      </c>
      <c r="G13" s="32">
        <f t="shared" si="5"/>
        <v>0</v>
      </c>
      <c r="H13" s="32">
        <f t="shared" si="5"/>
        <v>0</v>
      </c>
      <c r="I13" s="32">
        <f>G13+H13</f>
        <v>0</v>
      </c>
    </row>
    <row r="14" spans="1:15" ht="15.75" thickBot="1">
      <c r="B14" s="11" t="s">
        <v>105</v>
      </c>
      <c r="C14" s="29">
        <f t="shared" si="3"/>
        <v>4.7894736842105265</v>
      </c>
      <c r="D14" s="29">
        <f t="shared" si="3"/>
        <v>33.368421052631582</v>
      </c>
      <c r="E14" s="41">
        <f t="shared" si="4"/>
        <v>0</v>
      </c>
      <c r="F14" s="41">
        <f t="shared" si="4"/>
        <v>0</v>
      </c>
      <c r="G14" s="32">
        <f t="shared" si="5"/>
        <v>0</v>
      </c>
      <c r="H14" s="32">
        <f t="shared" si="5"/>
        <v>0</v>
      </c>
      <c r="I14" s="32">
        <f>G14+H14</f>
        <v>0</v>
      </c>
    </row>
    <row r="15" spans="1:15" ht="15.75" thickBot="1"/>
    <row r="16" spans="1:15" ht="15" customHeight="1">
      <c r="A16" t="s">
        <v>99</v>
      </c>
      <c r="B16" s="16"/>
      <c r="C16" s="138" t="s">
        <v>53</v>
      </c>
      <c r="D16" s="139"/>
      <c r="E16" s="138" t="s">
        <v>54</v>
      </c>
      <c r="F16" s="139"/>
      <c r="G16" s="138" t="s">
        <v>56</v>
      </c>
      <c r="H16" s="139"/>
      <c r="I16" s="138" t="s">
        <v>55</v>
      </c>
      <c r="J16" s="139"/>
      <c r="K16" s="138" t="s">
        <v>21</v>
      </c>
      <c r="L16" s="139"/>
      <c r="M16" s="19"/>
      <c r="N16" s="52"/>
      <c r="O16" s="76"/>
    </row>
    <row r="17" spans="2:15" ht="15.75" thickBot="1">
      <c r="B17" s="17"/>
      <c r="C17" s="140"/>
      <c r="D17" s="141"/>
      <c r="E17" s="140"/>
      <c r="F17" s="141"/>
      <c r="G17" s="140"/>
      <c r="H17" s="141"/>
      <c r="I17" s="140"/>
      <c r="J17" s="141"/>
      <c r="K17" s="140"/>
      <c r="L17" s="141"/>
      <c r="M17" s="20"/>
      <c r="N17" s="53"/>
      <c r="O17" s="78"/>
    </row>
    <row r="18" spans="2:15" ht="26.25" thickBot="1">
      <c r="B18" s="18" t="s">
        <v>346</v>
      </c>
      <c r="C18" s="21" t="s">
        <v>22</v>
      </c>
      <c r="D18" s="21" t="s">
        <v>23</v>
      </c>
      <c r="E18" s="21" t="s">
        <v>22</v>
      </c>
      <c r="F18" s="42" t="s">
        <v>23</v>
      </c>
      <c r="G18" s="21" t="s">
        <v>22</v>
      </c>
      <c r="H18" s="42" t="s">
        <v>23</v>
      </c>
      <c r="I18" s="21" t="s">
        <v>22</v>
      </c>
      <c r="J18" s="42" t="s">
        <v>23</v>
      </c>
      <c r="K18" s="21" t="s">
        <v>22</v>
      </c>
      <c r="L18" s="42" t="s">
        <v>23</v>
      </c>
      <c r="M18" s="21" t="s">
        <v>9</v>
      </c>
      <c r="N18" s="54" t="s">
        <v>100</v>
      </c>
      <c r="O18" s="77" t="s">
        <v>105</v>
      </c>
    </row>
    <row r="19" spans="2:15" ht="15.75" thickBot="1">
      <c r="B19" s="18">
        <v>23</v>
      </c>
      <c r="C19" s="47">
        <v>0</v>
      </c>
      <c r="D19" s="47">
        <v>1.2345666666666666E-2</v>
      </c>
      <c r="E19" s="47">
        <v>0</v>
      </c>
      <c r="F19" s="47">
        <v>2.2222222222222223E-2</v>
      </c>
      <c r="G19" s="47">
        <v>0</v>
      </c>
      <c r="H19" s="47">
        <v>1.5397222222222222E-2</v>
      </c>
      <c r="I19" s="47">
        <v>0</v>
      </c>
      <c r="J19" s="47">
        <v>1.5873000000000002E-2</v>
      </c>
      <c r="K19" s="47">
        <v>0</v>
      </c>
      <c r="L19" s="47">
        <v>1.5442208306585107E-2</v>
      </c>
      <c r="M19" s="47">
        <v>0</v>
      </c>
      <c r="N19" s="47">
        <v>0</v>
      </c>
      <c r="O19" s="47" t="s">
        <v>106</v>
      </c>
    </row>
    <row r="20" spans="2:15" ht="15.75" thickBot="1">
      <c r="B20" s="43">
        <v>24</v>
      </c>
      <c r="C20" s="47">
        <v>0</v>
      </c>
      <c r="D20" s="44">
        <v>0</v>
      </c>
      <c r="E20" s="47">
        <v>0</v>
      </c>
      <c r="F20" s="44">
        <v>0</v>
      </c>
      <c r="G20" s="47">
        <v>0</v>
      </c>
      <c r="H20" s="44">
        <v>4.2481333333333334E-3</v>
      </c>
      <c r="I20" s="47">
        <v>0</v>
      </c>
      <c r="J20" s="44">
        <v>0</v>
      </c>
      <c r="K20" s="47">
        <v>0</v>
      </c>
      <c r="L20" s="44">
        <v>1.5405815698847807E-3</v>
      </c>
      <c r="M20" s="47">
        <v>0</v>
      </c>
      <c r="N20" s="47">
        <v>0</v>
      </c>
      <c r="O20" s="47">
        <v>0</v>
      </c>
    </row>
    <row r="21" spans="2:15" ht="15.75" thickBot="1">
      <c r="B21" s="43">
        <v>25</v>
      </c>
      <c r="C21" s="47">
        <v>0</v>
      </c>
      <c r="D21" s="44">
        <v>0</v>
      </c>
      <c r="E21" s="47">
        <v>0</v>
      </c>
      <c r="F21" s="44">
        <v>1.17339375E-2</v>
      </c>
      <c r="G21" s="47">
        <v>0</v>
      </c>
      <c r="H21" s="44">
        <v>0</v>
      </c>
      <c r="I21" s="47">
        <v>0</v>
      </c>
      <c r="J21" s="44">
        <v>0</v>
      </c>
      <c r="K21" s="47">
        <v>0</v>
      </c>
      <c r="L21" s="44">
        <v>2.3550581551273412E-3</v>
      </c>
      <c r="M21" s="47">
        <v>0</v>
      </c>
      <c r="N21" s="47">
        <v>0</v>
      </c>
      <c r="O21" s="47">
        <v>0</v>
      </c>
    </row>
    <row r="22" spans="2:15" ht="15.75" thickBot="1">
      <c r="B22" s="43">
        <v>26</v>
      </c>
      <c r="C22" s="47">
        <v>0</v>
      </c>
      <c r="D22" s="44">
        <v>0</v>
      </c>
      <c r="E22" s="47">
        <v>0</v>
      </c>
      <c r="F22" s="44">
        <v>6.1110000000000001E-3</v>
      </c>
      <c r="G22" s="47">
        <v>0</v>
      </c>
      <c r="H22" s="44">
        <v>1.1563562499999999E-2</v>
      </c>
      <c r="I22" s="47">
        <v>0</v>
      </c>
      <c r="J22" s="44">
        <v>7.2678125E-3</v>
      </c>
      <c r="K22" s="47">
        <v>0</v>
      </c>
      <c r="L22" s="44">
        <v>7.1675300862485518E-3</v>
      </c>
      <c r="M22" s="47">
        <v>0</v>
      </c>
      <c r="N22" s="47">
        <v>0</v>
      </c>
      <c r="O22" s="47">
        <v>0</v>
      </c>
    </row>
    <row r="23" spans="2:15" ht="15.75" thickBot="1">
      <c r="B23" s="43">
        <v>27</v>
      </c>
      <c r="C23" s="47">
        <v>0</v>
      </c>
      <c r="D23" s="44">
        <v>0</v>
      </c>
      <c r="E23" s="47">
        <v>0</v>
      </c>
      <c r="F23" s="44">
        <v>2.5404720583594997E-2</v>
      </c>
      <c r="G23" s="47">
        <v>0</v>
      </c>
      <c r="H23" s="44">
        <v>1.1513701260925688E-2</v>
      </c>
      <c r="I23" s="47">
        <v>0</v>
      </c>
      <c r="J23" s="44">
        <v>0</v>
      </c>
      <c r="K23" s="47">
        <v>0</v>
      </c>
      <c r="L23" s="44">
        <v>1.0652309957063578E-2</v>
      </c>
      <c r="M23" s="47">
        <v>0</v>
      </c>
      <c r="N23" s="47">
        <v>0</v>
      </c>
      <c r="O23" s="47">
        <v>0</v>
      </c>
    </row>
    <row r="24" spans="2:15" ht="15.75" thickBot="1">
      <c r="B24" s="43">
        <v>28</v>
      </c>
      <c r="C24" s="47">
        <v>0</v>
      </c>
      <c r="D24" s="44">
        <v>0</v>
      </c>
      <c r="E24" s="47">
        <v>0</v>
      </c>
      <c r="F24" s="44">
        <v>2.8804238053698538E-2</v>
      </c>
      <c r="G24" s="47">
        <v>0.206108679113927</v>
      </c>
      <c r="H24" s="44">
        <v>9.3248009589658384E-2</v>
      </c>
      <c r="I24" s="47">
        <v>1.7986342505790738E-2</v>
      </c>
      <c r="J24" s="44">
        <v>6.881E-3</v>
      </c>
      <c r="K24" s="47">
        <v>8.4957330148785676E-2</v>
      </c>
      <c r="L24" s="44">
        <v>3.9035511454192297E-2</v>
      </c>
      <c r="M24" s="47">
        <v>0</v>
      </c>
      <c r="N24" s="47">
        <v>0</v>
      </c>
      <c r="O24" s="47">
        <v>0.20678878369332029</v>
      </c>
    </row>
    <row r="25" spans="2:15" ht="15.75" thickBot="1">
      <c r="B25" s="43">
        <v>29</v>
      </c>
      <c r="C25" s="47">
        <v>0.10877449878464779</v>
      </c>
      <c r="D25" s="44">
        <v>7.881842660916176E-2</v>
      </c>
      <c r="E25" s="47">
        <v>0</v>
      </c>
      <c r="F25" s="44">
        <v>0.10066278260665905</v>
      </c>
      <c r="G25" s="47">
        <v>0.27646895248696957</v>
      </c>
      <c r="H25" s="44">
        <v>0.24006060240205426</v>
      </c>
      <c r="I25" s="47">
        <v>0</v>
      </c>
      <c r="J25" s="44">
        <v>2.9207396813399102E-2</v>
      </c>
      <c r="K25" s="47">
        <v>0.11838646397304055</v>
      </c>
      <c r="L25" s="44">
        <v>0.12525313578356162</v>
      </c>
      <c r="M25" s="47">
        <v>0.14824897755685532</v>
      </c>
      <c r="N25" s="47">
        <v>0</v>
      </c>
      <c r="O25" s="47">
        <v>0</v>
      </c>
    </row>
    <row r="26" spans="2:15" ht="15.75" thickBot="1">
      <c r="B26" s="43">
        <v>30</v>
      </c>
      <c r="C26" s="47"/>
      <c r="D26" s="44">
        <v>9.0015763095919035E-2</v>
      </c>
      <c r="E26" s="47"/>
      <c r="F26" s="44">
        <v>0.13643311434437214</v>
      </c>
      <c r="G26" s="47"/>
      <c r="H26" s="44">
        <v>0.26647608055159538</v>
      </c>
      <c r="I26" s="47"/>
      <c r="J26" s="44">
        <v>7.2534988260470445E-2</v>
      </c>
      <c r="K26" s="47"/>
      <c r="L26" s="44">
        <v>0.15596794283438792</v>
      </c>
      <c r="M26" s="47"/>
      <c r="N26" s="47"/>
      <c r="O26" s="47"/>
    </row>
    <row r="27" spans="2:15" ht="15.75" thickBot="1">
      <c r="B27" s="43">
        <v>31</v>
      </c>
      <c r="C27" s="47"/>
      <c r="D27" s="44">
        <v>0.14921113284786036</v>
      </c>
      <c r="E27" s="47"/>
      <c r="F27" s="44">
        <v>0.17536656974245057</v>
      </c>
      <c r="G27" s="47"/>
      <c r="H27" s="44">
        <v>0.22987326773823807</v>
      </c>
      <c r="I27" s="47"/>
      <c r="J27" s="44">
        <v>7.1310047367394824E-2</v>
      </c>
      <c r="K27" s="47"/>
      <c r="L27" s="44">
        <v>0.18374451720109464</v>
      </c>
      <c r="M27" s="47"/>
      <c r="N27" s="47"/>
      <c r="O27" s="47"/>
    </row>
    <row r="28" spans="2:15" ht="15.75" thickBot="1">
      <c r="B28" s="43">
        <v>32</v>
      </c>
      <c r="C28" s="47"/>
      <c r="D28" s="44">
        <v>0.16451330254273394</v>
      </c>
      <c r="E28" s="47"/>
      <c r="F28" s="44">
        <v>0.27410413081767515</v>
      </c>
      <c r="G28" s="47"/>
      <c r="H28" s="44">
        <v>0.32633843649953914</v>
      </c>
      <c r="I28" s="47"/>
      <c r="J28" s="44">
        <v>0.1158105765322104</v>
      </c>
      <c r="K28" s="47"/>
      <c r="L28" s="44">
        <v>0.23905658093056262</v>
      </c>
      <c r="M28" s="47"/>
      <c r="N28" s="47"/>
      <c r="O28" s="47"/>
    </row>
    <row r="29" spans="2:15" ht="15.75" thickBot="1">
      <c r="B29" s="43">
        <v>33</v>
      </c>
      <c r="C29" s="47"/>
      <c r="D29" s="44">
        <v>0.14524456762988933</v>
      </c>
      <c r="E29" s="47"/>
      <c r="F29" s="44">
        <v>0.38185063195546642</v>
      </c>
      <c r="G29" s="47"/>
      <c r="H29" s="44">
        <v>0.25540325425272292</v>
      </c>
      <c r="I29" s="47"/>
      <c r="J29" s="44">
        <v>9.7019373063043049E-2</v>
      </c>
      <c r="K29" s="47"/>
      <c r="L29" s="44">
        <v>0.23077939819578688</v>
      </c>
      <c r="M29" s="47"/>
      <c r="N29" s="47"/>
      <c r="O29" s="47"/>
    </row>
    <row r="30" spans="2:15" ht="15.75" thickBot="1">
      <c r="B30" s="43">
        <v>34</v>
      </c>
      <c r="C30" s="47"/>
      <c r="D30" s="44">
        <v>0.12241031554963437</v>
      </c>
      <c r="E30" s="47"/>
      <c r="F30" s="44">
        <v>0.16991281508418771</v>
      </c>
      <c r="G30" s="47"/>
      <c r="H30" s="44">
        <v>0.27953594128263248</v>
      </c>
      <c r="I30" s="47"/>
      <c r="J30" s="44">
        <v>4.229312525393962E-2</v>
      </c>
      <c r="K30" s="47"/>
      <c r="L30" s="44">
        <v>0.17314716471742342</v>
      </c>
      <c r="M30" s="47"/>
      <c r="N30" s="47"/>
      <c r="O30" s="47"/>
    </row>
    <row r="31" spans="2:15" ht="15.75" thickBot="1">
      <c r="B31" s="43">
        <v>35</v>
      </c>
      <c r="C31" s="47"/>
      <c r="D31" s="44">
        <v>5.3940379206453996E-2</v>
      </c>
      <c r="E31" s="47"/>
      <c r="F31" s="44">
        <v>0.18293259518045987</v>
      </c>
      <c r="G31" s="47"/>
      <c r="H31" s="44">
        <v>0.21478121179325557</v>
      </c>
      <c r="I31" s="47"/>
      <c r="J31" s="44">
        <v>9.8723169099289049E-2</v>
      </c>
      <c r="K31" s="47"/>
      <c r="L31" s="44">
        <v>0.15289304532280781</v>
      </c>
      <c r="M31" s="47"/>
      <c r="N31" s="47"/>
      <c r="O31" s="47"/>
    </row>
    <row r="32" spans="2:15" ht="15.75" thickBot="1">
      <c r="B32" s="43">
        <v>36</v>
      </c>
      <c r="C32" s="47"/>
      <c r="D32" s="46">
        <v>2.3229928316190602E-2</v>
      </c>
      <c r="E32" s="47"/>
      <c r="F32" s="46">
        <v>7.7008690268532048E-2</v>
      </c>
      <c r="G32" s="47"/>
      <c r="H32" s="46">
        <v>4.0239037276695602E-2</v>
      </c>
      <c r="I32" s="47"/>
      <c r="J32" s="46">
        <v>1.7609875471946035E-2</v>
      </c>
      <c r="K32" s="47"/>
      <c r="L32" s="46">
        <v>4.4818526984517368E-2</v>
      </c>
      <c r="M32" s="47"/>
      <c r="N32" s="45"/>
      <c r="O32" s="45"/>
    </row>
    <row r="33" spans="1:15" ht="15.75" thickBot="1">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75" thickBot="1"/>
    <row r="35" spans="1:15">
      <c r="A35" t="s">
        <v>48</v>
      </c>
      <c r="B35" s="4"/>
      <c r="C35" s="123" t="s">
        <v>24</v>
      </c>
      <c r="D35" s="142"/>
      <c r="E35" s="124"/>
      <c r="F35" s="15"/>
      <c r="G35" s="123" t="s">
        <v>27</v>
      </c>
      <c r="H35" s="142"/>
      <c r="I35" s="124"/>
    </row>
    <row r="36" spans="1:15" ht="38.25">
      <c r="B36" s="5"/>
      <c r="C36" s="125" t="s">
        <v>25</v>
      </c>
      <c r="D36" s="143"/>
      <c r="E36" s="126"/>
      <c r="F36" s="14" t="s">
        <v>26</v>
      </c>
      <c r="G36" s="125"/>
      <c r="H36" s="144"/>
      <c r="I36" s="126"/>
    </row>
    <row r="37" spans="1:15" ht="15.75" thickBot="1">
      <c r="B37" s="5"/>
      <c r="C37" s="129"/>
      <c r="D37" s="137"/>
      <c r="E37" s="130"/>
      <c r="F37" s="22"/>
      <c r="G37" s="127"/>
      <c r="H37" s="145"/>
      <c r="I37" s="128"/>
    </row>
    <row r="38" spans="1:15" ht="25.5">
      <c r="B38" s="5" t="s">
        <v>594</v>
      </c>
      <c r="C38" s="119" t="s">
        <v>14</v>
      </c>
      <c r="D38" s="119" t="s">
        <v>15</v>
      </c>
      <c r="E38" s="146" t="s">
        <v>28</v>
      </c>
      <c r="F38" s="22"/>
      <c r="G38" s="148" t="s">
        <v>29</v>
      </c>
      <c r="H38" s="148" t="s">
        <v>30</v>
      </c>
      <c r="I38" s="27" t="s">
        <v>19</v>
      </c>
    </row>
    <row r="39" spans="1:15" ht="15.75" thickBot="1">
      <c r="B39" s="6"/>
      <c r="C39" s="120"/>
      <c r="D39" s="120"/>
      <c r="E39" s="147"/>
      <c r="F39" s="13"/>
      <c r="G39" s="149"/>
      <c r="H39" s="149"/>
      <c r="I39" s="28" t="s">
        <v>31</v>
      </c>
    </row>
    <row r="40" spans="1:15" ht="44.25" customHeight="1" thickBot="1">
      <c r="B40" s="11" t="s">
        <v>53</v>
      </c>
      <c r="C40" s="48">
        <f>'Total Number Of Ind'!H7</f>
        <v>45</v>
      </c>
      <c r="D40" s="48">
        <f>'Total Number Of Ind'!I7</f>
        <v>358</v>
      </c>
      <c r="E40" s="48">
        <f>C40+D40</f>
        <v>403</v>
      </c>
      <c r="F40" s="48">
        <v>9</v>
      </c>
      <c r="G40" s="26">
        <f>C40/F40</f>
        <v>5</v>
      </c>
      <c r="H40" s="26">
        <f>D40/F40</f>
        <v>39.777777777777779</v>
      </c>
      <c r="I40" s="26">
        <f>E40/F40</f>
        <v>44.777777777777779</v>
      </c>
    </row>
    <row r="41" spans="1:15" ht="26.25" thickBot="1">
      <c r="B41" s="11" t="s">
        <v>54</v>
      </c>
      <c r="C41" s="48">
        <f>'Total Number Of Ind'!H6</f>
        <v>389</v>
      </c>
      <c r="D41" s="48">
        <f>'Total Number Of Ind'!I6</f>
        <v>1364</v>
      </c>
      <c r="E41" s="48">
        <f>C41+D41</f>
        <v>1753</v>
      </c>
      <c r="F41" s="48">
        <v>10</v>
      </c>
      <c r="G41" s="26">
        <f t="shared" ref="G41:G48" si="6">C41/F41</f>
        <v>38.9</v>
      </c>
      <c r="H41" s="26">
        <f>D41/F41</f>
        <v>136.4</v>
      </c>
      <c r="I41" s="26">
        <f>E41/F41</f>
        <v>175.3</v>
      </c>
    </row>
    <row r="42" spans="1:15" ht="26.25" thickBot="1">
      <c r="B42" s="11" t="s">
        <v>56</v>
      </c>
      <c r="C42" s="48">
        <f>'Total Number Of Ind'!H8</f>
        <v>69</v>
      </c>
      <c r="D42" s="48">
        <f>'Total Number Of Ind'!I8</f>
        <v>1578</v>
      </c>
      <c r="E42" s="48">
        <f>C42+D42</f>
        <v>1647</v>
      </c>
      <c r="F42" s="48">
        <v>15</v>
      </c>
      <c r="G42" s="26">
        <f t="shared" si="6"/>
        <v>4.5999999999999996</v>
      </c>
      <c r="H42" s="26">
        <f>D42/F42</f>
        <v>105.2</v>
      </c>
      <c r="I42" s="26">
        <f>E42/F42</f>
        <v>109.8</v>
      </c>
    </row>
    <row r="43" spans="1:15" ht="26.25" thickBot="1">
      <c r="B43" s="11" t="s">
        <v>55</v>
      </c>
      <c r="C43" s="48">
        <f>'Total Number Of Ind'!H9</f>
        <v>40</v>
      </c>
      <c r="D43" s="48">
        <f>'Total Number Of Ind'!I9</f>
        <v>500</v>
      </c>
      <c r="E43" s="48">
        <f>C43+D43</f>
        <v>540</v>
      </c>
      <c r="F43" s="48">
        <v>9</v>
      </c>
      <c r="G43" s="26">
        <f t="shared" si="6"/>
        <v>4.4444444444444446</v>
      </c>
      <c r="H43" s="26">
        <f>D43/F43</f>
        <v>55.555555555555557</v>
      </c>
      <c r="I43" s="26">
        <f>E43/F43</f>
        <v>60</v>
      </c>
    </row>
    <row r="44" spans="1:15" ht="26.25" thickBot="1">
      <c r="B44" s="11" t="s">
        <v>21</v>
      </c>
      <c r="C44" s="48">
        <f>SUM(C40:C43)</f>
        <v>543</v>
      </c>
      <c r="D44" s="48">
        <f>SUM(D40:D43)</f>
        <v>3800</v>
      </c>
      <c r="E44" s="48">
        <f>SUM(E40:E43)</f>
        <v>4343</v>
      </c>
      <c r="F44" s="48">
        <f>SUM(F40:F43)</f>
        <v>43</v>
      </c>
      <c r="G44" s="26">
        <f t="shared" si="6"/>
        <v>12.627906976744185</v>
      </c>
      <c r="H44" s="26">
        <f>D44/F44</f>
        <v>88.372093023255815</v>
      </c>
      <c r="I44" s="26">
        <f>E44/F44</f>
        <v>101</v>
      </c>
    </row>
    <row r="45" spans="1:15" ht="15.75" thickBot="1">
      <c r="B45" s="11"/>
      <c r="C45" s="48"/>
      <c r="D45" s="48"/>
      <c r="E45" s="48"/>
      <c r="F45" s="48"/>
      <c r="G45" s="26"/>
      <c r="H45" s="26"/>
      <c r="I45" s="26"/>
    </row>
    <row r="46" spans="1:15" ht="15.75" thickBot="1">
      <c r="B46" s="11" t="s">
        <v>9</v>
      </c>
      <c r="C46" s="48">
        <f>'Total Number Of Ind'!H5</f>
        <v>264</v>
      </c>
      <c r="D46" s="48">
        <f>'Total Number Of Ind'!I5</f>
        <v>2304</v>
      </c>
      <c r="E46" s="48">
        <f>C46+D46</f>
        <v>2568</v>
      </c>
      <c r="F46" s="48">
        <v>37</v>
      </c>
      <c r="G46" s="26">
        <f t="shared" si="6"/>
        <v>7.1351351351351351</v>
      </c>
      <c r="H46" s="26">
        <f>D46/F46</f>
        <v>62.270270270270274</v>
      </c>
      <c r="I46" s="26">
        <f>E46/F46</f>
        <v>69.405405405405403</v>
      </c>
    </row>
    <row r="47" spans="1:15" ht="15.75" thickBot="1">
      <c r="B47" s="11" t="s">
        <v>100</v>
      </c>
      <c r="C47" s="48">
        <f>'Total Number Of Ind'!H10</f>
        <v>12</v>
      </c>
      <c r="D47" s="48">
        <f>'Total Number Of Ind'!I10</f>
        <v>467</v>
      </c>
      <c r="E47" s="48">
        <f>C47+D47</f>
        <v>479</v>
      </c>
      <c r="F47" s="48">
        <v>5</v>
      </c>
      <c r="G47" s="26">
        <f>C47/F47</f>
        <v>2.4</v>
      </c>
      <c r="H47" s="26">
        <f>D47/F47</f>
        <v>93.4</v>
      </c>
      <c r="I47" s="26">
        <f>E47/F47</f>
        <v>95.8</v>
      </c>
    </row>
    <row r="48" spans="1:15" ht="15.75" thickBot="1">
      <c r="B48" s="11" t="s">
        <v>105</v>
      </c>
      <c r="C48" s="48">
        <f>'Total Number Of Ind'!H11</f>
        <v>91</v>
      </c>
      <c r="D48" s="48">
        <f>'Total Number Of Ind'!I11</f>
        <v>634</v>
      </c>
      <c r="E48" s="48">
        <f>C48+D48</f>
        <v>725</v>
      </c>
      <c r="F48" s="48">
        <v>19</v>
      </c>
      <c r="G48" s="26">
        <f t="shared" si="6"/>
        <v>4.7894736842105265</v>
      </c>
      <c r="H48" s="26">
        <f>D48/F48</f>
        <v>33.368421052631582</v>
      </c>
      <c r="I48" s="26">
        <f>E48/F48</f>
        <v>38.157894736842103</v>
      </c>
    </row>
    <row r="49" spans="1:15" ht="15.75" thickBot="1"/>
    <row r="50" spans="1:15">
      <c r="A50" t="s">
        <v>49</v>
      </c>
      <c r="B50" s="16"/>
      <c r="C50" s="138" t="s">
        <v>53</v>
      </c>
      <c r="D50" s="139"/>
      <c r="E50" s="138" t="s">
        <v>54</v>
      </c>
      <c r="F50" s="139"/>
      <c r="G50" s="138" t="s">
        <v>56</v>
      </c>
      <c r="H50" s="139"/>
      <c r="I50" s="138" t="s">
        <v>55</v>
      </c>
      <c r="J50" s="139"/>
      <c r="K50" s="138" t="s">
        <v>21</v>
      </c>
      <c r="L50" s="139"/>
      <c r="M50" s="19"/>
      <c r="N50" s="76"/>
      <c r="O50" s="76"/>
    </row>
    <row r="51" spans="1:15" ht="15.75" thickBot="1">
      <c r="B51" s="17"/>
      <c r="C51" s="140"/>
      <c r="D51" s="141"/>
      <c r="E51" s="140"/>
      <c r="F51" s="141"/>
      <c r="G51" s="140"/>
      <c r="H51" s="141"/>
      <c r="I51" s="140"/>
      <c r="J51" s="141"/>
      <c r="K51" s="140"/>
      <c r="L51" s="141"/>
      <c r="M51" s="20"/>
      <c r="N51" s="78"/>
      <c r="O51" s="78"/>
    </row>
    <row r="52" spans="1:15" ht="26.25" thickBot="1">
      <c r="B52" s="18" t="s">
        <v>8</v>
      </c>
      <c r="C52" s="21" t="s">
        <v>22</v>
      </c>
      <c r="D52" s="21" t="s">
        <v>23</v>
      </c>
      <c r="E52" s="21" t="s">
        <v>22</v>
      </c>
      <c r="F52" s="21" t="s">
        <v>23</v>
      </c>
      <c r="G52" s="21" t="s">
        <v>22</v>
      </c>
      <c r="H52" s="21" t="s">
        <v>23</v>
      </c>
      <c r="I52" s="21" t="s">
        <v>22</v>
      </c>
      <c r="J52" s="21" t="s">
        <v>23</v>
      </c>
      <c r="K52" s="21" t="s">
        <v>22</v>
      </c>
      <c r="L52" s="21" t="s">
        <v>23</v>
      </c>
      <c r="M52" s="21" t="s">
        <v>9</v>
      </c>
      <c r="N52" s="77" t="s">
        <v>100</v>
      </c>
      <c r="O52" s="77" t="s">
        <v>105</v>
      </c>
    </row>
    <row r="53" spans="1:15" ht="15.75" thickBot="1">
      <c r="B53" s="18">
        <v>23</v>
      </c>
      <c r="C53" s="47">
        <v>1.7777777777777777</v>
      </c>
      <c r="D53" s="47">
        <v>2.9237654320987652</v>
      </c>
      <c r="E53" s="47">
        <v>5.9</v>
      </c>
      <c r="F53" s="47">
        <v>5.4382716049382722</v>
      </c>
      <c r="G53" s="47">
        <v>6.2142857142857144</v>
      </c>
      <c r="H53" s="47">
        <v>8.246921596921597</v>
      </c>
      <c r="I53" s="47">
        <v>3</v>
      </c>
      <c r="J53" s="47">
        <v>0.46825396825396826</v>
      </c>
      <c r="K53" s="47">
        <v>4.5750000000000002</v>
      </c>
      <c r="L53" s="47">
        <v>5.7949762322823588</v>
      </c>
      <c r="M53" s="47">
        <v>9.0357142857142865</v>
      </c>
      <c r="N53" s="47">
        <v>10.5</v>
      </c>
      <c r="O53" s="47" t="s">
        <v>106</v>
      </c>
    </row>
    <row r="54" spans="1:15" ht="15.75" thickBot="1">
      <c r="B54" s="18">
        <v>24</v>
      </c>
      <c r="C54" s="47">
        <v>8.4444444444444446</v>
      </c>
      <c r="D54" s="79">
        <v>2.5347407407407401</v>
      </c>
      <c r="E54" s="47">
        <v>13.4</v>
      </c>
      <c r="F54" s="79">
        <v>6.8065319865319873</v>
      </c>
      <c r="G54" s="47">
        <v>5.666666666666667</v>
      </c>
      <c r="H54" s="79">
        <v>9.2193015873015884</v>
      </c>
      <c r="I54" s="47">
        <v>3.8888888888888888</v>
      </c>
      <c r="J54" s="79">
        <v>1.6876666666666664</v>
      </c>
      <c r="K54" s="47">
        <v>7.6744186046511631</v>
      </c>
      <c r="L54" s="79">
        <v>5.6799398073260141</v>
      </c>
      <c r="M54" s="47">
        <v>12.891891891891891</v>
      </c>
      <c r="N54" s="47">
        <v>12</v>
      </c>
      <c r="O54" s="47">
        <v>14.6</v>
      </c>
    </row>
    <row r="55" spans="1:15" ht="15.75" thickBot="1">
      <c r="B55" s="18">
        <v>25</v>
      </c>
      <c r="C55" s="47">
        <v>2.6666666666666665</v>
      </c>
      <c r="D55" s="79">
        <v>6.2803670634920623</v>
      </c>
      <c r="E55" s="47">
        <v>21</v>
      </c>
      <c r="F55" s="79">
        <v>16.9453125</v>
      </c>
      <c r="G55" s="47">
        <v>9.7333333333333325</v>
      </c>
      <c r="H55" s="79">
        <v>22.17946199633699</v>
      </c>
      <c r="I55" s="47">
        <v>2.5555555555555554</v>
      </c>
      <c r="J55" s="79">
        <v>4.0359375000000002</v>
      </c>
      <c r="K55" s="47">
        <v>9.3720930232558146</v>
      </c>
      <c r="L55" s="79">
        <v>13.749254246375438</v>
      </c>
      <c r="M55" s="47">
        <v>9.7027027027027035</v>
      </c>
      <c r="N55" s="47">
        <v>6.8</v>
      </c>
      <c r="O55" s="47">
        <v>14.6</v>
      </c>
    </row>
    <row r="56" spans="1:15" ht="15.75" thickBot="1">
      <c r="B56" s="18">
        <v>26</v>
      </c>
      <c r="C56" s="47">
        <v>6.7777777777777777</v>
      </c>
      <c r="D56" s="79">
        <v>13.159444444444444</v>
      </c>
      <c r="E56" s="47">
        <v>11.7</v>
      </c>
      <c r="F56" s="79">
        <v>32.098611111111111</v>
      </c>
      <c r="G56" s="47">
        <v>28.066666666666666</v>
      </c>
      <c r="H56" s="79">
        <v>33.50931547619048</v>
      </c>
      <c r="I56" s="47">
        <v>1.8888888888888888</v>
      </c>
      <c r="J56" s="79">
        <v>8.4555208333333329</v>
      </c>
      <c r="K56" s="47">
        <v>14.325581395348838</v>
      </c>
      <c r="L56" s="79">
        <v>23.631549113866136</v>
      </c>
      <c r="M56" s="47">
        <v>19.027027027027028</v>
      </c>
      <c r="N56" s="47">
        <v>49.8</v>
      </c>
      <c r="O56" s="47">
        <v>16.399999999999999</v>
      </c>
    </row>
    <row r="57" spans="1:15" ht="15.75" thickBot="1">
      <c r="B57" s="18">
        <v>27</v>
      </c>
      <c r="C57" s="47">
        <v>10.111111111111111</v>
      </c>
      <c r="D57" s="79">
        <v>27.208333333333332</v>
      </c>
      <c r="E57" s="47">
        <v>55.2</v>
      </c>
      <c r="F57" s="79">
        <v>59.73749999999999</v>
      </c>
      <c r="G57" s="47">
        <v>96.066666666666663</v>
      </c>
      <c r="H57" s="79">
        <v>43.268324175824169</v>
      </c>
      <c r="I57" s="47">
        <v>13.888888888888889</v>
      </c>
      <c r="J57" s="79">
        <v>11.736527777777777</v>
      </c>
      <c r="K57" s="47">
        <v>51.372093023255815</v>
      </c>
      <c r="L57" s="79">
        <v>38.751240699041055</v>
      </c>
      <c r="M57" s="47">
        <v>38.054054054054056</v>
      </c>
      <c r="N57" s="47">
        <v>36</v>
      </c>
      <c r="O57" s="47">
        <v>37.799999999999997</v>
      </c>
    </row>
    <row r="58" spans="1:15" ht="15.75" thickBot="1">
      <c r="B58" s="18">
        <v>28</v>
      </c>
      <c r="C58" s="47">
        <v>46.777777777777779</v>
      </c>
      <c r="D58" s="79">
        <v>40.78862103174604</v>
      </c>
      <c r="E58" s="47">
        <v>173.3</v>
      </c>
      <c r="F58" s="79">
        <v>79.894270833333337</v>
      </c>
      <c r="G58" s="47">
        <v>106.13333333333334</v>
      </c>
      <c r="H58" s="79">
        <v>86.485625000000013</v>
      </c>
      <c r="I58" s="47">
        <v>55.666666666666664</v>
      </c>
      <c r="J58" s="79">
        <v>15.33138888888889</v>
      </c>
      <c r="K58" s="47">
        <v>98.767441860465112</v>
      </c>
      <c r="L58" s="79">
        <v>60.711326862953172</v>
      </c>
      <c r="M58" s="47">
        <v>61.729729729729726</v>
      </c>
      <c r="N58" s="47">
        <v>29.2</v>
      </c>
      <c r="O58" s="47">
        <v>35</v>
      </c>
    </row>
    <row r="59" spans="1:15" ht="15.75" thickBot="1">
      <c r="B59" s="18">
        <v>29</v>
      </c>
      <c r="C59" s="47">
        <v>44.777777777777779</v>
      </c>
      <c r="D59" s="79">
        <v>48.087643849206344</v>
      </c>
      <c r="E59" s="47">
        <v>175.3</v>
      </c>
      <c r="F59" s="79">
        <v>81.15347222222222</v>
      </c>
      <c r="G59" s="47">
        <v>109.8</v>
      </c>
      <c r="H59" s="79">
        <v>71.803363095238097</v>
      </c>
      <c r="I59" s="47">
        <v>60</v>
      </c>
      <c r="J59" s="79">
        <v>20.174409722222222</v>
      </c>
      <c r="K59" s="47">
        <v>101</v>
      </c>
      <c r="L59" s="79">
        <v>59.283580252751932</v>
      </c>
      <c r="M59" s="47">
        <v>69.405405405405403</v>
      </c>
      <c r="N59" s="47">
        <v>95.8</v>
      </c>
      <c r="O59" s="47">
        <v>38.157894736842103</v>
      </c>
    </row>
    <row r="60" spans="1:15" ht="15.75" thickBot="1">
      <c r="B60" s="18">
        <v>30</v>
      </c>
      <c r="C60" s="47"/>
      <c r="D60" s="79">
        <v>49.284999999999997</v>
      </c>
      <c r="E60" s="47"/>
      <c r="F60" s="79">
        <v>107.36597222222221</v>
      </c>
      <c r="G60" s="47"/>
      <c r="H60" s="79">
        <v>82.321517857142851</v>
      </c>
      <c r="I60" s="47"/>
      <c r="J60" s="79">
        <v>21.72034722222222</v>
      </c>
      <c r="K60" s="47"/>
      <c r="L60" s="79">
        <v>68.918472799003311</v>
      </c>
      <c r="M60" s="47"/>
      <c r="N60" s="47"/>
      <c r="O60" s="47"/>
    </row>
    <row r="61" spans="1:15" ht="15.75" thickBot="1">
      <c r="B61" s="18">
        <v>31</v>
      </c>
      <c r="C61" s="47"/>
      <c r="D61" s="79">
        <v>56.347013888888895</v>
      </c>
      <c r="E61" s="47"/>
      <c r="F61" s="79">
        <v>96.218181818181819</v>
      </c>
      <c r="G61" s="47"/>
      <c r="H61" s="79">
        <v>64.256536172161162</v>
      </c>
      <c r="I61" s="47"/>
      <c r="J61" s="79">
        <v>19.083497354497357</v>
      </c>
      <c r="K61" s="47"/>
      <c r="L61" s="79">
        <v>63.317044880481625</v>
      </c>
      <c r="M61" s="47"/>
      <c r="N61" s="47"/>
      <c r="O61" s="47"/>
    </row>
    <row r="62" spans="1:15" ht="15.75" thickBot="1">
      <c r="B62" s="18">
        <v>32</v>
      </c>
      <c r="C62" s="47"/>
      <c r="D62" s="79">
        <v>40.800347222222221</v>
      </c>
      <c r="E62" s="47"/>
      <c r="F62" s="79">
        <v>72.536111111111111</v>
      </c>
      <c r="G62" s="47"/>
      <c r="H62" s="79">
        <v>51.908640109890108</v>
      </c>
      <c r="I62" s="47"/>
      <c r="J62" s="79">
        <v>16.549935515873017</v>
      </c>
      <c r="K62" s="47"/>
      <c r="L62" s="79">
        <v>47.407127850347322</v>
      </c>
      <c r="M62" s="47"/>
      <c r="N62" s="47"/>
      <c r="O62" s="47"/>
    </row>
    <row r="63" spans="1:15" ht="15.75" thickBot="1">
      <c r="A63" s="31"/>
      <c r="B63" s="18">
        <v>33</v>
      </c>
      <c r="C63" s="47"/>
      <c r="D63" s="79">
        <v>29.007111111111115</v>
      </c>
      <c r="E63" s="47"/>
      <c r="F63" s="79">
        <v>61.461868686868691</v>
      </c>
      <c r="G63" s="47"/>
      <c r="H63" s="79">
        <v>39.369255952380954</v>
      </c>
      <c r="I63" s="47"/>
      <c r="J63" s="79">
        <v>12.451074074074075</v>
      </c>
      <c r="K63" s="47"/>
      <c r="L63" s="79">
        <v>37.857421371051906</v>
      </c>
      <c r="M63" s="47"/>
      <c r="N63" s="47"/>
      <c r="O63" s="47"/>
    </row>
    <row r="64" spans="1:15" ht="15.75" thickBot="1">
      <c r="B64" s="18">
        <v>34</v>
      </c>
      <c r="C64" s="47"/>
      <c r="D64" s="79">
        <v>19.16394708994709</v>
      </c>
      <c r="E64" s="47"/>
      <c r="F64" s="79">
        <v>43.201657196969698</v>
      </c>
      <c r="G64" s="47"/>
      <c r="H64" s="79">
        <v>25.587351190476191</v>
      </c>
      <c r="I64" s="47"/>
      <c r="J64" s="79">
        <v>7.7705925925925925</v>
      </c>
      <c r="K64" s="47"/>
      <c r="L64" s="79">
        <v>25.511912483790251</v>
      </c>
      <c r="M64" s="47"/>
      <c r="N64" s="47"/>
      <c r="O64" s="47"/>
    </row>
    <row r="65" spans="1:25" ht="15.75" thickBot="1">
      <c r="B65" s="18">
        <v>35</v>
      </c>
      <c r="C65" s="47"/>
      <c r="D65" s="79">
        <v>10.443428571428571</v>
      </c>
      <c r="E65" s="47"/>
      <c r="F65" s="79">
        <v>26.477579365079368</v>
      </c>
      <c r="G65" s="47"/>
      <c r="H65" s="79">
        <v>16.040982142857146</v>
      </c>
      <c r="I65" s="47"/>
      <c r="J65" s="79">
        <v>5.4684444444444456</v>
      </c>
      <c r="K65" s="47"/>
      <c r="L65" s="79">
        <v>15.243968328601017</v>
      </c>
      <c r="M65" s="47"/>
      <c r="N65" s="47"/>
      <c r="O65" s="47"/>
    </row>
    <row r="66" spans="1:25" ht="15.75" thickBot="1">
      <c r="B66" s="18">
        <v>36</v>
      </c>
      <c r="C66" s="47"/>
      <c r="D66" s="47">
        <v>11.859818594104308</v>
      </c>
      <c r="E66" s="47"/>
      <c r="F66" s="47">
        <v>32.071428571428569</v>
      </c>
      <c r="G66" s="47"/>
      <c r="H66" s="47">
        <v>12.237619047619047</v>
      </c>
      <c r="I66" s="47"/>
      <c r="J66" s="47">
        <v>5.17063492063492</v>
      </c>
      <c r="K66" s="47"/>
      <c r="L66" s="47">
        <v>15.387103306438856</v>
      </c>
      <c r="M66" s="47"/>
      <c r="N66" s="45"/>
      <c r="O66" s="45"/>
    </row>
    <row r="67" spans="1:25" ht="15.75" thickBot="1">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5" ht="15.75" thickBot="1"/>
    <row r="69" spans="1:25">
      <c r="A69" t="s">
        <v>50</v>
      </c>
      <c r="B69" s="16"/>
      <c r="C69" s="138" t="s">
        <v>33</v>
      </c>
      <c r="D69" s="150"/>
      <c r="E69" s="139"/>
      <c r="F69" s="138" t="s">
        <v>34</v>
      </c>
      <c r="G69" s="150"/>
      <c r="H69" s="139"/>
      <c r="I69" s="138" t="s">
        <v>32</v>
      </c>
      <c r="J69" s="150"/>
      <c r="K69" s="139"/>
      <c r="L69" s="138" t="s">
        <v>36</v>
      </c>
      <c r="M69" s="150"/>
      <c r="N69" s="139"/>
      <c r="Q69" s="50"/>
      <c r="R69" s="59"/>
    </row>
    <row r="70" spans="1:25">
      <c r="B70" s="17"/>
      <c r="C70" s="151"/>
      <c r="D70" s="152"/>
      <c r="E70" s="153"/>
      <c r="F70" s="151"/>
      <c r="G70" s="152"/>
      <c r="H70" s="153"/>
      <c r="I70" s="151" t="s">
        <v>35</v>
      </c>
      <c r="J70" s="155"/>
      <c r="K70" s="153"/>
      <c r="L70" s="151"/>
      <c r="M70" s="152"/>
      <c r="N70" s="153"/>
      <c r="P70" s="50"/>
      <c r="Q70" s="59"/>
      <c r="R70" s="59"/>
      <c r="S70" s="59"/>
      <c r="T70" s="50"/>
      <c r="U70" s="50"/>
      <c r="V70" s="50"/>
      <c r="W70" s="50"/>
      <c r="X70" s="50"/>
      <c r="Y70" s="50"/>
    </row>
    <row r="71" spans="1:25" ht="15.75" thickBot="1">
      <c r="B71" s="17"/>
      <c r="C71" s="140"/>
      <c r="D71" s="154"/>
      <c r="E71" s="141"/>
      <c r="F71" s="140"/>
      <c r="G71" s="154"/>
      <c r="H71" s="141"/>
      <c r="I71" s="129"/>
      <c r="J71" s="137"/>
      <c r="K71" s="130"/>
      <c r="L71" s="140"/>
      <c r="M71" s="154"/>
      <c r="N71" s="141"/>
      <c r="P71" s="50"/>
      <c r="Q71" s="59"/>
      <c r="R71" s="31"/>
      <c r="S71" s="31"/>
      <c r="T71" s="95"/>
      <c r="U71" s="96"/>
      <c r="V71" s="96"/>
      <c r="W71" s="86"/>
      <c r="X71" s="86"/>
      <c r="Y71" s="86"/>
    </row>
    <row r="72" spans="1:25" ht="24.75" thickBot="1">
      <c r="B72" s="18" t="s">
        <v>594</v>
      </c>
      <c r="C72" s="23" t="s">
        <v>14</v>
      </c>
      <c r="D72" s="23" t="s">
        <v>15</v>
      </c>
      <c r="E72" s="21" t="s">
        <v>37</v>
      </c>
      <c r="F72" s="23" t="s">
        <v>14</v>
      </c>
      <c r="G72" s="23" t="s">
        <v>15</v>
      </c>
      <c r="H72" s="21" t="s">
        <v>37</v>
      </c>
      <c r="I72" s="23" t="s">
        <v>14</v>
      </c>
      <c r="J72" s="23" t="s">
        <v>15</v>
      </c>
      <c r="K72" s="21" t="s">
        <v>37</v>
      </c>
      <c r="L72" s="23" t="s">
        <v>14</v>
      </c>
      <c r="M72" s="23" t="s">
        <v>15</v>
      </c>
      <c r="N72" s="21" t="s">
        <v>37</v>
      </c>
      <c r="P72" s="86"/>
      <c r="Q72" s="31"/>
      <c r="R72" s="31"/>
      <c r="S72" s="31"/>
      <c r="T72" s="95"/>
      <c r="U72" s="96"/>
      <c r="V72" s="96"/>
      <c r="W72" s="86"/>
      <c r="X72" s="86"/>
      <c r="Y72" s="86"/>
    </row>
    <row r="73" spans="1:25" ht="24.75" thickBot="1">
      <c r="B73" s="18" t="s">
        <v>53</v>
      </c>
      <c r="C73" s="48">
        <f>'Total Number Ind Examined '!I8</f>
        <v>228</v>
      </c>
      <c r="D73" s="48">
        <f>'Total Number Ind Examined '!J8</f>
        <v>358</v>
      </c>
      <c r="E73" s="48">
        <f>C73+D73</f>
        <v>586</v>
      </c>
      <c r="F73" s="49">
        <f>'Total Number of Pools Examined'!H8</f>
        <v>10</v>
      </c>
      <c r="G73" s="49">
        <f>'Total Number of Pools Examined'!I8</f>
        <v>13</v>
      </c>
      <c r="H73" s="49">
        <f>F73+G73</f>
        <v>23</v>
      </c>
      <c r="I73" s="49">
        <f>'Total Number of WNV + Pools'!G7</f>
        <v>0</v>
      </c>
      <c r="J73" s="49">
        <f>'Total Number of WNV + Pools'!H7</f>
        <v>1</v>
      </c>
      <c r="K73" s="49">
        <f>'Total Number of WNV + Pools'!I7</f>
        <v>1</v>
      </c>
      <c r="L73" s="30">
        <f>ZONEINFRATE!C2</f>
        <v>0</v>
      </c>
      <c r="M73" s="30">
        <f>ZONEINFRATE!C3</f>
        <v>2.7345544387201959</v>
      </c>
      <c r="N73" s="30">
        <v>1.6862033469409377</v>
      </c>
      <c r="P73" s="86"/>
      <c r="Q73" s="31"/>
      <c r="R73" s="31"/>
      <c r="S73" s="31"/>
      <c r="T73" s="95"/>
      <c r="U73" s="96"/>
      <c r="V73" s="96"/>
      <c r="W73" s="86"/>
      <c r="X73" s="86"/>
      <c r="Y73" s="86"/>
    </row>
    <row r="74" spans="1:25" ht="24.75" thickBot="1">
      <c r="B74" s="18" t="s">
        <v>54</v>
      </c>
      <c r="C74" s="48">
        <f>'Total Number Ind Examined '!I7</f>
        <v>530</v>
      </c>
      <c r="D74" s="48">
        <f>'Total Number Ind Examined '!J7</f>
        <v>1364</v>
      </c>
      <c r="E74" s="48">
        <f>C74+D74</f>
        <v>1894</v>
      </c>
      <c r="F74" s="49">
        <f>'Total Number of Pools Examined'!H7</f>
        <v>19</v>
      </c>
      <c r="G74" s="49">
        <f>'Total Number of Pools Examined'!I7</f>
        <v>32</v>
      </c>
      <c r="H74" s="49">
        <f>F74+G74</f>
        <v>51</v>
      </c>
      <c r="I74" s="49">
        <f>'Total Number of WNV + Pools'!G8</f>
        <v>0</v>
      </c>
      <c r="J74" s="49">
        <f>'Total Number of WNV + Pools'!H8</f>
        <v>0</v>
      </c>
      <c r="K74" s="49">
        <f>'Total Number of WNV + Pools'!I8</f>
        <v>0</v>
      </c>
      <c r="L74" s="30">
        <f>ZONEINFRATE!C4</f>
        <v>0</v>
      </c>
      <c r="M74" s="30">
        <f>ZONEINFRATE!C5</f>
        <v>0</v>
      </c>
      <c r="N74" s="30">
        <v>0</v>
      </c>
      <c r="P74" s="86"/>
      <c r="Q74" s="31"/>
      <c r="R74" s="31"/>
      <c r="S74" s="31"/>
      <c r="T74" s="95"/>
      <c r="U74" s="96"/>
      <c r="V74" s="96"/>
      <c r="W74" s="86"/>
      <c r="X74" s="86"/>
      <c r="Y74" s="86"/>
    </row>
    <row r="75" spans="1:25" ht="24.75" thickBot="1">
      <c r="B75" s="18" t="s">
        <v>56</v>
      </c>
      <c r="C75" s="48">
        <f>'Total Number Ind Examined '!I9</f>
        <v>331</v>
      </c>
      <c r="D75" s="48">
        <f>'Total Number Ind Examined '!J9</f>
        <v>1585</v>
      </c>
      <c r="E75" s="48">
        <f>C75+D75</f>
        <v>1916</v>
      </c>
      <c r="F75" s="49">
        <f>'Total Number of Pools Examined'!H9</f>
        <v>18</v>
      </c>
      <c r="G75" s="49">
        <f>'Total Number of Pools Examined'!I9</f>
        <v>41</v>
      </c>
      <c r="H75" s="49">
        <f>F75+G75</f>
        <v>59</v>
      </c>
      <c r="I75" s="49">
        <f>'Total Number of WNV + Pools'!G9</f>
        <v>0</v>
      </c>
      <c r="J75" s="49">
        <f>'Total Number of WNV + Pools'!H9</f>
        <v>4</v>
      </c>
      <c r="K75" s="49">
        <f>'Total Number of WNV + Pools'!I9</f>
        <v>4</v>
      </c>
      <c r="L75" s="30">
        <f>ZONEINFRATE!C6</f>
        <v>0</v>
      </c>
      <c r="M75" s="30">
        <f>ZONEINFRATE!C7</f>
        <v>2.6280318677468588</v>
      </c>
      <c r="N75" s="30">
        <v>2.1591237205314067</v>
      </c>
      <c r="P75" s="86"/>
      <c r="Q75" s="31"/>
      <c r="R75" s="31"/>
      <c r="S75" s="31"/>
      <c r="T75" s="95"/>
      <c r="U75" s="96"/>
      <c r="V75" s="96"/>
      <c r="W75" s="86"/>
      <c r="X75" s="86"/>
      <c r="Y75" s="86"/>
    </row>
    <row r="76" spans="1:25" ht="24.75" thickBot="1">
      <c r="B76" s="18" t="s">
        <v>55</v>
      </c>
      <c r="C76" s="48">
        <f>'Total Number Ind Examined '!I10</f>
        <v>106</v>
      </c>
      <c r="D76" s="48">
        <f>'Total Number Ind Examined '!J10</f>
        <v>500</v>
      </c>
      <c r="E76" s="48">
        <f>C76+D76</f>
        <v>606</v>
      </c>
      <c r="F76" s="49">
        <f>'Total Number of Pools Examined'!H10</f>
        <v>9</v>
      </c>
      <c r="G76" s="49">
        <f>'Total Number of Pools Examined'!I10</f>
        <v>16</v>
      </c>
      <c r="H76" s="49">
        <f>F76+G76</f>
        <v>25</v>
      </c>
      <c r="I76" s="49">
        <f>'Total Number of WNV + Pools'!G10</f>
        <v>0</v>
      </c>
      <c r="J76" s="49">
        <f>'Total Number of WNV + Pools'!H10</f>
        <v>0</v>
      </c>
      <c r="K76" s="49">
        <f>'Total Number of WNV + Pools'!I10</f>
        <v>0</v>
      </c>
      <c r="L76" s="30">
        <f>ZONEINFRATE!C8</f>
        <v>0</v>
      </c>
      <c r="M76" s="30">
        <f>ZONEINFRATE!C9</f>
        <v>0</v>
      </c>
      <c r="N76" s="30">
        <v>0</v>
      </c>
      <c r="P76" s="86"/>
      <c r="Q76" s="31"/>
      <c r="R76" s="31"/>
      <c r="S76" s="31"/>
      <c r="T76" s="95"/>
      <c r="U76" s="96"/>
      <c r="V76" s="96"/>
      <c r="W76" s="86"/>
      <c r="X76" s="86"/>
      <c r="Y76" s="86"/>
    </row>
    <row r="77" spans="1:25" ht="24.75" thickBot="1">
      <c r="B77" s="18" t="s">
        <v>21</v>
      </c>
      <c r="C77" s="48">
        <f>SUM(C73:C76)</f>
        <v>1195</v>
      </c>
      <c r="D77" s="48">
        <f>SUM(D73:D76)</f>
        <v>3807</v>
      </c>
      <c r="E77" s="48">
        <f>C77+D77</f>
        <v>5002</v>
      </c>
      <c r="F77" s="49">
        <f t="shared" ref="F77:K77" si="7">SUM(F73:F76)</f>
        <v>56</v>
      </c>
      <c r="G77" s="49">
        <f t="shared" si="7"/>
        <v>102</v>
      </c>
      <c r="H77" s="49">
        <f>F77+G77</f>
        <v>158</v>
      </c>
      <c r="I77" s="49">
        <f t="shared" si="7"/>
        <v>0</v>
      </c>
      <c r="J77" s="49">
        <f t="shared" si="7"/>
        <v>5</v>
      </c>
      <c r="K77" s="49">
        <f t="shared" si="7"/>
        <v>5</v>
      </c>
      <c r="L77" s="30">
        <f>CITYINFRATE!C2</f>
        <v>0</v>
      </c>
      <c r="M77" s="30">
        <f>CITYINFRATE!C3</f>
        <v>1.3396363028528271</v>
      </c>
      <c r="N77" s="30">
        <v>1.0148697371909978</v>
      </c>
      <c r="P77" s="86"/>
      <c r="Q77" s="31"/>
      <c r="R77" s="31"/>
      <c r="S77" s="31"/>
      <c r="T77" s="95"/>
      <c r="U77" s="96"/>
      <c r="V77" s="96"/>
      <c r="W77" s="86"/>
      <c r="X77" s="86"/>
      <c r="Y77" s="86"/>
    </row>
    <row r="78" spans="1:25" ht="15.75" thickBot="1">
      <c r="B78" s="18"/>
      <c r="C78" s="49"/>
      <c r="D78" s="49"/>
      <c r="E78" s="49"/>
      <c r="F78" s="49"/>
      <c r="G78" s="49"/>
      <c r="H78" s="49"/>
      <c r="I78" s="49"/>
      <c r="J78" s="49"/>
      <c r="K78" s="49"/>
      <c r="L78" s="30"/>
      <c r="M78" s="30"/>
      <c r="N78" s="30"/>
      <c r="P78" s="31"/>
      <c r="Q78" s="84"/>
      <c r="R78" s="31"/>
      <c r="S78" s="31"/>
    </row>
    <row r="79" spans="1:25" ht="15.75" thickBot="1">
      <c r="B79" s="18" t="s">
        <v>9</v>
      </c>
      <c r="C79" s="49">
        <f>'Total Number Ind Examined '!I6</f>
        <v>48</v>
      </c>
      <c r="D79" s="49">
        <f>'Total Number Ind Examined '!J6</f>
        <v>866</v>
      </c>
      <c r="E79" s="49">
        <f>C79+D79</f>
        <v>914</v>
      </c>
      <c r="F79" s="49">
        <f>'Total Number of Pools Examined'!H6</f>
        <v>4</v>
      </c>
      <c r="G79" s="49">
        <f>'Total Number of Pools Examined'!I6</f>
        <v>20</v>
      </c>
      <c r="H79" s="49">
        <f>F79+G79</f>
        <v>24</v>
      </c>
      <c r="I79" s="49">
        <f>'Total Number of WNV + Pools'!G11</f>
        <v>0</v>
      </c>
      <c r="J79" s="49">
        <f>'Total Number of WNV + Pools'!H11</f>
        <v>2</v>
      </c>
      <c r="K79" s="49">
        <f>I79+J79</f>
        <v>2</v>
      </c>
      <c r="L79" s="30">
        <f>CITYINFRATE!C4</f>
        <v>0</v>
      </c>
      <c r="M79" s="30">
        <f>CITYINFRATE!C5</f>
        <v>2.3807344486126936</v>
      </c>
      <c r="N79" s="30">
        <v>2.254395112018309</v>
      </c>
      <c r="Q79" s="82"/>
      <c r="R79" s="31"/>
      <c r="S79" s="31"/>
      <c r="T79" s="31"/>
    </row>
    <row r="80" spans="1:25" ht="15.75" thickBot="1">
      <c r="B80" s="18" t="s">
        <v>100</v>
      </c>
      <c r="C80" s="49">
        <f>'Total Number Ind Examined '!I11</f>
        <v>12</v>
      </c>
      <c r="D80" s="49">
        <f>'Total Number Ind Examined '!J11</f>
        <v>467</v>
      </c>
      <c r="E80" s="49">
        <f>C80+D80</f>
        <v>479</v>
      </c>
      <c r="F80" s="49">
        <f>'Total Number of Pools Examined'!H11</f>
        <v>3</v>
      </c>
      <c r="G80" s="49">
        <f>'Total Number of Pools Examined'!I11</f>
        <v>11</v>
      </c>
      <c r="H80" s="49">
        <f>F80+G80</f>
        <v>14</v>
      </c>
      <c r="I80" s="49">
        <f>'Total Number of WNV + Pools'!G12</f>
        <v>0</v>
      </c>
      <c r="J80" s="49">
        <f>'Total Number of WNV + Pools'!H12</f>
        <v>0</v>
      </c>
      <c r="K80" s="49">
        <f>I80+J80</f>
        <v>0</v>
      </c>
      <c r="L80" s="30">
        <f>CITYINFRATE!C6</f>
        <v>0</v>
      </c>
      <c r="M80" s="30">
        <f>CITYINFRATE!C7</f>
        <v>0</v>
      </c>
      <c r="N80" s="30">
        <v>0</v>
      </c>
      <c r="Q80" s="82"/>
      <c r="R80" s="31"/>
      <c r="S80" s="31"/>
      <c r="T80" s="31"/>
    </row>
    <row r="81" spans="1:20" ht="15.75" thickBot="1">
      <c r="B81" s="18" t="s">
        <v>105</v>
      </c>
      <c r="C81" s="49">
        <f>'Total Number Ind Examined '!I12</f>
        <v>0</v>
      </c>
      <c r="D81" s="49">
        <f>'Total Number Ind Examined '!J12</f>
        <v>169</v>
      </c>
      <c r="E81" s="49">
        <f>C81+D81</f>
        <v>169</v>
      </c>
      <c r="F81" s="49">
        <f>'Total Number of Pools Examined'!H12</f>
        <v>0</v>
      </c>
      <c r="G81" s="49">
        <v>5</v>
      </c>
      <c r="H81" s="49">
        <f>F81+G81</f>
        <v>5</v>
      </c>
      <c r="I81" s="49">
        <f>'Total Number of WNV + Pools'!G13</f>
        <v>0</v>
      </c>
      <c r="J81" s="49">
        <f>'Total Number of WNV + Pools'!H13</f>
        <v>0</v>
      </c>
      <c r="K81" s="49">
        <f>I81+J81</f>
        <v>0</v>
      </c>
      <c r="L81" s="30">
        <f>CITYINFRATE!C8</f>
        <v>0</v>
      </c>
      <c r="M81" s="30">
        <f>CITYINFRATE!C9</f>
        <v>0</v>
      </c>
      <c r="N81" s="30">
        <v>0</v>
      </c>
      <c r="Q81" s="82"/>
      <c r="R81" s="31"/>
      <c r="S81" s="31"/>
      <c r="T81" s="31"/>
    </row>
    <row r="82" spans="1:20" ht="15.75" thickBot="1">
      <c r="R82" s="50"/>
      <c r="S82" s="59"/>
      <c r="T82" s="31"/>
    </row>
    <row r="83" spans="1:20">
      <c r="A83" t="s">
        <v>51</v>
      </c>
      <c r="B83" s="16"/>
      <c r="C83" s="138" t="s">
        <v>53</v>
      </c>
      <c r="D83" s="139"/>
      <c r="E83" s="138" t="s">
        <v>54</v>
      </c>
      <c r="F83" s="139"/>
      <c r="G83" s="138" t="s">
        <v>56</v>
      </c>
      <c r="H83" s="139"/>
      <c r="I83" s="138" t="s">
        <v>55</v>
      </c>
      <c r="J83" s="139"/>
      <c r="K83" s="138" t="s">
        <v>21</v>
      </c>
      <c r="L83" s="139"/>
      <c r="M83" s="19"/>
      <c r="N83" s="76"/>
      <c r="O83" s="76"/>
      <c r="R83" s="86"/>
      <c r="S83" s="31"/>
    </row>
    <row r="84" spans="1:20" ht="15.75" thickBot="1">
      <c r="B84" s="17"/>
      <c r="C84" s="140"/>
      <c r="D84" s="141"/>
      <c r="E84" s="140"/>
      <c r="F84" s="141"/>
      <c r="G84" s="140"/>
      <c r="H84" s="141"/>
      <c r="I84" s="140"/>
      <c r="J84" s="141"/>
      <c r="K84" s="140"/>
      <c r="L84" s="141"/>
      <c r="M84" s="20"/>
      <c r="N84" s="78"/>
      <c r="O84" s="78"/>
      <c r="R84" s="86"/>
      <c r="S84" s="31"/>
    </row>
    <row r="85" spans="1:20" ht="26.25" thickBot="1">
      <c r="B85" s="18" t="s">
        <v>8</v>
      </c>
      <c r="C85" s="21" t="s">
        <v>22</v>
      </c>
      <c r="D85" s="21" t="s">
        <v>23</v>
      </c>
      <c r="E85" s="21" t="s">
        <v>22</v>
      </c>
      <c r="F85" s="21" t="s">
        <v>23</v>
      </c>
      <c r="G85" s="21" t="s">
        <v>22</v>
      </c>
      <c r="H85" s="21" t="s">
        <v>23</v>
      </c>
      <c r="I85" s="21" t="s">
        <v>22</v>
      </c>
      <c r="J85" s="21" t="s">
        <v>23</v>
      </c>
      <c r="K85" s="21" t="s">
        <v>22</v>
      </c>
      <c r="L85" s="21" t="s">
        <v>23</v>
      </c>
      <c r="M85" s="21" t="s">
        <v>9</v>
      </c>
      <c r="N85" s="77" t="s">
        <v>100</v>
      </c>
      <c r="O85" s="77" t="s">
        <v>105</v>
      </c>
      <c r="R85" s="86"/>
      <c r="S85" s="31"/>
    </row>
    <row r="86" spans="1:20" ht="15.75" thickBot="1">
      <c r="B86" s="18">
        <v>23</v>
      </c>
      <c r="C86" s="47">
        <v>0</v>
      </c>
      <c r="D86" s="47">
        <v>0</v>
      </c>
      <c r="E86" s="47">
        <v>0</v>
      </c>
      <c r="F86" s="47">
        <v>0</v>
      </c>
      <c r="G86" s="47">
        <v>0</v>
      </c>
      <c r="H86" s="47">
        <v>1.7731002705211838</v>
      </c>
      <c r="I86" s="47">
        <v>0</v>
      </c>
      <c r="J86" s="47">
        <v>0</v>
      </c>
      <c r="K86" s="47">
        <v>0</v>
      </c>
      <c r="L86" s="47">
        <v>0.57753392895019295</v>
      </c>
      <c r="M86" s="47">
        <v>0</v>
      </c>
      <c r="N86" s="47">
        <v>0</v>
      </c>
      <c r="O86" s="47" t="s">
        <v>106</v>
      </c>
      <c r="R86" s="86"/>
      <c r="S86" s="31"/>
    </row>
    <row r="87" spans="1:20" ht="15.75" thickBot="1">
      <c r="B87" s="18">
        <v>24</v>
      </c>
      <c r="C87" s="47">
        <v>0</v>
      </c>
      <c r="D87" s="44">
        <v>0</v>
      </c>
      <c r="E87" s="47">
        <v>0</v>
      </c>
      <c r="F87" s="44">
        <v>0</v>
      </c>
      <c r="G87" s="47">
        <v>0</v>
      </c>
      <c r="H87" s="44">
        <v>0.91461867631970462</v>
      </c>
      <c r="I87" s="47">
        <v>0</v>
      </c>
      <c r="J87" s="44">
        <v>0</v>
      </c>
      <c r="K87" s="47">
        <v>0</v>
      </c>
      <c r="L87" s="44">
        <v>0.34958416122508951</v>
      </c>
      <c r="M87" s="47">
        <v>0</v>
      </c>
      <c r="N87" s="47">
        <v>0</v>
      </c>
      <c r="O87" s="47">
        <v>0</v>
      </c>
    </row>
    <row r="88" spans="1:20" ht="15.75" thickBot="1">
      <c r="B88" s="18">
        <v>25</v>
      </c>
      <c r="C88" s="47">
        <v>0</v>
      </c>
      <c r="D88" s="44">
        <v>0</v>
      </c>
      <c r="E88" s="47">
        <v>0</v>
      </c>
      <c r="F88" s="44">
        <v>0.3889349324634922</v>
      </c>
      <c r="G88" s="47">
        <v>0</v>
      </c>
      <c r="H88" s="44">
        <v>0</v>
      </c>
      <c r="I88" s="47">
        <v>0</v>
      </c>
      <c r="J88" s="44">
        <v>0</v>
      </c>
      <c r="K88" s="47">
        <v>0</v>
      </c>
      <c r="L88" s="44">
        <v>5.1234108828167764E-2</v>
      </c>
      <c r="M88" s="47">
        <v>0</v>
      </c>
      <c r="N88" s="47">
        <v>0</v>
      </c>
      <c r="O88" s="47">
        <v>0</v>
      </c>
    </row>
    <row r="89" spans="1:20" ht="15.75" thickBot="1">
      <c r="B89" s="18">
        <v>26</v>
      </c>
      <c r="C89" s="47">
        <v>0</v>
      </c>
      <c r="D89" s="44">
        <v>0</v>
      </c>
      <c r="E89" s="47">
        <v>0</v>
      </c>
      <c r="F89" s="44">
        <v>6.7500000000000004E-2</v>
      </c>
      <c r="G89" s="47">
        <v>0</v>
      </c>
      <c r="H89" s="44">
        <v>0.29483486861485103</v>
      </c>
      <c r="I89" s="47">
        <v>0</v>
      </c>
      <c r="J89" s="44">
        <v>0.30132918877620068</v>
      </c>
      <c r="K89" s="47">
        <v>0</v>
      </c>
      <c r="L89" s="44">
        <v>0.18314728112150008</v>
      </c>
      <c r="M89" s="47">
        <v>0</v>
      </c>
      <c r="N89" s="47">
        <v>0</v>
      </c>
      <c r="O89" s="47">
        <v>0</v>
      </c>
    </row>
    <row r="90" spans="1:20" ht="15.75" thickBot="1">
      <c r="B90" s="18">
        <v>27</v>
      </c>
      <c r="C90" s="47">
        <v>0</v>
      </c>
      <c r="D90" s="44">
        <v>0</v>
      </c>
      <c r="E90" s="47">
        <v>0</v>
      </c>
      <c r="F90" s="44">
        <v>0.15170706172953</v>
      </c>
      <c r="G90" s="47">
        <v>0</v>
      </c>
      <c r="H90" s="44">
        <v>0.30066928830586492</v>
      </c>
      <c r="I90" s="47">
        <v>0</v>
      </c>
      <c r="J90" s="44">
        <v>0</v>
      </c>
      <c r="K90" s="47">
        <v>0</v>
      </c>
      <c r="L90" s="44">
        <v>0.21607841706262376</v>
      </c>
      <c r="M90" s="47">
        <v>0</v>
      </c>
      <c r="N90" s="47">
        <v>0</v>
      </c>
      <c r="O90" s="47">
        <v>0</v>
      </c>
    </row>
    <row r="91" spans="1:20" ht="15.75" thickBot="1">
      <c r="B91" s="18">
        <v>28</v>
      </c>
      <c r="C91" s="47">
        <v>0</v>
      </c>
      <c r="D91" s="44">
        <v>0</v>
      </c>
      <c r="E91" s="47">
        <v>0</v>
      </c>
      <c r="F91" s="44">
        <v>0.44504732059930419</v>
      </c>
      <c r="G91" s="47">
        <v>1.8487039560912155</v>
      </c>
      <c r="H91" s="44">
        <v>0.69062412187327937</v>
      </c>
      <c r="I91" s="47">
        <v>1.7956493426558853</v>
      </c>
      <c r="J91" s="44">
        <v>0.51306167001138703</v>
      </c>
      <c r="K91" s="47">
        <v>0.91</v>
      </c>
      <c r="L91" s="44">
        <v>0.47989620742139305</v>
      </c>
      <c r="M91" s="47">
        <v>0</v>
      </c>
      <c r="N91" s="47">
        <v>0</v>
      </c>
      <c r="O91" s="47">
        <v>5.91</v>
      </c>
    </row>
    <row r="92" spans="1:20" ht="15.75" thickBot="1">
      <c r="B92" s="18">
        <v>29</v>
      </c>
      <c r="C92" s="47">
        <v>1.6862033469409377</v>
      </c>
      <c r="D92" s="44">
        <v>1.3534878023800936</v>
      </c>
      <c r="E92" s="47">
        <v>0</v>
      </c>
      <c r="F92" s="44">
        <v>0.91051896454903003</v>
      </c>
      <c r="G92" s="47">
        <v>2.1591237205314067</v>
      </c>
      <c r="H92" s="44">
        <v>2.0973925951242518</v>
      </c>
      <c r="I92" s="47">
        <v>0</v>
      </c>
      <c r="J92" s="44">
        <v>0.89014134649403398</v>
      </c>
      <c r="K92" s="47">
        <v>1.0148697371909978</v>
      </c>
      <c r="L92" s="44">
        <v>1.403575102869312</v>
      </c>
      <c r="M92" s="47">
        <v>2.254395112018309</v>
      </c>
      <c r="N92" s="47">
        <v>0</v>
      </c>
      <c r="O92" s="47">
        <v>0</v>
      </c>
    </row>
    <row r="93" spans="1:20" ht="15.75" thickBot="1">
      <c r="B93" s="18">
        <v>30</v>
      </c>
      <c r="C93" s="47"/>
      <c r="D93" s="44">
        <v>2.0979856552056728</v>
      </c>
      <c r="E93" s="47"/>
      <c r="F93" s="44">
        <v>1.6097148230341611</v>
      </c>
      <c r="G93" s="47"/>
      <c r="H93" s="44">
        <v>3.552923366306378</v>
      </c>
      <c r="I93" s="47"/>
      <c r="J93" s="44">
        <v>2.1928111694680927</v>
      </c>
      <c r="K93" s="47"/>
      <c r="L93" s="44">
        <v>2.4617844697840252</v>
      </c>
      <c r="M93" s="47"/>
      <c r="N93" s="47"/>
      <c r="O93" s="47"/>
    </row>
    <row r="94" spans="1:20" ht="15.75" thickBot="1">
      <c r="B94" s="18">
        <v>31</v>
      </c>
      <c r="C94" s="47"/>
      <c r="D94" s="44">
        <v>3.1244305631899043</v>
      </c>
      <c r="E94" s="47"/>
      <c r="F94" s="44">
        <v>1.9359427005937422</v>
      </c>
      <c r="G94" s="47"/>
      <c r="H94" s="44">
        <v>4.6827291630281422</v>
      </c>
      <c r="I94" s="47"/>
      <c r="J94" s="44">
        <v>3.1291002064609281</v>
      </c>
      <c r="K94" s="47"/>
      <c r="L94" s="44">
        <v>3.2867075500621601</v>
      </c>
      <c r="M94" s="47"/>
      <c r="N94" s="47"/>
      <c r="O94" s="47"/>
    </row>
    <row r="95" spans="1:20" ht="15.75" thickBot="1">
      <c r="B95" s="18">
        <v>32</v>
      </c>
      <c r="C95" s="47"/>
      <c r="D95" s="44">
        <v>4.346229942910826</v>
      </c>
      <c r="E95" s="47"/>
      <c r="F95" s="44">
        <v>4.7847882880306774</v>
      </c>
      <c r="G95" s="47"/>
      <c r="H95" s="44">
        <v>7.165533557698156</v>
      </c>
      <c r="I95" s="47"/>
      <c r="J95" s="44">
        <v>9.6349125641885038</v>
      </c>
      <c r="K95" s="47"/>
      <c r="L95" s="44">
        <v>5.4625903114181167</v>
      </c>
      <c r="M95" s="47"/>
      <c r="N95" s="47"/>
      <c r="O95" s="47"/>
    </row>
    <row r="96" spans="1:20" ht="15.75" thickBot="1">
      <c r="B96" s="18">
        <v>33</v>
      </c>
      <c r="C96" s="47"/>
      <c r="D96" s="44">
        <v>6.5541977308328221</v>
      </c>
      <c r="E96" s="47"/>
      <c r="F96" s="44">
        <v>6.6333651534209253</v>
      </c>
      <c r="G96" s="47"/>
      <c r="H96" s="44">
        <v>9.723562285408585</v>
      </c>
      <c r="I96" s="47"/>
      <c r="J96" s="44">
        <v>6.9502573599264679</v>
      </c>
      <c r="K96" s="47"/>
      <c r="L96" s="44">
        <v>7.7215256518057034</v>
      </c>
      <c r="M96" s="47"/>
      <c r="N96" s="47"/>
      <c r="O96" s="47"/>
    </row>
    <row r="97" spans="2:16" ht="15.75" thickBot="1">
      <c r="B97" s="18">
        <v>34</v>
      </c>
      <c r="C97" s="47"/>
      <c r="D97" s="44">
        <v>8.1851769546008306</v>
      </c>
      <c r="E97" s="47"/>
      <c r="F97" s="44">
        <v>4.1334061577386034</v>
      </c>
      <c r="G97" s="47"/>
      <c r="H97" s="44">
        <v>10.737502922692824</v>
      </c>
      <c r="I97" s="47"/>
      <c r="J97" s="44">
        <v>9.7655387014895592</v>
      </c>
      <c r="K97" s="47"/>
      <c r="L97" s="44">
        <v>7.5701154595413467</v>
      </c>
      <c r="M97" s="47"/>
      <c r="N97" s="47"/>
      <c r="O97" s="47"/>
      <c r="P97" s="31"/>
    </row>
    <row r="98" spans="2:16" ht="15.75" thickBot="1">
      <c r="B98" s="18">
        <v>35</v>
      </c>
      <c r="C98" s="47"/>
      <c r="D98" s="44">
        <v>9.6859173066162629</v>
      </c>
      <c r="E98" s="47"/>
      <c r="F98" s="44">
        <v>5.6519388232886651</v>
      </c>
      <c r="G98" s="47"/>
      <c r="H98" s="44">
        <v>14.768558800677216</v>
      </c>
      <c r="I98" s="47"/>
      <c r="J98" s="44">
        <v>37.129605670330271</v>
      </c>
      <c r="K98" s="47"/>
      <c r="L98" s="44">
        <v>10.01966402965145</v>
      </c>
      <c r="M98" s="47"/>
      <c r="N98" s="47"/>
      <c r="O98" s="47"/>
    </row>
    <row r="99" spans="2:16" ht="15.75" thickBot="1">
      <c r="B99" s="18">
        <v>36</v>
      </c>
      <c r="C99" s="47"/>
      <c r="D99" s="46">
        <v>6.278399121321284</v>
      </c>
      <c r="E99" s="47"/>
      <c r="F99" s="46">
        <v>2.0573544680351628</v>
      </c>
      <c r="G99" s="47"/>
      <c r="H99" s="46">
        <v>3.4139251927476031</v>
      </c>
      <c r="I99" s="47"/>
      <c r="J99" s="46">
        <v>7.3720476683723817</v>
      </c>
      <c r="K99" s="47"/>
      <c r="L99" s="46">
        <v>2.7027420305663079</v>
      </c>
      <c r="M99" s="47"/>
      <c r="N99" s="45"/>
      <c r="O99" s="45"/>
    </row>
    <row r="100" spans="2:16" ht="15.75" thickBot="1">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L69:N71"/>
    <mergeCell ref="C83:D84"/>
    <mergeCell ref="E83:F84"/>
    <mergeCell ref="G83:H84"/>
    <mergeCell ref="I83:J84"/>
    <mergeCell ref="K83:L84"/>
    <mergeCell ref="C69:E71"/>
    <mergeCell ref="F69:H71"/>
    <mergeCell ref="I69:K69"/>
    <mergeCell ref="I70:K70"/>
    <mergeCell ref="I71:K71"/>
    <mergeCell ref="C50:D51"/>
    <mergeCell ref="E50:F51"/>
    <mergeCell ref="G50:H51"/>
    <mergeCell ref="I50:J51"/>
    <mergeCell ref="K50:L51"/>
    <mergeCell ref="C35:E35"/>
    <mergeCell ref="C36:E36"/>
    <mergeCell ref="C37:E37"/>
    <mergeCell ref="G35:I37"/>
    <mergeCell ref="C38:C39"/>
    <mergeCell ref="D38:D39"/>
    <mergeCell ref="E38:E39"/>
    <mergeCell ref="G38:G39"/>
    <mergeCell ref="H38:H39"/>
    <mergeCell ref="C16:D17"/>
    <mergeCell ref="E16:F17"/>
    <mergeCell ref="G16:H17"/>
    <mergeCell ref="I16:J17"/>
    <mergeCell ref="K16:L17"/>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Y245"/>
  <sheetViews>
    <sheetView zoomScaleNormal="100" workbookViewId="0">
      <selection activeCell="J176" sqref="J176"/>
    </sheetView>
  </sheetViews>
  <sheetFormatPr defaultColWidth="8.85546875" defaultRowHeight="11.25"/>
  <cols>
    <col min="1" max="1" width="11.28515625" style="70" customWidth="1"/>
    <col min="2" max="2" width="14.42578125" style="36" customWidth="1"/>
    <col min="3" max="3" width="9.42578125" style="36" bestFit="1" customWidth="1"/>
    <col min="4" max="4" width="6.42578125" style="64" bestFit="1" customWidth="1"/>
    <col min="5" max="5" width="13" style="62" customWidth="1"/>
    <col min="6" max="6" width="6.42578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67" customWidth="1"/>
    <col min="15" max="15" width="7.42578125" style="67" customWidth="1"/>
    <col min="16" max="16" width="7.140625" style="67" customWidth="1"/>
    <col min="17" max="17" width="11.140625" style="36" customWidth="1"/>
    <col min="18" max="18" width="10.7109375" style="36" customWidth="1"/>
    <col min="19" max="19" width="13.7109375" style="36" customWidth="1"/>
    <col min="20" max="21" width="9.140625" style="36"/>
    <col min="22" max="23" width="9.140625" style="51"/>
    <col min="24" max="24" width="9.140625" style="51" customWidth="1"/>
    <col min="25" max="25" width="9.140625" style="51"/>
    <col min="26" max="253" width="9.140625" style="36"/>
    <col min="254" max="254" width="4.42578125" style="36" bestFit="1" customWidth="1"/>
    <col min="255" max="255" width="11.42578125" style="36" bestFit="1" customWidth="1"/>
    <col min="256" max="256" width="9.42578125" style="36" bestFit="1" customWidth="1"/>
    <col min="257" max="257" width="6.42578125" style="36" bestFit="1" customWidth="1"/>
    <col min="258" max="258" width="7.7109375" style="36" bestFit="1" customWidth="1"/>
    <col min="259" max="260" width="6.42578125" style="36" bestFit="1" customWidth="1"/>
    <col min="261" max="261" width="10" style="36" bestFit="1" customWidth="1"/>
    <col min="262" max="262" width="7.140625" style="36" customWidth="1"/>
    <col min="263" max="263" width="6.7109375" style="36" bestFit="1" customWidth="1"/>
    <col min="264" max="264" width="5.42578125" style="36" bestFit="1" customWidth="1"/>
    <col min="265" max="265" width="6.28515625" style="36" bestFit="1" customWidth="1"/>
    <col min="266" max="266" width="5.42578125" style="36" customWidth="1"/>
    <col min="267" max="267" width="6.7109375" style="36" customWidth="1"/>
    <col min="268" max="268" width="7.42578125" style="36" customWidth="1"/>
    <col min="269" max="269" width="7.140625" style="36" customWidth="1"/>
    <col min="270" max="270" width="9.28515625" style="36" customWidth="1"/>
    <col min="271" max="271" width="10.7109375" style="36" customWidth="1"/>
    <col min="272" max="272" width="9.140625" style="36" customWidth="1"/>
    <col min="273" max="509" width="9.140625" style="36"/>
    <col min="510" max="510" width="4.42578125" style="36" bestFit="1" customWidth="1"/>
    <col min="511" max="511" width="11.42578125" style="36" bestFit="1" customWidth="1"/>
    <col min="512" max="512" width="9.42578125" style="36" bestFit="1" customWidth="1"/>
    <col min="513" max="513" width="6.42578125" style="36" bestFit="1" customWidth="1"/>
    <col min="514" max="514" width="7.7109375" style="36" bestFit="1" customWidth="1"/>
    <col min="515" max="516" width="6.42578125" style="36" bestFit="1" customWidth="1"/>
    <col min="517" max="517" width="10" style="36" bestFit="1" customWidth="1"/>
    <col min="518" max="518" width="7.140625" style="36" customWidth="1"/>
    <col min="519" max="519" width="6.7109375" style="36" bestFit="1" customWidth="1"/>
    <col min="520" max="520" width="5.42578125" style="36" bestFit="1" customWidth="1"/>
    <col min="521" max="521" width="6.28515625" style="36" bestFit="1" customWidth="1"/>
    <col min="522" max="522" width="5.42578125" style="36" customWidth="1"/>
    <col min="523" max="523" width="6.7109375" style="36" customWidth="1"/>
    <col min="524" max="524" width="7.42578125" style="36" customWidth="1"/>
    <col min="525" max="525" width="7.140625" style="36" customWidth="1"/>
    <col min="526" max="526" width="9.28515625" style="36" customWidth="1"/>
    <col min="527" max="527" width="10.7109375" style="36" customWidth="1"/>
    <col min="528" max="528" width="9.140625" style="36" customWidth="1"/>
    <col min="529" max="765" width="9.140625" style="36"/>
    <col min="766" max="766" width="4.42578125" style="36" bestFit="1" customWidth="1"/>
    <col min="767" max="767" width="11.42578125" style="36" bestFit="1" customWidth="1"/>
    <col min="768" max="768" width="9.42578125" style="36" bestFit="1" customWidth="1"/>
    <col min="769" max="769" width="6.42578125" style="36" bestFit="1" customWidth="1"/>
    <col min="770" max="770" width="7.7109375" style="36" bestFit="1" customWidth="1"/>
    <col min="771" max="772" width="6.42578125" style="36" bestFit="1" customWidth="1"/>
    <col min="773" max="773" width="10" style="36" bestFit="1" customWidth="1"/>
    <col min="774" max="774" width="7.140625" style="36" customWidth="1"/>
    <col min="775" max="775" width="6.7109375" style="36" bestFit="1" customWidth="1"/>
    <col min="776" max="776" width="5.42578125" style="36" bestFit="1" customWidth="1"/>
    <col min="777" max="777" width="6.28515625" style="36" bestFit="1" customWidth="1"/>
    <col min="778" max="778" width="5.42578125" style="36" customWidth="1"/>
    <col min="779" max="779" width="6.7109375" style="36" customWidth="1"/>
    <col min="780" max="780" width="7.42578125" style="36" customWidth="1"/>
    <col min="781" max="781" width="7.140625" style="36" customWidth="1"/>
    <col min="782" max="782" width="9.28515625" style="36" customWidth="1"/>
    <col min="783" max="783" width="10.7109375" style="36" customWidth="1"/>
    <col min="784" max="784" width="9.140625" style="36" customWidth="1"/>
    <col min="785" max="1021" width="9.140625" style="36"/>
    <col min="1022" max="1022" width="4.42578125" style="36" bestFit="1" customWidth="1"/>
    <col min="1023" max="1023" width="11.42578125" style="36" bestFit="1" customWidth="1"/>
    <col min="1024" max="1024" width="9.42578125" style="36" bestFit="1" customWidth="1"/>
    <col min="1025" max="1025" width="6.42578125" style="36" bestFit="1" customWidth="1"/>
    <col min="1026" max="1026" width="7.7109375" style="36" bestFit="1" customWidth="1"/>
    <col min="1027" max="1028" width="6.42578125" style="36" bestFit="1" customWidth="1"/>
    <col min="1029" max="1029" width="10" style="36" bestFit="1" customWidth="1"/>
    <col min="1030" max="1030" width="7.140625" style="36" customWidth="1"/>
    <col min="1031" max="1031" width="6.7109375" style="36" bestFit="1" customWidth="1"/>
    <col min="1032" max="1032" width="5.42578125" style="36" bestFit="1" customWidth="1"/>
    <col min="1033" max="1033" width="6.28515625" style="36" bestFit="1" customWidth="1"/>
    <col min="1034" max="1034" width="5.42578125" style="36" customWidth="1"/>
    <col min="1035" max="1035" width="6.7109375" style="36" customWidth="1"/>
    <col min="1036" max="1036" width="7.42578125" style="36" customWidth="1"/>
    <col min="1037" max="1037" width="7.140625" style="36" customWidth="1"/>
    <col min="1038" max="1038" width="9.28515625" style="36" customWidth="1"/>
    <col min="1039" max="1039" width="10.7109375" style="36" customWidth="1"/>
    <col min="1040" max="1040" width="9.140625" style="36" customWidth="1"/>
    <col min="1041" max="1277" width="9.140625" style="36"/>
    <col min="1278" max="1278" width="4.42578125" style="36" bestFit="1" customWidth="1"/>
    <col min="1279" max="1279" width="11.42578125" style="36" bestFit="1" customWidth="1"/>
    <col min="1280" max="1280" width="9.42578125" style="36" bestFit="1" customWidth="1"/>
    <col min="1281" max="1281" width="6.42578125" style="36" bestFit="1" customWidth="1"/>
    <col min="1282" max="1282" width="7.7109375" style="36" bestFit="1" customWidth="1"/>
    <col min="1283" max="1284" width="6.42578125" style="36" bestFit="1" customWidth="1"/>
    <col min="1285" max="1285" width="10" style="36" bestFit="1" customWidth="1"/>
    <col min="1286" max="1286" width="7.140625" style="36" customWidth="1"/>
    <col min="1287" max="1287" width="6.7109375" style="36" bestFit="1" customWidth="1"/>
    <col min="1288" max="1288" width="5.42578125" style="36" bestFit="1" customWidth="1"/>
    <col min="1289" max="1289" width="6.28515625" style="36" bestFit="1" customWidth="1"/>
    <col min="1290" max="1290" width="5.42578125" style="36" customWidth="1"/>
    <col min="1291" max="1291" width="6.7109375" style="36" customWidth="1"/>
    <col min="1292" max="1292" width="7.42578125" style="36" customWidth="1"/>
    <col min="1293" max="1293" width="7.140625" style="36" customWidth="1"/>
    <col min="1294" max="1294" width="9.28515625" style="36" customWidth="1"/>
    <col min="1295" max="1295" width="10.7109375" style="36" customWidth="1"/>
    <col min="1296" max="1296" width="9.140625" style="36" customWidth="1"/>
    <col min="1297" max="1533" width="9.140625" style="36"/>
    <col min="1534" max="1534" width="4.42578125" style="36" bestFit="1" customWidth="1"/>
    <col min="1535" max="1535" width="11.42578125" style="36" bestFit="1" customWidth="1"/>
    <col min="1536" max="1536" width="9.42578125" style="36" bestFit="1" customWidth="1"/>
    <col min="1537" max="1537" width="6.42578125" style="36" bestFit="1" customWidth="1"/>
    <col min="1538" max="1538" width="7.7109375" style="36" bestFit="1" customWidth="1"/>
    <col min="1539" max="1540" width="6.42578125" style="36" bestFit="1" customWidth="1"/>
    <col min="1541" max="1541" width="10" style="36" bestFit="1" customWidth="1"/>
    <col min="1542" max="1542" width="7.140625" style="36" customWidth="1"/>
    <col min="1543" max="1543" width="6.7109375" style="36" bestFit="1" customWidth="1"/>
    <col min="1544" max="1544" width="5.42578125" style="36" bestFit="1" customWidth="1"/>
    <col min="1545" max="1545" width="6.28515625" style="36" bestFit="1" customWidth="1"/>
    <col min="1546" max="1546" width="5.42578125" style="36" customWidth="1"/>
    <col min="1547" max="1547" width="6.7109375" style="36" customWidth="1"/>
    <col min="1548" max="1548" width="7.42578125" style="36" customWidth="1"/>
    <col min="1549" max="1549" width="7.140625" style="36" customWidth="1"/>
    <col min="1550" max="1550" width="9.28515625" style="36" customWidth="1"/>
    <col min="1551" max="1551" width="10.7109375" style="36" customWidth="1"/>
    <col min="1552" max="1552" width="9.140625" style="36" customWidth="1"/>
    <col min="1553" max="1789" width="9.140625" style="36"/>
    <col min="1790" max="1790" width="4.42578125" style="36" bestFit="1" customWidth="1"/>
    <col min="1791" max="1791" width="11.42578125" style="36" bestFit="1" customWidth="1"/>
    <col min="1792" max="1792" width="9.42578125" style="36" bestFit="1" customWidth="1"/>
    <col min="1793" max="1793" width="6.42578125" style="36" bestFit="1" customWidth="1"/>
    <col min="1794" max="1794" width="7.7109375" style="36" bestFit="1" customWidth="1"/>
    <col min="1795" max="1796" width="6.42578125" style="36" bestFit="1" customWidth="1"/>
    <col min="1797" max="1797" width="10" style="36" bestFit="1" customWidth="1"/>
    <col min="1798" max="1798" width="7.140625" style="36" customWidth="1"/>
    <col min="1799" max="1799" width="6.7109375" style="36" bestFit="1" customWidth="1"/>
    <col min="1800" max="1800" width="5.42578125" style="36" bestFit="1" customWidth="1"/>
    <col min="1801" max="1801" width="6.28515625" style="36" bestFit="1" customWidth="1"/>
    <col min="1802" max="1802" width="5.42578125" style="36" customWidth="1"/>
    <col min="1803" max="1803" width="6.7109375" style="36" customWidth="1"/>
    <col min="1804" max="1804" width="7.42578125" style="36" customWidth="1"/>
    <col min="1805" max="1805" width="7.140625" style="36" customWidth="1"/>
    <col min="1806" max="1806" width="9.28515625" style="36" customWidth="1"/>
    <col min="1807" max="1807" width="10.7109375" style="36" customWidth="1"/>
    <col min="1808" max="1808" width="9.140625" style="36" customWidth="1"/>
    <col min="1809" max="2045" width="9.140625" style="36"/>
    <col min="2046" max="2046" width="4.42578125" style="36" bestFit="1" customWidth="1"/>
    <col min="2047" max="2047" width="11.42578125" style="36" bestFit="1" customWidth="1"/>
    <col min="2048" max="2048" width="9.42578125" style="36" bestFit="1" customWidth="1"/>
    <col min="2049" max="2049" width="6.42578125" style="36" bestFit="1" customWidth="1"/>
    <col min="2050" max="2050" width="7.7109375" style="36" bestFit="1" customWidth="1"/>
    <col min="2051" max="2052" width="6.42578125" style="36" bestFit="1" customWidth="1"/>
    <col min="2053" max="2053" width="10" style="36" bestFit="1" customWidth="1"/>
    <col min="2054" max="2054" width="7.140625" style="36" customWidth="1"/>
    <col min="2055" max="2055" width="6.7109375" style="36" bestFit="1" customWidth="1"/>
    <col min="2056" max="2056" width="5.42578125" style="36" bestFit="1" customWidth="1"/>
    <col min="2057" max="2057" width="6.28515625" style="36" bestFit="1" customWidth="1"/>
    <col min="2058" max="2058" width="5.42578125" style="36" customWidth="1"/>
    <col min="2059" max="2059" width="6.7109375" style="36" customWidth="1"/>
    <col min="2060" max="2060" width="7.42578125" style="36" customWidth="1"/>
    <col min="2061" max="2061" width="7.140625" style="36" customWidth="1"/>
    <col min="2062" max="2062" width="9.28515625" style="36" customWidth="1"/>
    <col min="2063" max="2063" width="10.7109375" style="36" customWidth="1"/>
    <col min="2064" max="2064" width="9.140625" style="36" customWidth="1"/>
    <col min="2065" max="2301" width="9.140625" style="36"/>
    <col min="2302" max="2302" width="4.42578125" style="36" bestFit="1" customWidth="1"/>
    <col min="2303" max="2303" width="11.42578125" style="36" bestFit="1" customWidth="1"/>
    <col min="2304" max="2304" width="9.42578125" style="36" bestFit="1" customWidth="1"/>
    <col min="2305" max="2305" width="6.42578125" style="36" bestFit="1" customWidth="1"/>
    <col min="2306" max="2306" width="7.7109375" style="36" bestFit="1" customWidth="1"/>
    <col min="2307" max="2308" width="6.42578125" style="36" bestFit="1" customWidth="1"/>
    <col min="2309" max="2309" width="10" style="36" bestFit="1" customWidth="1"/>
    <col min="2310" max="2310" width="7.140625" style="36" customWidth="1"/>
    <col min="2311" max="2311" width="6.7109375" style="36" bestFit="1" customWidth="1"/>
    <col min="2312" max="2312" width="5.42578125" style="36" bestFit="1" customWidth="1"/>
    <col min="2313" max="2313" width="6.28515625" style="36" bestFit="1" customWidth="1"/>
    <col min="2314" max="2314" width="5.42578125" style="36" customWidth="1"/>
    <col min="2315" max="2315" width="6.7109375" style="36" customWidth="1"/>
    <col min="2316" max="2316" width="7.42578125" style="36" customWidth="1"/>
    <col min="2317" max="2317" width="7.140625" style="36" customWidth="1"/>
    <col min="2318" max="2318" width="9.28515625" style="36" customWidth="1"/>
    <col min="2319" max="2319" width="10.7109375" style="36" customWidth="1"/>
    <col min="2320" max="2320" width="9.140625" style="36" customWidth="1"/>
    <col min="2321" max="2557" width="9.140625" style="36"/>
    <col min="2558" max="2558" width="4.42578125" style="36" bestFit="1" customWidth="1"/>
    <col min="2559" max="2559" width="11.42578125" style="36" bestFit="1" customWidth="1"/>
    <col min="2560" max="2560" width="9.42578125" style="36" bestFit="1" customWidth="1"/>
    <col min="2561" max="2561" width="6.42578125" style="36" bestFit="1" customWidth="1"/>
    <col min="2562" max="2562" width="7.7109375" style="36" bestFit="1" customWidth="1"/>
    <col min="2563" max="2564" width="6.42578125" style="36" bestFit="1" customWidth="1"/>
    <col min="2565" max="2565" width="10" style="36" bestFit="1" customWidth="1"/>
    <col min="2566" max="2566" width="7.140625" style="36" customWidth="1"/>
    <col min="2567" max="2567" width="6.7109375" style="36" bestFit="1" customWidth="1"/>
    <col min="2568" max="2568" width="5.42578125" style="36" bestFit="1" customWidth="1"/>
    <col min="2569" max="2569" width="6.28515625" style="36" bestFit="1" customWidth="1"/>
    <col min="2570" max="2570" width="5.42578125" style="36" customWidth="1"/>
    <col min="2571" max="2571" width="6.7109375" style="36" customWidth="1"/>
    <col min="2572" max="2572" width="7.42578125" style="36" customWidth="1"/>
    <col min="2573" max="2573" width="7.140625" style="36" customWidth="1"/>
    <col min="2574" max="2574" width="9.28515625" style="36" customWidth="1"/>
    <col min="2575" max="2575" width="10.7109375" style="36" customWidth="1"/>
    <col min="2576" max="2576" width="9.140625" style="36" customWidth="1"/>
    <col min="2577" max="2813" width="9.140625" style="36"/>
    <col min="2814" max="2814" width="4.42578125" style="36" bestFit="1" customWidth="1"/>
    <col min="2815" max="2815" width="11.42578125" style="36" bestFit="1" customWidth="1"/>
    <col min="2816" max="2816" width="9.42578125" style="36" bestFit="1" customWidth="1"/>
    <col min="2817" max="2817" width="6.42578125" style="36" bestFit="1" customWidth="1"/>
    <col min="2818" max="2818" width="7.7109375" style="36" bestFit="1" customWidth="1"/>
    <col min="2819" max="2820" width="6.42578125" style="36" bestFit="1" customWidth="1"/>
    <col min="2821" max="2821" width="10" style="36" bestFit="1" customWidth="1"/>
    <col min="2822" max="2822" width="7.140625" style="36" customWidth="1"/>
    <col min="2823" max="2823" width="6.7109375" style="36" bestFit="1" customWidth="1"/>
    <col min="2824" max="2824" width="5.42578125" style="36" bestFit="1" customWidth="1"/>
    <col min="2825" max="2825" width="6.28515625" style="36" bestFit="1" customWidth="1"/>
    <col min="2826" max="2826" width="5.42578125" style="36" customWidth="1"/>
    <col min="2827" max="2827" width="6.7109375" style="36" customWidth="1"/>
    <col min="2828" max="2828" width="7.42578125" style="36" customWidth="1"/>
    <col min="2829" max="2829" width="7.140625" style="36" customWidth="1"/>
    <col min="2830" max="2830" width="9.28515625" style="36" customWidth="1"/>
    <col min="2831" max="2831" width="10.7109375" style="36" customWidth="1"/>
    <col min="2832" max="2832" width="9.140625" style="36" customWidth="1"/>
    <col min="2833" max="3069" width="9.140625" style="36"/>
    <col min="3070" max="3070" width="4.42578125" style="36" bestFit="1" customWidth="1"/>
    <col min="3071" max="3071" width="11.42578125" style="36" bestFit="1" customWidth="1"/>
    <col min="3072" max="3072" width="9.42578125" style="36" bestFit="1" customWidth="1"/>
    <col min="3073" max="3073" width="6.42578125" style="36" bestFit="1" customWidth="1"/>
    <col min="3074" max="3074" width="7.7109375" style="36" bestFit="1" customWidth="1"/>
    <col min="3075" max="3076" width="6.42578125" style="36" bestFit="1" customWidth="1"/>
    <col min="3077" max="3077" width="10" style="36" bestFit="1" customWidth="1"/>
    <col min="3078" max="3078" width="7.140625" style="36" customWidth="1"/>
    <col min="3079" max="3079" width="6.7109375" style="36" bestFit="1" customWidth="1"/>
    <col min="3080" max="3080" width="5.42578125" style="36" bestFit="1" customWidth="1"/>
    <col min="3081" max="3081" width="6.28515625" style="36" bestFit="1" customWidth="1"/>
    <col min="3082" max="3082" width="5.42578125" style="36" customWidth="1"/>
    <col min="3083" max="3083" width="6.7109375" style="36" customWidth="1"/>
    <col min="3084" max="3084" width="7.42578125" style="36" customWidth="1"/>
    <col min="3085" max="3085" width="7.140625" style="36" customWidth="1"/>
    <col min="3086" max="3086" width="9.28515625" style="36" customWidth="1"/>
    <col min="3087" max="3087" width="10.7109375" style="36" customWidth="1"/>
    <col min="3088" max="3088" width="9.140625" style="36" customWidth="1"/>
    <col min="3089" max="3325" width="9.140625" style="36"/>
    <col min="3326" max="3326" width="4.42578125" style="36" bestFit="1" customWidth="1"/>
    <col min="3327" max="3327" width="11.42578125" style="36" bestFit="1" customWidth="1"/>
    <col min="3328" max="3328" width="9.42578125" style="36" bestFit="1" customWidth="1"/>
    <col min="3329" max="3329" width="6.42578125" style="36" bestFit="1" customWidth="1"/>
    <col min="3330" max="3330" width="7.7109375" style="36" bestFit="1" customWidth="1"/>
    <col min="3331" max="3332" width="6.42578125" style="36" bestFit="1" customWidth="1"/>
    <col min="3333" max="3333" width="10" style="36" bestFit="1" customWidth="1"/>
    <col min="3334" max="3334" width="7.140625" style="36" customWidth="1"/>
    <col min="3335" max="3335" width="6.7109375" style="36" bestFit="1" customWidth="1"/>
    <col min="3336" max="3336" width="5.42578125" style="36" bestFit="1" customWidth="1"/>
    <col min="3337" max="3337" width="6.28515625" style="36" bestFit="1" customWidth="1"/>
    <col min="3338" max="3338" width="5.42578125" style="36" customWidth="1"/>
    <col min="3339" max="3339" width="6.7109375" style="36" customWidth="1"/>
    <col min="3340" max="3340" width="7.42578125" style="36" customWidth="1"/>
    <col min="3341" max="3341" width="7.140625" style="36" customWidth="1"/>
    <col min="3342" max="3342" width="9.28515625" style="36" customWidth="1"/>
    <col min="3343" max="3343" width="10.7109375" style="36" customWidth="1"/>
    <col min="3344" max="3344" width="9.140625" style="36" customWidth="1"/>
    <col min="3345" max="3581" width="9.140625" style="36"/>
    <col min="3582" max="3582" width="4.42578125" style="36" bestFit="1" customWidth="1"/>
    <col min="3583" max="3583" width="11.42578125" style="36" bestFit="1" customWidth="1"/>
    <col min="3584" max="3584" width="9.42578125" style="36" bestFit="1" customWidth="1"/>
    <col min="3585" max="3585" width="6.42578125" style="36" bestFit="1" customWidth="1"/>
    <col min="3586" max="3586" width="7.7109375" style="36" bestFit="1" customWidth="1"/>
    <col min="3587" max="3588" width="6.42578125" style="36" bestFit="1" customWidth="1"/>
    <col min="3589" max="3589" width="10" style="36" bestFit="1" customWidth="1"/>
    <col min="3590" max="3590" width="7.140625" style="36" customWidth="1"/>
    <col min="3591" max="3591" width="6.7109375" style="36" bestFit="1" customWidth="1"/>
    <col min="3592" max="3592" width="5.42578125" style="36" bestFit="1" customWidth="1"/>
    <col min="3593" max="3593" width="6.28515625" style="36" bestFit="1" customWidth="1"/>
    <col min="3594" max="3594" width="5.42578125" style="36" customWidth="1"/>
    <col min="3595" max="3595" width="6.7109375" style="36" customWidth="1"/>
    <col min="3596" max="3596" width="7.42578125" style="36" customWidth="1"/>
    <col min="3597" max="3597" width="7.140625" style="36" customWidth="1"/>
    <col min="3598" max="3598" width="9.28515625" style="36" customWidth="1"/>
    <col min="3599" max="3599" width="10.7109375" style="36" customWidth="1"/>
    <col min="3600" max="3600" width="9.140625" style="36" customWidth="1"/>
    <col min="3601" max="3837" width="9.140625" style="36"/>
    <col min="3838" max="3838" width="4.42578125" style="36" bestFit="1" customWidth="1"/>
    <col min="3839" max="3839" width="11.42578125" style="36" bestFit="1" customWidth="1"/>
    <col min="3840" max="3840" width="9.42578125" style="36" bestFit="1" customWidth="1"/>
    <col min="3841" max="3841" width="6.42578125" style="36" bestFit="1" customWidth="1"/>
    <col min="3842" max="3842" width="7.7109375" style="36" bestFit="1" customWidth="1"/>
    <col min="3843" max="3844" width="6.42578125" style="36" bestFit="1" customWidth="1"/>
    <col min="3845" max="3845" width="10" style="36" bestFit="1" customWidth="1"/>
    <col min="3846" max="3846" width="7.140625" style="36" customWidth="1"/>
    <col min="3847" max="3847" width="6.7109375" style="36" bestFit="1" customWidth="1"/>
    <col min="3848" max="3848" width="5.42578125" style="36" bestFit="1" customWidth="1"/>
    <col min="3849" max="3849" width="6.28515625" style="36" bestFit="1" customWidth="1"/>
    <col min="3850" max="3850" width="5.42578125" style="36" customWidth="1"/>
    <col min="3851" max="3851" width="6.7109375" style="36" customWidth="1"/>
    <col min="3852" max="3852" width="7.42578125" style="36" customWidth="1"/>
    <col min="3853" max="3853" width="7.140625" style="36" customWidth="1"/>
    <col min="3854" max="3854" width="9.28515625" style="36" customWidth="1"/>
    <col min="3855" max="3855" width="10.7109375" style="36" customWidth="1"/>
    <col min="3856" max="3856" width="9.140625" style="36" customWidth="1"/>
    <col min="3857" max="4093" width="9.140625" style="36"/>
    <col min="4094" max="4094" width="4.42578125" style="36" bestFit="1" customWidth="1"/>
    <col min="4095" max="4095" width="11.42578125" style="36" bestFit="1" customWidth="1"/>
    <col min="4096" max="4096" width="9.42578125" style="36" bestFit="1" customWidth="1"/>
    <col min="4097" max="4097" width="6.42578125" style="36" bestFit="1" customWidth="1"/>
    <col min="4098" max="4098" width="7.7109375" style="36" bestFit="1" customWidth="1"/>
    <col min="4099" max="4100" width="6.42578125" style="36" bestFit="1" customWidth="1"/>
    <col min="4101" max="4101" width="10" style="36" bestFit="1" customWidth="1"/>
    <col min="4102" max="4102" width="7.140625" style="36" customWidth="1"/>
    <col min="4103" max="4103" width="6.7109375" style="36" bestFit="1" customWidth="1"/>
    <col min="4104" max="4104" width="5.42578125" style="36" bestFit="1" customWidth="1"/>
    <col min="4105" max="4105" width="6.28515625" style="36" bestFit="1" customWidth="1"/>
    <col min="4106" max="4106" width="5.42578125" style="36" customWidth="1"/>
    <col min="4107" max="4107" width="6.7109375" style="36" customWidth="1"/>
    <col min="4108" max="4108" width="7.42578125" style="36" customWidth="1"/>
    <col min="4109" max="4109" width="7.140625" style="36" customWidth="1"/>
    <col min="4110" max="4110" width="9.28515625" style="36" customWidth="1"/>
    <col min="4111" max="4111" width="10.7109375" style="36" customWidth="1"/>
    <col min="4112" max="4112" width="9.140625" style="36" customWidth="1"/>
    <col min="4113" max="4349" width="9.140625" style="36"/>
    <col min="4350" max="4350" width="4.42578125" style="36" bestFit="1" customWidth="1"/>
    <col min="4351" max="4351" width="11.42578125" style="36" bestFit="1" customWidth="1"/>
    <col min="4352" max="4352" width="9.42578125" style="36" bestFit="1" customWidth="1"/>
    <col min="4353" max="4353" width="6.42578125" style="36" bestFit="1" customWidth="1"/>
    <col min="4354" max="4354" width="7.7109375" style="36" bestFit="1" customWidth="1"/>
    <col min="4355" max="4356" width="6.42578125" style="36" bestFit="1" customWidth="1"/>
    <col min="4357" max="4357" width="10" style="36" bestFit="1" customWidth="1"/>
    <col min="4358" max="4358" width="7.140625" style="36" customWidth="1"/>
    <col min="4359" max="4359" width="6.7109375" style="36" bestFit="1" customWidth="1"/>
    <col min="4360" max="4360" width="5.42578125" style="36" bestFit="1" customWidth="1"/>
    <col min="4361" max="4361" width="6.28515625" style="36" bestFit="1" customWidth="1"/>
    <col min="4362" max="4362" width="5.42578125" style="36" customWidth="1"/>
    <col min="4363" max="4363" width="6.7109375" style="36" customWidth="1"/>
    <col min="4364" max="4364" width="7.42578125" style="36" customWidth="1"/>
    <col min="4365" max="4365" width="7.140625" style="36" customWidth="1"/>
    <col min="4366" max="4366" width="9.28515625" style="36" customWidth="1"/>
    <col min="4367" max="4367" width="10.7109375" style="36" customWidth="1"/>
    <col min="4368" max="4368" width="9.140625" style="36" customWidth="1"/>
    <col min="4369" max="4605" width="9.140625" style="36"/>
    <col min="4606" max="4606" width="4.42578125" style="36" bestFit="1" customWidth="1"/>
    <col min="4607" max="4607" width="11.42578125" style="36" bestFit="1" customWidth="1"/>
    <col min="4608" max="4608" width="9.42578125" style="36" bestFit="1" customWidth="1"/>
    <col min="4609" max="4609" width="6.42578125" style="36" bestFit="1" customWidth="1"/>
    <col min="4610" max="4610" width="7.7109375" style="36" bestFit="1" customWidth="1"/>
    <col min="4611" max="4612" width="6.42578125" style="36" bestFit="1" customWidth="1"/>
    <col min="4613" max="4613" width="10" style="36" bestFit="1" customWidth="1"/>
    <col min="4614" max="4614" width="7.140625" style="36" customWidth="1"/>
    <col min="4615" max="4615" width="6.7109375" style="36" bestFit="1" customWidth="1"/>
    <col min="4616" max="4616" width="5.42578125" style="36" bestFit="1" customWidth="1"/>
    <col min="4617" max="4617" width="6.28515625" style="36" bestFit="1" customWidth="1"/>
    <col min="4618" max="4618" width="5.42578125" style="36" customWidth="1"/>
    <col min="4619" max="4619" width="6.7109375" style="36" customWidth="1"/>
    <col min="4620" max="4620" width="7.42578125" style="36" customWidth="1"/>
    <col min="4621" max="4621" width="7.140625" style="36" customWidth="1"/>
    <col min="4622" max="4622" width="9.28515625" style="36" customWidth="1"/>
    <col min="4623" max="4623" width="10.7109375" style="36" customWidth="1"/>
    <col min="4624" max="4624" width="9.140625" style="36" customWidth="1"/>
    <col min="4625" max="4861" width="9.140625" style="36"/>
    <col min="4862" max="4862" width="4.42578125" style="36" bestFit="1" customWidth="1"/>
    <col min="4863" max="4863" width="11.42578125" style="36" bestFit="1" customWidth="1"/>
    <col min="4864" max="4864" width="9.42578125" style="36" bestFit="1" customWidth="1"/>
    <col min="4865" max="4865" width="6.42578125" style="36" bestFit="1" customWidth="1"/>
    <col min="4866" max="4866" width="7.7109375" style="36" bestFit="1" customWidth="1"/>
    <col min="4867" max="4868" width="6.42578125" style="36" bestFit="1" customWidth="1"/>
    <col min="4869" max="4869" width="10" style="36" bestFit="1" customWidth="1"/>
    <col min="4870" max="4870" width="7.140625" style="36" customWidth="1"/>
    <col min="4871" max="4871" width="6.7109375" style="36" bestFit="1" customWidth="1"/>
    <col min="4872" max="4872" width="5.42578125" style="36" bestFit="1" customWidth="1"/>
    <col min="4873" max="4873" width="6.28515625" style="36" bestFit="1" customWidth="1"/>
    <col min="4874" max="4874" width="5.42578125" style="36" customWidth="1"/>
    <col min="4875" max="4875" width="6.7109375" style="36" customWidth="1"/>
    <col min="4876" max="4876" width="7.42578125" style="36" customWidth="1"/>
    <col min="4877" max="4877" width="7.140625" style="36" customWidth="1"/>
    <col min="4878" max="4878" width="9.28515625" style="36" customWidth="1"/>
    <col min="4879" max="4879" width="10.7109375" style="36" customWidth="1"/>
    <col min="4880" max="4880" width="9.140625" style="36" customWidth="1"/>
    <col min="4881" max="5117" width="9.140625" style="36"/>
    <col min="5118" max="5118" width="4.42578125" style="36" bestFit="1" customWidth="1"/>
    <col min="5119" max="5119" width="11.42578125" style="36" bestFit="1" customWidth="1"/>
    <col min="5120" max="5120" width="9.42578125" style="36" bestFit="1" customWidth="1"/>
    <col min="5121" max="5121" width="6.42578125" style="36" bestFit="1" customWidth="1"/>
    <col min="5122" max="5122" width="7.7109375" style="36" bestFit="1" customWidth="1"/>
    <col min="5123" max="5124" width="6.42578125" style="36" bestFit="1" customWidth="1"/>
    <col min="5125" max="5125" width="10" style="36" bestFit="1" customWidth="1"/>
    <col min="5126" max="5126" width="7.140625" style="36" customWidth="1"/>
    <col min="5127" max="5127" width="6.7109375" style="36" bestFit="1" customWidth="1"/>
    <col min="5128" max="5128" width="5.42578125" style="36" bestFit="1" customWidth="1"/>
    <col min="5129" max="5129" width="6.28515625" style="36" bestFit="1" customWidth="1"/>
    <col min="5130" max="5130" width="5.42578125" style="36" customWidth="1"/>
    <col min="5131" max="5131" width="6.7109375" style="36" customWidth="1"/>
    <col min="5132" max="5132" width="7.42578125" style="36" customWidth="1"/>
    <col min="5133" max="5133" width="7.140625" style="36" customWidth="1"/>
    <col min="5134" max="5134" width="9.28515625" style="36" customWidth="1"/>
    <col min="5135" max="5135" width="10.7109375" style="36" customWidth="1"/>
    <col min="5136" max="5136" width="9.140625" style="36" customWidth="1"/>
    <col min="5137" max="5373" width="9.140625" style="36"/>
    <col min="5374" max="5374" width="4.42578125" style="36" bestFit="1" customWidth="1"/>
    <col min="5375" max="5375" width="11.42578125" style="36" bestFit="1" customWidth="1"/>
    <col min="5376" max="5376" width="9.42578125" style="36" bestFit="1" customWidth="1"/>
    <col min="5377" max="5377" width="6.42578125" style="36" bestFit="1" customWidth="1"/>
    <col min="5378" max="5378" width="7.7109375" style="36" bestFit="1" customWidth="1"/>
    <col min="5379" max="5380" width="6.42578125" style="36" bestFit="1" customWidth="1"/>
    <col min="5381" max="5381" width="10" style="36" bestFit="1" customWidth="1"/>
    <col min="5382" max="5382" width="7.140625" style="36" customWidth="1"/>
    <col min="5383" max="5383" width="6.7109375" style="36" bestFit="1" customWidth="1"/>
    <col min="5384" max="5384" width="5.42578125" style="36" bestFit="1" customWidth="1"/>
    <col min="5385" max="5385" width="6.28515625" style="36" bestFit="1" customWidth="1"/>
    <col min="5386" max="5386" width="5.42578125" style="36" customWidth="1"/>
    <col min="5387" max="5387" width="6.7109375" style="36" customWidth="1"/>
    <col min="5388" max="5388" width="7.42578125" style="36" customWidth="1"/>
    <col min="5389" max="5389" width="7.140625" style="36" customWidth="1"/>
    <col min="5390" max="5390" width="9.28515625" style="36" customWidth="1"/>
    <col min="5391" max="5391" width="10.7109375" style="36" customWidth="1"/>
    <col min="5392" max="5392" width="9.140625" style="36" customWidth="1"/>
    <col min="5393" max="5629" width="9.140625" style="36"/>
    <col min="5630" max="5630" width="4.42578125" style="36" bestFit="1" customWidth="1"/>
    <col min="5631" max="5631" width="11.42578125" style="36" bestFit="1" customWidth="1"/>
    <col min="5632" max="5632" width="9.42578125" style="36" bestFit="1" customWidth="1"/>
    <col min="5633" max="5633" width="6.42578125" style="36" bestFit="1" customWidth="1"/>
    <col min="5634" max="5634" width="7.7109375" style="36" bestFit="1" customWidth="1"/>
    <col min="5635" max="5636" width="6.42578125" style="36" bestFit="1" customWidth="1"/>
    <col min="5637" max="5637" width="10" style="36" bestFit="1" customWidth="1"/>
    <col min="5638" max="5638" width="7.140625" style="36" customWidth="1"/>
    <col min="5639" max="5639" width="6.7109375" style="36" bestFit="1" customWidth="1"/>
    <col min="5640" max="5640" width="5.42578125" style="36" bestFit="1" customWidth="1"/>
    <col min="5641" max="5641" width="6.28515625" style="36" bestFit="1" customWidth="1"/>
    <col min="5642" max="5642" width="5.42578125" style="36" customWidth="1"/>
    <col min="5643" max="5643" width="6.7109375" style="36" customWidth="1"/>
    <col min="5644" max="5644" width="7.42578125" style="36" customWidth="1"/>
    <col min="5645" max="5645" width="7.140625" style="36" customWidth="1"/>
    <col min="5646" max="5646" width="9.28515625" style="36" customWidth="1"/>
    <col min="5647" max="5647" width="10.7109375" style="36" customWidth="1"/>
    <col min="5648" max="5648" width="9.140625" style="36" customWidth="1"/>
    <col min="5649" max="5885" width="9.140625" style="36"/>
    <col min="5886" max="5886" width="4.42578125" style="36" bestFit="1" customWidth="1"/>
    <col min="5887" max="5887" width="11.42578125" style="36" bestFit="1" customWidth="1"/>
    <col min="5888" max="5888" width="9.42578125" style="36" bestFit="1" customWidth="1"/>
    <col min="5889" max="5889" width="6.42578125" style="36" bestFit="1" customWidth="1"/>
    <col min="5890" max="5890" width="7.7109375" style="36" bestFit="1" customWidth="1"/>
    <col min="5891" max="5892" width="6.42578125" style="36" bestFit="1" customWidth="1"/>
    <col min="5893" max="5893" width="10" style="36" bestFit="1" customWidth="1"/>
    <col min="5894" max="5894" width="7.140625" style="36" customWidth="1"/>
    <col min="5895" max="5895" width="6.7109375" style="36" bestFit="1" customWidth="1"/>
    <col min="5896" max="5896" width="5.42578125" style="36" bestFit="1" customWidth="1"/>
    <col min="5897" max="5897" width="6.28515625" style="36" bestFit="1" customWidth="1"/>
    <col min="5898" max="5898" width="5.42578125" style="36" customWidth="1"/>
    <col min="5899" max="5899" width="6.7109375" style="36" customWidth="1"/>
    <col min="5900" max="5900" width="7.42578125" style="36" customWidth="1"/>
    <col min="5901" max="5901" width="7.140625" style="36" customWidth="1"/>
    <col min="5902" max="5902" width="9.28515625" style="36" customWidth="1"/>
    <col min="5903" max="5903" width="10.7109375" style="36" customWidth="1"/>
    <col min="5904" max="5904" width="9.140625" style="36" customWidth="1"/>
    <col min="5905" max="6141" width="9.140625" style="36"/>
    <col min="6142" max="6142" width="4.42578125" style="36" bestFit="1" customWidth="1"/>
    <col min="6143" max="6143" width="11.42578125" style="36" bestFit="1" customWidth="1"/>
    <col min="6144" max="6144" width="9.42578125" style="36" bestFit="1" customWidth="1"/>
    <col min="6145" max="6145" width="6.42578125" style="36" bestFit="1" customWidth="1"/>
    <col min="6146" max="6146" width="7.7109375" style="36" bestFit="1" customWidth="1"/>
    <col min="6147" max="6148" width="6.42578125" style="36" bestFit="1" customWidth="1"/>
    <col min="6149" max="6149" width="10" style="36" bestFit="1" customWidth="1"/>
    <col min="6150" max="6150" width="7.140625" style="36" customWidth="1"/>
    <col min="6151" max="6151" width="6.7109375" style="36" bestFit="1" customWidth="1"/>
    <col min="6152" max="6152" width="5.42578125" style="36" bestFit="1" customWidth="1"/>
    <col min="6153" max="6153" width="6.28515625" style="36" bestFit="1" customWidth="1"/>
    <col min="6154" max="6154" width="5.42578125" style="36" customWidth="1"/>
    <col min="6155" max="6155" width="6.7109375" style="36" customWidth="1"/>
    <col min="6156" max="6156" width="7.42578125" style="36" customWidth="1"/>
    <col min="6157" max="6157" width="7.140625" style="36" customWidth="1"/>
    <col min="6158" max="6158" width="9.28515625" style="36" customWidth="1"/>
    <col min="6159" max="6159" width="10.7109375" style="36" customWidth="1"/>
    <col min="6160" max="6160" width="9.140625" style="36" customWidth="1"/>
    <col min="6161" max="6397" width="9.140625" style="36"/>
    <col min="6398" max="6398" width="4.42578125" style="36" bestFit="1" customWidth="1"/>
    <col min="6399" max="6399" width="11.42578125" style="36" bestFit="1" customWidth="1"/>
    <col min="6400" max="6400" width="9.42578125" style="36" bestFit="1" customWidth="1"/>
    <col min="6401" max="6401" width="6.42578125" style="36" bestFit="1" customWidth="1"/>
    <col min="6402" max="6402" width="7.7109375" style="36" bestFit="1" customWidth="1"/>
    <col min="6403" max="6404" width="6.42578125" style="36" bestFit="1" customWidth="1"/>
    <col min="6405" max="6405" width="10" style="36" bestFit="1" customWidth="1"/>
    <col min="6406" max="6406" width="7.140625" style="36" customWidth="1"/>
    <col min="6407" max="6407" width="6.7109375" style="36" bestFit="1" customWidth="1"/>
    <col min="6408" max="6408" width="5.42578125" style="36" bestFit="1" customWidth="1"/>
    <col min="6409" max="6409" width="6.28515625" style="36" bestFit="1" customWidth="1"/>
    <col min="6410" max="6410" width="5.42578125" style="36" customWidth="1"/>
    <col min="6411" max="6411" width="6.7109375" style="36" customWidth="1"/>
    <col min="6412" max="6412" width="7.42578125" style="36" customWidth="1"/>
    <col min="6413" max="6413" width="7.140625" style="36" customWidth="1"/>
    <col min="6414" max="6414" width="9.28515625" style="36" customWidth="1"/>
    <col min="6415" max="6415" width="10.7109375" style="36" customWidth="1"/>
    <col min="6416" max="6416" width="9.140625" style="36" customWidth="1"/>
    <col min="6417" max="6653" width="9.140625" style="36"/>
    <col min="6654" max="6654" width="4.42578125" style="36" bestFit="1" customWidth="1"/>
    <col min="6655" max="6655" width="11.42578125" style="36" bestFit="1" customWidth="1"/>
    <col min="6656" max="6656" width="9.42578125" style="36" bestFit="1" customWidth="1"/>
    <col min="6657" max="6657" width="6.42578125" style="36" bestFit="1" customWidth="1"/>
    <col min="6658" max="6658" width="7.7109375" style="36" bestFit="1" customWidth="1"/>
    <col min="6659" max="6660" width="6.42578125" style="36" bestFit="1" customWidth="1"/>
    <col min="6661" max="6661" width="10" style="36" bestFit="1" customWidth="1"/>
    <col min="6662" max="6662" width="7.140625" style="36" customWidth="1"/>
    <col min="6663" max="6663" width="6.7109375" style="36" bestFit="1" customWidth="1"/>
    <col min="6664" max="6664" width="5.42578125" style="36" bestFit="1" customWidth="1"/>
    <col min="6665" max="6665" width="6.28515625" style="36" bestFit="1" customWidth="1"/>
    <col min="6666" max="6666" width="5.42578125" style="36" customWidth="1"/>
    <col min="6667" max="6667" width="6.7109375" style="36" customWidth="1"/>
    <col min="6668" max="6668" width="7.42578125" style="36" customWidth="1"/>
    <col min="6669" max="6669" width="7.140625" style="36" customWidth="1"/>
    <col min="6670" max="6670" width="9.28515625" style="36" customWidth="1"/>
    <col min="6671" max="6671" width="10.7109375" style="36" customWidth="1"/>
    <col min="6672" max="6672" width="9.140625" style="36" customWidth="1"/>
    <col min="6673" max="6909" width="9.140625" style="36"/>
    <col min="6910" max="6910" width="4.42578125" style="36" bestFit="1" customWidth="1"/>
    <col min="6911" max="6911" width="11.42578125" style="36" bestFit="1" customWidth="1"/>
    <col min="6912" max="6912" width="9.42578125" style="36" bestFit="1" customWidth="1"/>
    <col min="6913" max="6913" width="6.42578125" style="36" bestFit="1" customWidth="1"/>
    <col min="6914" max="6914" width="7.7109375" style="36" bestFit="1" customWidth="1"/>
    <col min="6915" max="6916" width="6.42578125" style="36" bestFit="1" customWidth="1"/>
    <col min="6917" max="6917" width="10" style="36" bestFit="1" customWidth="1"/>
    <col min="6918" max="6918" width="7.140625" style="36" customWidth="1"/>
    <col min="6919" max="6919" width="6.7109375" style="36" bestFit="1" customWidth="1"/>
    <col min="6920" max="6920" width="5.42578125" style="36" bestFit="1" customWidth="1"/>
    <col min="6921" max="6921" width="6.28515625" style="36" bestFit="1" customWidth="1"/>
    <col min="6922" max="6922" width="5.42578125" style="36" customWidth="1"/>
    <col min="6923" max="6923" width="6.7109375" style="36" customWidth="1"/>
    <col min="6924" max="6924" width="7.42578125" style="36" customWidth="1"/>
    <col min="6925" max="6925" width="7.140625" style="36" customWidth="1"/>
    <col min="6926" max="6926" width="9.28515625" style="36" customWidth="1"/>
    <col min="6927" max="6927" width="10.7109375" style="36" customWidth="1"/>
    <col min="6928" max="6928" width="9.140625" style="36" customWidth="1"/>
    <col min="6929" max="7165" width="9.140625" style="36"/>
    <col min="7166" max="7166" width="4.42578125" style="36" bestFit="1" customWidth="1"/>
    <col min="7167" max="7167" width="11.42578125" style="36" bestFit="1" customWidth="1"/>
    <col min="7168" max="7168" width="9.42578125" style="36" bestFit="1" customWidth="1"/>
    <col min="7169" max="7169" width="6.42578125" style="36" bestFit="1" customWidth="1"/>
    <col min="7170" max="7170" width="7.7109375" style="36" bestFit="1" customWidth="1"/>
    <col min="7171" max="7172" width="6.42578125" style="36" bestFit="1" customWidth="1"/>
    <col min="7173" max="7173" width="10" style="36" bestFit="1" customWidth="1"/>
    <col min="7174" max="7174" width="7.140625" style="36" customWidth="1"/>
    <col min="7175" max="7175" width="6.7109375" style="36" bestFit="1" customWidth="1"/>
    <col min="7176" max="7176" width="5.42578125" style="36" bestFit="1" customWidth="1"/>
    <col min="7177" max="7177" width="6.28515625" style="36" bestFit="1" customWidth="1"/>
    <col min="7178" max="7178" width="5.42578125" style="36" customWidth="1"/>
    <col min="7179" max="7179" width="6.7109375" style="36" customWidth="1"/>
    <col min="7180" max="7180" width="7.42578125" style="36" customWidth="1"/>
    <col min="7181" max="7181" width="7.140625" style="36" customWidth="1"/>
    <col min="7182" max="7182" width="9.28515625" style="36" customWidth="1"/>
    <col min="7183" max="7183" width="10.7109375" style="36" customWidth="1"/>
    <col min="7184" max="7184" width="9.140625" style="36" customWidth="1"/>
    <col min="7185" max="7421" width="9.140625" style="36"/>
    <col min="7422" max="7422" width="4.42578125" style="36" bestFit="1" customWidth="1"/>
    <col min="7423" max="7423" width="11.42578125" style="36" bestFit="1" customWidth="1"/>
    <col min="7424" max="7424" width="9.42578125" style="36" bestFit="1" customWidth="1"/>
    <col min="7425" max="7425" width="6.42578125" style="36" bestFit="1" customWidth="1"/>
    <col min="7426" max="7426" width="7.7109375" style="36" bestFit="1" customWidth="1"/>
    <col min="7427" max="7428" width="6.42578125" style="36" bestFit="1" customWidth="1"/>
    <col min="7429" max="7429" width="10" style="36" bestFit="1" customWidth="1"/>
    <col min="7430" max="7430" width="7.140625" style="36" customWidth="1"/>
    <col min="7431" max="7431" width="6.7109375" style="36" bestFit="1" customWidth="1"/>
    <col min="7432" max="7432" width="5.42578125" style="36" bestFit="1" customWidth="1"/>
    <col min="7433" max="7433" width="6.28515625" style="36" bestFit="1" customWidth="1"/>
    <col min="7434" max="7434" width="5.42578125" style="36" customWidth="1"/>
    <col min="7435" max="7435" width="6.7109375" style="36" customWidth="1"/>
    <col min="7436" max="7436" width="7.42578125" style="36" customWidth="1"/>
    <col min="7437" max="7437" width="7.140625" style="36" customWidth="1"/>
    <col min="7438" max="7438" width="9.28515625" style="36" customWidth="1"/>
    <col min="7439" max="7439" width="10.7109375" style="36" customWidth="1"/>
    <col min="7440" max="7440" width="9.140625" style="36" customWidth="1"/>
    <col min="7441" max="7677" width="9.140625" style="36"/>
    <col min="7678" max="7678" width="4.42578125" style="36" bestFit="1" customWidth="1"/>
    <col min="7679" max="7679" width="11.42578125" style="36" bestFit="1" customWidth="1"/>
    <col min="7680" max="7680" width="9.42578125" style="36" bestFit="1" customWidth="1"/>
    <col min="7681" max="7681" width="6.42578125" style="36" bestFit="1" customWidth="1"/>
    <col min="7682" max="7682" width="7.7109375" style="36" bestFit="1" customWidth="1"/>
    <col min="7683" max="7684" width="6.42578125" style="36" bestFit="1" customWidth="1"/>
    <col min="7685" max="7685" width="10" style="36" bestFit="1" customWidth="1"/>
    <col min="7686" max="7686" width="7.140625" style="36" customWidth="1"/>
    <col min="7687" max="7687" width="6.7109375" style="36" bestFit="1" customWidth="1"/>
    <col min="7688" max="7688" width="5.42578125" style="36" bestFit="1" customWidth="1"/>
    <col min="7689" max="7689" width="6.28515625" style="36" bestFit="1" customWidth="1"/>
    <col min="7690" max="7690" width="5.42578125" style="36" customWidth="1"/>
    <col min="7691" max="7691" width="6.7109375" style="36" customWidth="1"/>
    <col min="7692" max="7692" width="7.42578125" style="36" customWidth="1"/>
    <col min="7693" max="7693" width="7.140625" style="36" customWidth="1"/>
    <col min="7694" max="7694" width="9.28515625" style="36" customWidth="1"/>
    <col min="7695" max="7695" width="10.7109375" style="36" customWidth="1"/>
    <col min="7696" max="7696" width="9.140625" style="36" customWidth="1"/>
    <col min="7697" max="7933" width="9.140625" style="36"/>
    <col min="7934" max="7934" width="4.42578125" style="36" bestFit="1" customWidth="1"/>
    <col min="7935" max="7935" width="11.42578125" style="36" bestFit="1" customWidth="1"/>
    <col min="7936" max="7936" width="9.42578125" style="36" bestFit="1" customWidth="1"/>
    <col min="7937" max="7937" width="6.42578125" style="36" bestFit="1" customWidth="1"/>
    <col min="7938" max="7938" width="7.7109375" style="36" bestFit="1" customWidth="1"/>
    <col min="7939" max="7940" width="6.42578125" style="36" bestFit="1" customWidth="1"/>
    <col min="7941" max="7941" width="10" style="36" bestFit="1" customWidth="1"/>
    <col min="7942" max="7942" width="7.140625" style="36" customWidth="1"/>
    <col min="7943" max="7943" width="6.7109375" style="36" bestFit="1" customWidth="1"/>
    <col min="7944" max="7944" width="5.42578125" style="36" bestFit="1" customWidth="1"/>
    <col min="7945" max="7945" width="6.28515625" style="36" bestFit="1" customWidth="1"/>
    <col min="7946" max="7946" width="5.42578125" style="36" customWidth="1"/>
    <col min="7947" max="7947" width="6.7109375" style="36" customWidth="1"/>
    <col min="7948" max="7948" width="7.42578125" style="36" customWidth="1"/>
    <col min="7949" max="7949" width="7.140625" style="36" customWidth="1"/>
    <col min="7950" max="7950" width="9.28515625" style="36" customWidth="1"/>
    <col min="7951" max="7951" width="10.7109375" style="36" customWidth="1"/>
    <col min="7952" max="7952" width="9.140625" style="36" customWidth="1"/>
    <col min="7953" max="8189" width="9.140625" style="36"/>
    <col min="8190" max="8190" width="4.42578125" style="36" bestFit="1" customWidth="1"/>
    <col min="8191" max="8191" width="11.42578125" style="36" bestFit="1" customWidth="1"/>
    <col min="8192" max="8192" width="9.42578125" style="36" bestFit="1" customWidth="1"/>
    <col min="8193" max="8193" width="6.42578125" style="36" bestFit="1" customWidth="1"/>
    <col min="8194" max="8194" width="7.7109375" style="36" bestFit="1" customWidth="1"/>
    <col min="8195" max="8196" width="6.42578125" style="36" bestFit="1" customWidth="1"/>
    <col min="8197" max="8197" width="10" style="36" bestFit="1" customWidth="1"/>
    <col min="8198" max="8198" width="7.140625" style="36" customWidth="1"/>
    <col min="8199" max="8199" width="6.7109375" style="36" bestFit="1" customWidth="1"/>
    <col min="8200" max="8200" width="5.42578125" style="36" bestFit="1" customWidth="1"/>
    <col min="8201" max="8201" width="6.28515625" style="36" bestFit="1" customWidth="1"/>
    <col min="8202" max="8202" width="5.42578125" style="36" customWidth="1"/>
    <col min="8203" max="8203" width="6.7109375" style="36" customWidth="1"/>
    <col min="8204" max="8204" width="7.42578125" style="36" customWidth="1"/>
    <col min="8205" max="8205" width="7.140625" style="36" customWidth="1"/>
    <col min="8206" max="8206" width="9.28515625" style="36" customWidth="1"/>
    <col min="8207" max="8207" width="10.7109375" style="36" customWidth="1"/>
    <col min="8208" max="8208" width="9.140625" style="36" customWidth="1"/>
    <col min="8209" max="8445" width="9.140625" style="36"/>
    <col min="8446" max="8446" width="4.42578125" style="36" bestFit="1" customWidth="1"/>
    <col min="8447" max="8447" width="11.42578125" style="36" bestFit="1" customWidth="1"/>
    <col min="8448" max="8448" width="9.42578125" style="36" bestFit="1" customWidth="1"/>
    <col min="8449" max="8449" width="6.42578125" style="36" bestFit="1" customWidth="1"/>
    <col min="8450" max="8450" width="7.7109375" style="36" bestFit="1" customWidth="1"/>
    <col min="8451" max="8452" width="6.42578125" style="36" bestFit="1" customWidth="1"/>
    <col min="8453" max="8453" width="10" style="36" bestFit="1" customWidth="1"/>
    <col min="8454" max="8454" width="7.140625" style="36" customWidth="1"/>
    <col min="8455" max="8455" width="6.7109375" style="36" bestFit="1" customWidth="1"/>
    <col min="8456" max="8456" width="5.42578125" style="36" bestFit="1" customWidth="1"/>
    <col min="8457" max="8457" width="6.28515625" style="36" bestFit="1" customWidth="1"/>
    <col min="8458" max="8458" width="5.42578125" style="36" customWidth="1"/>
    <col min="8459" max="8459" width="6.7109375" style="36" customWidth="1"/>
    <col min="8460" max="8460" width="7.42578125" style="36" customWidth="1"/>
    <col min="8461" max="8461" width="7.140625" style="36" customWidth="1"/>
    <col min="8462" max="8462" width="9.28515625" style="36" customWidth="1"/>
    <col min="8463" max="8463" width="10.7109375" style="36" customWidth="1"/>
    <col min="8464" max="8464" width="9.140625" style="36" customWidth="1"/>
    <col min="8465" max="8701" width="9.140625" style="36"/>
    <col min="8702" max="8702" width="4.42578125" style="36" bestFit="1" customWidth="1"/>
    <col min="8703" max="8703" width="11.42578125" style="36" bestFit="1" customWidth="1"/>
    <col min="8704" max="8704" width="9.42578125" style="36" bestFit="1" customWidth="1"/>
    <col min="8705" max="8705" width="6.42578125" style="36" bestFit="1" customWidth="1"/>
    <col min="8706" max="8706" width="7.7109375" style="36" bestFit="1" customWidth="1"/>
    <col min="8707" max="8708" width="6.42578125" style="36" bestFit="1" customWidth="1"/>
    <col min="8709" max="8709" width="10" style="36" bestFit="1" customWidth="1"/>
    <col min="8710" max="8710" width="7.140625" style="36" customWidth="1"/>
    <col min="8711" max="8711" width="6.7109375" style="36" bestFit="1" customWidth="1"/>
    <col min="8712" max="8712" width="5.42578125" style="36" bestFit="1" customWidth="1"/>
    <col min="8713" max="8713" width="6.28515625" style="36" bestFit="1" customWidth="1"/>
    <col min="8714" max="8714" width="5.42578125" style="36" customWidth="1"/>
    <col min="8715" max="8715" width="6.7109375" style="36" customWidth="1"/>
    <col min="8716" max="8716" width="7.42578125" style="36" customWidth="1"/>
    <col min="8717" max="8717" width="7.140625" style="36" customWidth="1"/>
    <col min="8718" max="8718" width="9.28515625" style="36" customWidth="1"/>
    <col min="8719" max="8719" width="10.7109375" style="36" customWidth="1"/>
    <col min="8720" max="8720" width="9.140625" style="36" customWidth="1"/>
    <col min="8721" max="8957" width="9.140625" style="36"/>
    <col min="8958" max="8958" width="4.42578125" style="36" bestFit="1" customWidth="1"/>
    <col min="8959" max="8959" width="11.42578125" style="36" bestFit="1" customWidth="1"/>
    <col min="8960" max="8960" width="9.42578125" style="36" bestFit="1" customWidth="1"/>
    <col min="8961" max="8961" width="6.42578125" style="36" bestFit="1" customWidth="1"/>
    <col min="8962" max="8962" width="7.7109375" style="36" bestFit="1" customWidth="1"/>
    <col min="8963" max="8964" width="6.42578125" style="36" bestFit="1" customWidth="1"/>
    <col min="8965" max="8965" width="10" style="36" bestFit="1" customWidth="1"/>
    <col min="8966" max="8966" width="7.140625" style="36" customWidth="1"/>
    <col min="8967" max="8967" width="6.7109375" style="36" bestFit="1" customWidth="1"/>
    <col min="8968" max="8968" width="5.42578125" style="36" bestFit="1" customWidth="1"/>
    <col min="8969" max="8969" width="6.28515625" style="36" bestFit="1" customWidth="1"/>
    <col min="8970" max="8970" width="5.42578125" style="36" customWidth="1"/>
    <col min="8971" max="8971" width="6.7109375" style="36" customWidth="1"/>
    <col min="8972" max="8972" width="7.42578125" style="36" customWidth="1"/>
    <col min="8973" max="8973" width="7.140625" style="36" customWidth="1"/>
    <col min="8974" max="8974" width="9.28515625" style="36" customWidth="1"/>
    <col min="8975" max="8975" width="10.7109375" style="36" customWidth="1"/>
    <col min="8976" max="8976" width="9.140625" style="36" customWidth="1"/>
    <col min="8977" max="9213" width="9.140625" style="36"/>
    <col min="9214" max="9214" width="4.42578125" style="36" bestFit="1" customWidth="1"/>
    <col min="9215" max="9215" width="11.42578125" style="36" bestFit="1" customWidth="1"/>
    <col min="9216" max="9216" width="9.42578125" style="36" bestFit="1" customWidth="1"/>
    <col min="9217" max="9217" width="6.42578125" style="36" bestFit="1" customWidth="1"/>
    <col min="9218" max="9218" width="7.7109375" style="36" bestFit="1" customWidth="1"/>
    <col min="9219" max="9220" width="6.42578125" style="36" bestFit="1" customWidth="1"/>
    <col min="9221" max="9221" width="10" style="36" bestFit="1" customWidth="1"/>
    <col min="9222" max="9222" width="7.140625" style="36" customWidth="1"/>
    <col min="9223" max="9223" width="6.7109375" style="36" bestFit="1" customWidth="1"/>
    <col min="9224" max="9224" width="5.42578125" style="36" bestFit="1" customWidth="1"/>
    <col min="9225" max="9225" width="6.28515625" style="36" bestFit="1" customWidth="1"/>
    <col min="9226" max="9226" width="5.42578125" style="36" customWidth="1"/>
    <col min="9227" max="9227" width="6.7109375" style="36" customWidth="1"/>
    <col min="9228" max="9228" width="7.42578125" style="36" customWidth="1"/>
    <col min="9229" max="9229" width="7.140625" style="36" customWidth="1"/>
    <col min="9230" max="9230" width="9.28515625" style="36" customWidth="1"/>
    <col min="9231" max="9231" width="10.7109375" style="36" customWidth="1"/>
    <col min="9232" max="9232" width="9.140625" style="36" customWidth="1"/>
    <col min="9233" max="9469" width="9.140625" style="36"/>
    <col min="9470" max="9470" width="4.42578125" style="36" bestFit="1" customWidth="1"/>
    <col min="9471" max="9471" width="11.42578125" style="36" bestFit="1" customWidth="1"/>
    <col min="9472" max="9472" width="9.42578125" style="36" bestFit="1" customWidth="1"/>
    <col min="9473" max="9473" width="6.42578125" style="36" bestFit="1" customWidth="1"/>
    <col min="9474" max="9474" width="7.7109375" style="36" bestFit="1" customWidth="1"/>
    <col min="9475" max="9476" width="6.42578125" style="36" bestFit="1" customWidth="1"/>
    <col min="9477" max="9477" width="10" style="36" bestFit="1" customWidth="1"/>
    <col min="9478" max="9478" width="7.140625" style="36" customWidth="1"/>
    <col min="9479" max="9479" width="6.7109375" style="36" bestFit="1" customWidth="1"/>
    <col min="9480" max="9480" width="5.42578125" style="36" bestFit="1" customWidth="1"/>
    <col min="9481" max="9481" width="6.28515625" style="36" bestFit="1" customWidth="1"/>
    <col min="9482" max="9482" width="5.42578125" style="36" customWidth="1"/>
    <col min="9483" max="9483" width="6.7109375" style="36" customWidth="1"/>
    <col min="9484" max="9484" width="7.42578125" style="36" customWidth="1"/>
    <col min="9485" max="9485" width="7.140625" style="36" customWidth="1"/>
    <col min="9486" max="9486" width="9.28515625" style="36" customWidth="1"/>
    <col min="9487" max="9487" width="10.7109375" style="36" customWidth="1"/>
    <col min="9488" max="9488" width="9.140625" style="36" customWidth="1"/>
    <col min="9489" max="9725" width="9.140625" style="36"/>
    <col min="9726" max="9726" width="4.42578125" style="36" bestFit="1" customWidth="1"/>
    <col min="9727" max="9727" width="11.42578125" style="36" bestFit="1" customWidth="1"/>
    <col min="9728" max="9728" width="9.42578125" style="36" bestFit="1" customWidth="1"/>
    <col min="9729" max="9729" width="6.42578125" style="36" bestFit="1" customWidth="1"/>
    <col min="9730" max="9730" width="7.7109375" style="36" bestFit="1" customWidth="1"/>
    <col min="9731" max="9732" width="6.42578125" style="36" bestFit="1" customWidth="1"/>
    <col min="9733" max="9733" width="10" style="36" bestFit="1" customWidth="1"/>
    <col min="9734" max="9734" width="7.140625" style="36" customWidth="1"/>
    <col min="9735" max="9735" width="6.7109375" style="36" bestFit="1" customWidth="1"/>
    <col min="9736" max="9736" width="5.42578125" style="36" bestFit="1" customWidth="1"/>
    <col min="9737" max="9737" width="6.28515625" style="36" bestFit="1" customWidth="1"/>
    <col min="9738" max="9738" width="5.42578125" style="36" customWidth="1"/>
    <col min="9739" max="9739" width="6.7109375" style="36" customWidth="1"/>
    <col min="9740" max="9740" width="7.42578125" style="36" customWidth="1"/>
    <col min="9741" max="9741" width="7.140625" style="36" customWidth="1"/>
    <col min="9742" max="9742" width="9.28515625" style="36" customWidth="1"/>
    <col min="9743" max="9743" width="10.7109375" style="36" customWidth="1"/>
    <col min="9744" max="9744" width="9.140625" style="36" customWidth="1"/>
    <col min="9745" max="9981" width="9.140625" style="36"/>
    <col min="9982" max="9982" width="4.42578125" style="36" bestFit="1" customWidth="1"/>
    <col min="9983" max="9983" width="11.42578125" style="36" bestFit="1" customWidth="1"/>
    <col min="9984" max="9984" width="9.42578125" style="36" bestFit="1" customWidth="1"/>
    <col min="9985" max="9985" width="6.42578125" style="36" bestFit="1" customWidth="1"/>
    <col min="9986" max="9986" width="7.7109375" style="36" bestFit="1" customWidth="1"/>
    <col min="9987" max="9988" width="6.42578125" style="36" bestFit="1" customWidth="1"/>
    <col min="9989" max="9989" width="10" style="36" bestFit="1" customWidth="1"/>
    <col min="9990" max="9990" width="7.140625" style="36" customWidth="1"/>
    <col min="9991" max="9991" width="6.7109375" style="36" bestFit="1" customWidth="1"/>
    <col min="9992" max="9992" width="5.42578125" style="36" bestFit="1" customWidth="1"/>
    <col min="9993" max="9993" width="6.28515625" style="36" bestFit="1" customWidth="1"/>
    <col min="9994" max="9994" width="5.42578125" style="36" customWidth="1"/>
    <col min="9995" max="9995" width="6.7109375" style="36" customWidth="1"/>
    <col min="9996" max="9996" width="7.42578125" style="36" customWidth="1"/>
    <col min="9997" max="9997" width="7.140625" style="36" customWidth="1"/>
    <col min="9998" max="9998" width="9.28515625" style="36" customWidth="1"/>
    <col min="9999" max="9999" width="10.7109375" style="36" customWidth="1"/>
    <col min="10000" max="10000" width="9.140625" style="36" customWidth="1"/>
    <col min="10001" max="10237" width="9.140625" style="36"/>
    <col min="10238" max="10238" width="4.42578125" style="36" bestFit="1" customWidth="1"/>
    <col min="10239" max="10239" width="11.42578125" style="36" bestFit="1" customWidth="1"/>
    <col min="10240" max="10240" width="9.42578125" style="36" bestFit="1" customWidth="1"/>
    <col min="10241" max="10241" width="6.42578125" style="36" bestFit="1" customWidth="1"/>
    <col min="10242" max="10242" width="7.7109375" style="36" bestFit="1" customWidth="1"/>
    <col min="10243" max="10244" width="6.42578125" style="36" bestFit="1" customWidth="1"/>
    <col min="10245" max="10245" width="10" style="36" bestFit="1" customWidth="1"/>
    <col min="10246" max="10246" width="7.140625" style="36" customWidth="1"/>
    <col min="10247" max="10247" width="6.7109375" style="36" bestFit="1" customWidth="1"/>
    <col min="10248" max="10248" width="5.42578125" style="36" bestFit="1" customWidth="1"/>
    <col min="10249" max="10249" width="6.28515625" style="36" bestFit="1" customWidth="1"/>
    <col min="10250" max="10250" width="5.42578125" style="36" customWidth="1"/>
    <col min="10251" max="10251" width="6.7109375" style="36" customWidth="1"/>
    <col min="10252" max="10252" width="7.42578125" style="36" customWidth="1"/>
    <col min="10253" max="10253" width="7.140625" style="36" customWidth="1"/>
    <col min="10254" max="10254" width="9.28515625" style="36" customWidth="1"/>
    <col min="10255" max="10255" width="10.7109375" style="36" customWidth="1"/>
    <col min="10256" max="10256" width="9.140625" style="36" customWidth="1"/>
    <col min="10257" max="10493" width="9.140625" style="36"/>
    <col min="10494" max="10494" width="4.42578125" style="36" bestFit="1" customWidth="1"/>
    <col min="10495" max="10495" width="11.42578125" style="36" bestFit="1" customWidth="1"/>
    <col min="10496" max="10496" width="9.42578125" style="36" bestFit="1" customWidth="1"/>
    <col min="10497" max="10497" width="6.42578125" style="36" bestFit="1" customWidth="1"/>
    <col min="10498" max="10498" width="7.7109375" style="36" bestFit="1" customWidth="1"/>
    <col min="10499" max="10500" width="6.42578125" style="36" bestFit="1" customWidth="1"/>
    <col min="10501" max="10501" width="10" style="36" bestFit="1" customWidth="1"/>
    <col min="10502" max="10502" width="7.140625" style="36" customWidth="1"/>
    <col min="10503" max="10503" width="6.7109375" style="36" bestFit="1" customWidth="1"/>
    <col min="10504" max="10504" width="5.42578125" style="36" bestFit="1" customWidth="1"/>
    <col min="10505" max="10505" width="6.28515625" style="36" bestFit="1" customWidth="1"/>
    <col min="10506" max="10506" width="5.42578125" style="36" customWidth="1"/>
    <col min="10507" max="10507" width="6.7109375" style="36" customWidth="1"/>
    <col min="10508" max="10508" width="7.42578125" style="36" customWidth="1"/>
    <col min="10509" max="10509" width="7.140625" style="36" customWidth="1"/>
    <col min="10510" max="10510" width="9.28515625" style="36" customWidth="1"/>
    <col min="10511" max="10511" width="10.7109375" style="36" customWidth="1"/>
    <col min="10512" max="10512" width="9.140625" style="36" customWidth="1"/>
    <col min="10513" max="10749" width="9.140625" style="36"/>
    <col min="10750" max="10750" width="4.42578125" style="36" bestFit="1" customWidth="1"/>
    <col min="10751" max="10751" width="11.42578125" style="36" bestFit="1" customWidth="1"/>
    <col min="10752" max="10752" width="9.42578125" style="36" bestFit="1" customWidth="1"/>
    <col min="10753" max="10753" width="6.42578125" style="36" bestFit="1" customWidth="1"/>
    <col min="10754" max="10754" width="7.7109375" style="36" bestFit="1" customWidth="1"/>
    <col min="10755" max="10756" width="6.42578125" style="36" bestFit="1" customWidth="1"/>
    <col min="10757" max="10757" width="10" style="36" bestFit="1" customWidth="1"/>
    <col min="10758" max="10758" width="7.140625" style="36" customWidth="1"/>
    <col min="10759" max="10759" width="6.7109375" style="36" bestFit="1" customWidth="1"/>
    <col min="10760" max="10760" width="5.42578125" style="36" bestFit="1" customWidth="1"/>
    <col min="10761" max="10761" width="6.28515625" style="36" bestFit="1" customWidth="1"/>
    <col min="10762" max="10762" width="5.42578125" style="36" customWidth="1"/>
    <col min="10763" max="10763" width="6.7109375" style="36" customWidth="1"/>
    <col min="10764" max="10764" width="7.42578125" style="36" customWidth="1"/>
    <col min="10765" max="10765" width="7.140625" style="36" customWidth="1"/>
    <col min="10766" max="10766" width="9.28515625" style="36" customWidth="1"/>
    <col min="10767" max="10767" width="10.7109375" style="36" customWidth="1"/>
    <col min="10768" max="10768" width="9.140625" style="36" customWidth="1"/>
    <col min="10769" max="11005" width="9.140625" style="36"/>
    <col min="11006" max="11006" width="4.42578125" style="36" bestFit="1" customWidth="1"/>
    <col min="11007" max="11007" width="11.42578125" style="36" bestFit="1" customWidth="1"/>
    <col min="11008" max="11008" width="9.42578125" style="36" bestFit="1" customWidth="1"/>
    <col min="11009" max="11009" width="6.42578125" style="36" bestFit="1" customWidth="1"/>
    <col min="11010" max="11010" width="7.7109375" style="36" bestFit="1" customWidth="1"/>
    <col min="11011" max="11012" width="6.42578125" style="36" bestFit="1" customWidth="1"/>
    <col min="11013" max="11013" width="10" style="36" bestFit="1" customWidth="1"/>
    <col min="11014" max="11014" width="7.140625" style="36" customWidth="1"/>
    <col min="11015" max="11015" width="6.7109375" style="36" bestFit="1" customWidth="1"/>
    <col min="11016" max="11016" width="5.42578125" style="36" bestFit="1" customWidth="1"/>
    <col min="11017" max="11017" width="6.28515625" style="36" bestFit="1" customWidth="1"/>
    <col min="11018" max="11018" width="5.42578125" style="36" customWidth="1"/>
    <col min="11019" max="11019" width="6.7109375" style="36" customWidth="1"/>
    <col min="11020" max="11020" width="7.42578125" style="36" customWidth="1"/>
    <col min="11021" max="11021" width="7.140625" style="36" customWidth="1"/>
    <col min="11022" max="11022" width="9.28515625" style="36" customWidth="1"/>
    <col min="11023" max="11023" width="10.7109375" style="36" customWidth="1"/>
    <col min="11024" max="11024" width="9.140625" style="36" customWidth="1"/>
    <col min="11025" max="11261" width="9.140625" style="36"/>
    <col min="11262" max="11262" width="4.42578125" style="36" bestFit="1" customWidth="1"/>
    <col min="11263" max="11263" width="11.42578125" style="36" bestFit="1" customWidth="1"/>
    <col min="11264" max="11264" width="9.42578125" style="36" bestFit="1" customWidth="1"/>
    <col min="11265" max="11265" width="6.42578125" style="36" bestFit="1" customWidth="1"/>
    <col min="11266" max="11266" width="7.7109375" style="36" bestFit="1" customWidth="1"/>
    <col min="11267" max="11268" width="6.42578125" style="36" bestFit="1" customWidth="1"/>
    <col min="11269" max="11269" width="10" style="36" bestFit="1" customWidth="1"/>
    <col min="11270" max="11270" width="7.140625" style="36" customWidth="1"/>
    <col min="11271" max="11271" width="6.7109375" style="36" bestFit="1" customWidth="1"/>
    <col min="11272" max="11272" width="5.42578125" style="36" bestFit="1" customWidth="1"/>
    <col min="11273" max="11273" width="6.28515625" style="36" bestFit="1" customWidth="1"/>
    <col min="11274" max="11274" width="5.42578125" style="36" customWidth="1"/>
    <col min="11275" max="11275" width="6.7109375" style="36" customWidth="1"/>
    <col min="11276" max="11276" width="7.42578125" style="36" customWidth="1"/>
    <col min="11277" max="11277" width="7.140625" style="36" customWidth="1"/>
    <col min="11278" max="11278" width="9.28515625" style="36" customWidth="1"/>
    <col min="11279" max="11279" width="10.7109375" style="36" customWidth="1"/>
    <col min="11280" max="11280" width="9.140625" style="36" customWidth="1"/>
    <col min="11281" max="11517" width="9.140625" style="36"/>
    <col min="11518" max="11518" width="4.42578125" style="36" bestFit="1" customWidth="1"/>
    <col min="11519" max="11519" width="11.42578125" style="36" bestFit="1" customWidth="1"/>
    <col min="11520" max="11520" width="9.42578125" style="36" bestFit="1" customWidth="1"/>
    <col min="11521" max="11521" width="6.42578125" style="36" bestFit="1" customWidth="1"/>
    <col min="11522" max="11522" width="7.7109375" style="36" bestFit="1" customWidth="1"/>
    <col min="11523" max="11524" width="6.42578125" style="36" bestFit="1" customWidth="1"/>
    <col min="11525" max="11525" width="10" style="36" bestFit="1" customWidth="1"/>
    <col min="11526" max="11526" width="7.140625" style="36" customWidth="1"/>
    <col min="11527" max="11527" width="6.7109375" style="36" bestFit="1" customWidth="1"/>
    <col min="11528" max="11528" width="5.42578125" style="36" bestFit="1" customWidth="1"/>
    <col min="11529" max="11529" width="6.28515625" style="36" bestFit="1" customWidth="1"/>
    <col min="11530" max="11530" width="5.42578125" style="36" customWidth="1"/>
    <col min="11531" max="11531" width="6.7109375" style="36" customWidth="1"/>
    <col min="11532" max="11532" width="7.42578125" style="36" customWidth="1"/>
    <col min="11533" max="11533" width="7.140625" style="36" customWidth="1"/>
    <col min="11534" max="11534" width="9.28515625" style="36" customWidth="1"/>
    <col min="11535" max="11535" width="10.7109375" style="36" customWidth="1"/>
    <col min="11536" max="11536" width="9.140625" style="36" customWidth="1"/>
    <col min="11537" max="11773" width="9.140625" style="36"/>
    <col min="11774" max="11774" width="4.42578125" style="36" bestFit="1" customWidth="1"/>
    <col min="11775" max="11775" width="11.42578125" style="36" bestFit="1" customWidth="1"/>
    <col min="11776" max="11776" width="9.42578125" style="36" bestFit="1" customWidth="1"/>
    <col min="11777" max="11777" width="6.42578125" style="36" bestFit="1" customWidth="1"/>
    <col min="11778" max="11778" width="7.7109375" style="36" bestFit="1" customWidth="1"/>
    <col min="11779" max="11780" width="6.42578125" style="36" bestFit="1" customWidth="1"/>
    <col min="11781" max="11781" width="10" style="36" bestFit="1" customWidth="1"/>
    <col min="11782" max="11782" width="7.140625" style="36" customWidth="1"/>
    <col min="11783" max="11783" width="6.7109375" style="36" bestFit="1" customWidth="1"/>
    <col min="11784" max="11784" width="5.42578125" style="36" bestFit="1" customWidth="1"/>
    <col min="11785" max="11785" width="6.28515625" style="36" bestFit="1" customWidth="1"/>
    <col min="11786" max="11786" width="5.42578125" style="36" customWidth="1"/>
    <col min="11787" max="11787" width="6.7109375" style="36" customWidth="1"/>
    <col min="11788" max="11788" width="7.42578125" style="36" customWidth="1"/>
    <col min="11789" max="11789" width="7.140625" style="36" customWidth="1"/>
    <col min="11790" max="11790" width="9.28515625" style="36" customWidth="1"/>
    <col min="11791" max="11791" width="10.7109375" style="36" customWidth="1"/>
    <col min="11792" max="11792" width="9.140625" style="36" customWidth="1"/>
    <col min="11793" max="12029" width="9.140625" style="36"/>
    <col min="12030" max="12030" width="4.42578125" style="36" bestFit="1" customWidth="1"/>
    <col min="12031" max="12031" width="11.42578125" style="36" bestFit="1" customWidth="1"/>
    <col min="12032" max="12032" width="9.42578125" style="36" bestFit="1" customWidth="1"/>
    <col min="12033" max="12033" width="6.42578125" style="36" bestFit="1" customWidth="1"/>
    <col min="12034" max="12034" width="7.7109375" style="36" bestFit="1" customWidth="1"/>
    <col min="12035" max="12036" width="6.42578125" style="36" bestFit="1" customWidth="1"/>
    <col min="12037" max="12037" width="10" style="36" bestFit="1" customWidth="1"/>
    <col min="12038" max="12038" width="7.140625" style="36" customWidth="1"/>
    <col min="12039" max="12039" width="6.7109375" style="36" bestFit="1" customWidth="1"/>
    <col min="12040" max="12040" width="5.42578125" style="36" bestFit="1" customWidth="1"/>
    <col min="12041" max="12041" width="6.28515625" style="36" bestFit="1" customWidth="1"/>
    <col min="12042" max="12042" width="5.42578125" style="36" customWidth="1"/>
    <col min="12043" max="12043" width="6.7109375" style="36" customWidth="1"/>
    <col min="12044" max="12044" width="7.42578125" style="36" customWidth="1"/>
    <col min="12045" max="12045" width="7.140625" style="36" customWidth="1"/>
    <col min="12046" max="12046" width="9.28515625" style="36" customWidth="1"/>
    <col min="12047" max="12047" width="10.7109375" style="36" customWidth="1"/>
    <col min="12048" max="12048" width="9.140625" style="36" customWidth="1"/>
    <col min="12049" max="12285" width="9.140625" style="36"/>
    <col min="12286" max="12286" width="4.42578125" style="36" bestFit="1" customWidth="1"/>
    <col min="12287" max="12287" width="11.42578125" style="36" bestFit="1" customWidth="1"/>
    <col min="12288" max="12288" width="9.42578125" style="36" bestFit="1" customWidth="1"/>
    <col min="12289" max="12289" width="6.42578125" style="36" bestFit="1" customWidth="1"/>
    <col min="12290" max="12290" width="7.7109375" style="36" bestFit="1" customWidth="1"/>
    <col min="12291" max="12292" width="6.42578125" style="36" bestFit="1" customWidth="1"/>
    <col min="12293" max="12293" width="10" style="36" bestFit="1" customWidth="1"/>
    <col min="12294" max="12294" width="7.140625" style="36" customWidth="1"/>
    <col min="12295" max="12295" width="6.7109375" style="36" bestFit="1" customWidth="1"/>
    <col min="12296" max="12296" width="5.42578125" style="36" bestFit="1" customWidth="1"/>
    <col min="12297" max="12297" width="6.28515625" style="36" bestFit="1" customWidth="1"/>
    <col min="12298" max="12298" width="5.42578125" style="36" customWidth="1"/>
    <col min="12299" max="12299" width="6.7109375" style="36" customWidth="1"/>
    <col min="12300" max="12300" width="7.42578125" style="36" customWidth="1"/>
    <col min="12301" max="12301" width="7.140625" style="36" customWidth="1"/>
    <col min="12302" max="12302" width="9.28515625" style="36" customWidth="1"/>
    <col min="12303" max="12303" width="10.7109375" style="36" customWidth="1"/>
    <col min="12304" max="12304" width="9.140625" style="36" customWidth="1"/>
    <col min="12305" max="12541" width="9.140625" style="36"/>
    <col min="12542" max="12542" width="4.42578125" style="36" bestFit="1" customWidth="1"/>
    <col min="12543" max="12543" width="11.42578125" style="36" bestFit="1" customWidth="1"/>
    <col min="12544" max="12544" width="9.42578125" style="36" bestFit="1" customWidth="1"/>
    <col min="12545" max="12545" width="6.42578125" style="36" bestFit="1" customWidth="1"/>
    <col min="12546" max="12546" width="7.7109375" style="36" bestFit="1" customWidth="1"/>
    <col min="12547" max="12548" width="6.42578125" style="36" bestFit="1" customWidth="1"/>
    <col min="12549" max="12549" width="10" style="36" bestFit="1" customWidth="1"/>
    <col min="12550" max="12550" width="7.140625" style="36" customWidth="1"/>
    <col min="12551" max="12551" width="6.7109375" style="36" bestFit="1" customWidth="1"/>
    <col min="12552" max="12552" width="5.42578125" style="36" bestFit="1" customWidth="1"/>
    <col min="12553" max="12553" width="6.28515625" style="36" bestFit="1" customWidth="1"/>
    <col min="12554" max="12554" width="5.42578125" style="36" customWidth="1"/>
    <col min="12555" max="12555" width="6.7109375" style="36" customWidth="1"/>
    <col min="12556" max="12556" width="7.42578125" style="36" customWidth="1"/>
    <col min="12557" max="12557" width="7.140625" style="36" customWidth="1"/>
    <col min="12558" max="12558" width="9.28515625" style="36" customWidth="1"/>
    <col min="12559" max="12559" width="10.7109375" style="36" customWidth="1"/>
    <col min="12560" max="12560" width="9.140625" style="36" customWidth="1"/>
    <col min="12561" max="12797" width="9.140625" style="36"/>
    <col min="12798" max="12798" width="4.42578125" style="36" bestFit="1" customWidth="1"/>
    <col min="12799" max="12799" width="11.42578125" style="36" bestFit="1" customWidth="1"/>
    <col min="12800" max="12800" width="9.42578125" style="36" bestFit="1" customWidth="1"/>
    <col min="12801" max="12801" width="6.42578125" style="36" bestFit="1" customWidth="1"/>
    <col min="12802" max="12802" width="7.7109375" style="36" bestFit="1" customWidth="1"/>
    <col min="12803" max="12804" width="6.42578125" style="36" bestFit="1" customWidth="1"/>
    <col min="12805" max="12805" width="10" style="36" bestFit="1" customWidth="1"/>
    <col min="12806" max="12806" width="7.140625" style="36" customWidth="1"/>
    <col min="12807" max="12807" width="6.7109375" style="36" bestFit="1" customWidth="1"/>
    <col min="12808" max="12808" width="5.42578125" style="36" bestFit="1" customWidth="1"/>
    <col min="12809" max="12809" width="6.28515625" style="36" bestFit="1" customWidth="1"/>
    <col min="12810" max="12810" width="5.42578125" style="36" customWidth="1"/>
    <col min="12811" max="12811" width="6.7109375" style="36" customWidth="1"/>
    <col min="12812" max="12812" width="7.42578125" style="36" customWidth="1"/>
    <col min="12813" max="12813" width="7.140625" style="36" customWidth="1"/>
    <col min="12814" max="12814" width="9.28515625" style="36" customWidth="1"/>
    <col min="12815" max="12815" width="10.7109375" style="36" customWidth="1"/>
    <col min="12816" max="12816" width="9.140625" style="36" customWidth="1"/>
    <col min="12817" max="13053" width="9.140625" style="36"/>
    <col min="13054" max="13054" width="4.42578125" style="36" bestFit="1" customWidth="1"/>
    <col min="13055" max="13055" width="11.42578125" style="36" bestFit="1" customWidth="1"/>
    <col min="13056" max="13056" width="9.42578125" style="36" bestFit="1" customWidth="1"/>
    <col min="13057" max="13057" width="6.42578125" style="36" bestFit="1" customWidth="1"/>
    <col min="13058" max="13058" width="7.7109375" style="36" bestFit="1" customWidth="1"/>
    <col min="13059" max="13060" width="6.42578125" style="36" bestFit="1" customWidth="1"/>
    <col min="13061" max="13061" width="10" style="36" bestFit="1" customWidth="1"/>
    <col min="13062" max="13062" width="7.140625" style="36" customWidth="1"/>
    <col min="13063" max="13063" width="6.7109375" style="36" bestFit="1" customWidth="1"/>
    <col min="13064" max="13064" width="5.42578125" style="36" bestFit="1" customWidth="1"/>
    <col min="13065" max="13065" width="6.28515625" style="36" bestFit="1" customWidth="1"/>
    <col min="13066" max="13066" width="5.42578125" style="36" customWidth="1"/>
    <col min="13067" max="13067" width="6.7109375" style="36" customWidth="1"/>
    <col min="13068" max="13068" width="7.42578125" style="36" customWidth="1"/>
    <col min="13069" max="13069" width="7.140625" style="36" customWidth="1"/>
    <col min="13070" max="13070" width="9.28515625" style="36" customWidth="1"/>
    <col min="13071" max="13071" width="10.7109375" style="36" customWidth="1"/>
    <col min="13072" max="13072" width="9.140625" style="36" customWidth="1"/>
    <col min="13073" max="13309" width="9.140625" style="36"/>
    <col min="13310" max="13310" width="4.42578125" style="36" bestFit="1" customWidth="1"/>
    <col min="13311" max="13311" width="11.42578125" style="36" bestFit="1" customWidth="1"/>
    <col min="13312" max="13312" width="9.42578125" style="36" bestFit="1" customWidth="1"/>
    <col min="13313" max="13313" width="6.42578125" style="36" bestFit="1" customWidth="1"/>
    <col min="13314" max="13314" width="7.7109375" style="36" bestFit="1" customWidth="1"/>
    <col min="13315" max="13316" width="6.42578125" style="36" bestFit="1" customWidth="1"/>
    <col min="13317" max="13317" width="10" style="36" bestFit="1" customWidth="1"/>
    <col min="13318" max="13318" width="7.140625" style="36" customWidth="1"/>
    <col min="13319" max="13319" width="6.7109375" style="36" bestFit="1" customWidth="1"/>
    <col min="13320" max="13320" width="5.42578125" style="36" bestFit="1" customWidth="1"/>
    <col min="13321" max="13321" width="6.28515625" style="36" bestFit="1" customWidth="1"/>
    <col min="13322" max="13322" width="5.42578125" style="36" customWidth="1"/>
    <col min="13323" max="13323" width="6.7109375" style="36" customWidth="1"/>
    <col min="13324" max="13324" width="7.42578125" style="36" customWidth="1"/>
    <col min="13325" max="13325" width="7.140625" style="36" customWidth="1"/>
    <col min="13326" max="13326" width="9.28515625" style="36" customWidth="1"/>
    <col min="13327" max="13327" width="10.7109375" style="36" customWidth="1"/>
    <col min="13328" max="13328" width="9.140625" style="36" customWidth="1"/>
    <col min="13329" max="13565" width="9.140625" style="36"/>
    <col min="13566" max="13566" width="4.42578125" style="36" bestFit="1" customWidth="1"/>
    <col min="13567" max="13567" width="11.42578125" style="36" bestFit="1" customWidth="1"/>
    <col min="13568" max="13568" width="9.42578125" style="36" bestFit="1" customWidth="1"/>
    <col min="13569" max="13569" width="6.42578125" style="36" bestFit="1" customWidth="1"/>
    <col min="13570" max="13570" width="7.7109375" style="36" bestFit="1" customWidth="1"/>
    <col min="13571" max="13572" width="6.42578125" style="36" bestFit="1" customWidth="1"/>
    <col min="13573" max="13573" width="10" style="36" bestFit="1" customWidth="1"/>
    <col min="13574" max="13574" width="7.140625" style="36" customWidth="1"/>
    <col min="13575" max="13575" width="6.7109375" style="36" bestFit="1" customWidth="1"/>
    <col min="13576" max="13576" width="5.42578125" style="36" bestFit="1" customWidth="1"/>
    <col min="13577" max="13577" width="6.28515625" style="36" bestFit="1" customWidth="1"/>
    <col min="13578" max="13578" width="5.42578125" style="36" customWidth="1"/>
    <col min="13579" max="13579" width="6.7109375" style="36" customWidth="1"/>
    <col min="13580" max="13580" width="7.42578125" style="36" customWidth="1"/>
    <col min="13581" max="13581" width="7.140625" style="36" customWidth="1"/>
    <col min="13582" max="13582" width="9.28515625" style="36" customWidth="1"/>
    <col min="13583" max="13583" width="10.7109375" style="36" customWidth="1"/>
    <col min="13584" max="13584" width="9.140625" style="36" customWidth="1"/>
    <col min="13585" max="13821" width="9.140625" style="36"/>
    <col min="13822" max="13822" width="4.42578125" style="36" bestFit="1" customWidth="1"/>
    <col min="13823" max="13823" width="11.42578125" style="36" bestFit="1" customWidth="1"/>
    <col min="13824" max="13824" width="9.42578125" style="36" bestFit="1" customWidth="1"/>
    <col min="13825" max="13825" width="6.42578125" style="36" bestFit="1" customWidth="1"/>
    <col min="13826" max="13826" width="7.7109375" style="36" bestFit="1" customWidth="1"/>
    <col min="13827" max="13828" width="6.42578125" style="36" bestFit="1" customWidth="1"/>
    <col min="13829" max="13829" width="10" style="36" bestFit="1" customWidth="1"/>
    <col min="13830" max="13830" width="7.140625" style="36" customWidth="1"/>
    <col min="13831" max="13831" width="6.7109375" style="36" bestFit="1" customWidth="1"/>
    <col min="13832" max="13832" width="5.42578125" style="36" bestFit="1" customWidth="1"/>
    <col min="13833" max="13833" width="6.28515625" style="36" bestFit="1" customWidth="1"/>
    <col min="13834" max="13834" width="5.42578125" style="36" customWidth="1"/>
    <col min="13835" max="13835" width="6.7109375" style="36" customWidth="1"/>
    <col min="13836" max="13836" width="7.42578125" style="36" customWidth="1"/>
    <col min="13837" max="13837" width="7.140625" style="36" customWidth="1"/>
    <col min="13838" max="13838" width="9.28515625" style="36" customWidth="1"/>
    <col min="13839" max="13839" width="10.7109375" style="36" customWidth="1"/>
    <col min="13840" max="13840" width="9.140625" style="36" customWidth="1"/>
    <col min="13841" max="14077" width="9.140625" style="36"/>
    <col min="14078" max="14078" width="4.42578125" style="36" bestFit="1" customWidth="1"/>
    <col min="14079" max="14079" width="11.42578125" style="36" bestFit="1" customWidth="1"/>
    <col min="14080" max="14080" width="9.42578125" style="36" bestFit="1" customWidth="1"/>
    <col min="14081" max="14081" width="6.42578125" style="36" bestFit="1" customWidth="1"/>
    <col min="14082" max="14082" width="7.7109375" style="36" bestFit="1" customWidth="1"/>
    <col min="14083" max="14084" width="6.42578125" style="36" bestFit="1" customWidth="1"/>
    <col min="14085" max="14085" width="10" style="36" bestFit="1" customWidth="1"/>
    <col min="14086" max="14086" width="7.140625" style="36" customWidth="1"/>
    <col min="14087" max="14087" width="6.7109375" style="36" bestFit="1" customWidth="1"/>
    <col min="14088" max="14088" width="5.42578125" style="36" bestFit="1" customWidth="1"/>
    <col min="14089" max="14089" width="6.28515625" style="36" bestFit="1" customWidth="1"/>
    <col min="14090" max="14090" width="5.42578125" style="36" customWidth="1"/>
    <col min="14091" max="14091" width="6.7109375" style="36" customWidth="1"/>
    <col min="14092" max="14092" width="7.42578125" style="36" customWidth="1"/>
    <col min="14093" max="14093" width="7.140625" style="36" customWidth="1"/>
    <col min="14094" max="14094" width="9.28515625" style="36" customWidth="1"/>
    <col min="14095" max="14095" width="10.7109375" style="36" customWidth="1"/>
    <col min="14096" max="14096" width="9.140625" style="36" customWidth="1"/>
    <col min="14097" max="14333" width="9.140625" style="36"/>
    <col min="14334" max="14334" width="4.42578125" style="36" bestFit="1" customWidth="1"/>
    <col min="14335" max="14335" width="11.42578125" style="36" bestFit="1" customWidth="1"/>
    <col min="14336" max="14336" width="9.42578125" style="36" bestFit="1" customWidth="1"/>
    <col min="14337" max="14337" width="6.42578125" style="36" bestFit="1" customWidth="1"/>
    <col min="14338" max="14338" width="7.7109375" style="36" bestFit="1" customWidth="1"/>
    <col min="14339" max="14340" width="6.42578125" style="36" bestFit="1" customWidth="1"/>
    <col min="14341" max="14341" width="10" style="36" bestFit="1" customWidth="1"/>
    <col min="14342" max="14342" width="7.140625" style="36" customWidth="1"/>
    <col min="14343" max="14343" width="6.7109375" style="36" bestFit="1" customWidth="1"/>
    <col min="14344" max="14344" width="5.42578125" style="36" bestFit="1" customWidth="1"/>
    <col min="14345" max="14345" width="6.28515625" style="36" bestFit="1" customWidth="1"/>
    <col min="14346" max="14346" width="5.42578125" style="36" customWidth="1"/>
    <col min="14347" max="14347" width="6.7109375" style="36" customWidth="1"/>
    <col min="14348" max="14348" width="7.42578125" style="36" customWidth="1"/>
    <col min="14349" max="14349" width="7.140625" style="36" customWidth="1"/>
    <col min="14350" max="14350" width="9.28515625" style="36" customWidth="1"/>
    <col min="14351" max="14351" width="10.7109375" style="36" customWidth="1"/>
    <col min="14352" max="14352" width="9.140625" style="36" customWidth="1"/>
    <col min="14353" max="14589" width="9.140625" style="36"/>
    <col min="14590" max="14590" width="4.42578125" style="36" bestFit="1" customWidth="1"/>
    <col min="14591" max="14591" width="11.42578125" style="36" bestFit="1" customWidth="1"/>
    <col min="14592" max="14592" width="9.42578125" style="36" bestFit="1" customWidth="1"/>
    <col min="14593" max="14593" width="6.42578125" style="36" bestFit="1" customWidth="1"/>
    <col min="14594" max="14594" width="7.7109375" style="36" bestFit="1" customWidth="1"/>
    <col min="14595" max="14596" width="6.42578125" style="36" bestFit="1" customWidth="1"/>
    <col min="14597" max="14597" width="10" style="36" bestFit="1" customWidth="1"/>
    <col min="14598" max="14598" width="7.140625" style="36" customWidth="1"/>
    <col min="14599" max="14599" width="6.7109375" style="36" bestFit="1" customWidth="1"/>
    <col min="14600" max="14600" width="5.42578125" style="36" bestFit="1" customWidth="1"/>
    <col min="14601" max="14601" width="6.28515625" style="36" bestFit="1" customWidth="1"/>
    <col min="14602" max="14602" width="5.42578125" style="36" customWidth="1"/>
    <col min="14603" max="14603" width="6.7109375" style="36" customWidth="1"/>
    <col min="14604" max="14604" width="7.42578125" style="36" customWidth="1"/>
    <col min="14605" max="14605" width="7.140625" style="36" customWidth="1"/>
    <col min="14606" max="14606" width="9.28515625" style="36" customWidth="1"/>
    <col min="14607" max="14607" width="10.7109375" style="36" customWidth="1"/>
    <col min="14608" max="14608" width="9.140625" style="36" customWidth="1"/>
    <col min="14609" max="14845" width="9.140625" style="36"/>
    <col min="14846" max="14846" width="4.42578125" style="36" bestFit="1" customWidth="1"/>
    <col min="14847" max="14847" width="11.42578125" style="36" bestFit="1" customWidth="1"/>
    <col min="14848" max="14848" width="9.42578125" style="36" bestFit="1" customWidth="1"/>
    <col min="14849" max="14849" width="6.42578125" style="36" bestFit="1" customWidth="1"/>
    <col min="14850" max="14850" width="7.7109375" style="36" bestFit="1" customWidth="1"/>
    <col min="14851" max="14852" width="6.42578125" style="36" bestFit="1" customWidth="1"/>
    <col min="14853" max="14853" width="10" style="36" bestFit="1" customWidth="1"/>
    <col min="14854" max="14854" width="7.140625" style="36" customWidth="1"/>
    <col min="14855" max="14855" width="6.7109375" style="36" bestFit="1" customWidth="1"/>
    <col min="14856" max="14856" width="5.42578125" style="36" bestFit="1" customWidth="1"/>
    <col min="14857" max="14857" width="6.28515625" style="36" bestFit="1" customWidth="1"/>
    <col min="14858" max="14858" width="5.42578125" style="36" customWidth="1"/>
    <col min="14859" max="14859" width="6.7109375" style="36" customWidth="1"/>
    <col min="14860" max="14860" width="7.42578125" style="36" customWidth="1"/>
    <col min="14861" max="14861" width="7.140625" style="36" customWidth="1"/>
    <col min="14862" max="14862" width="9.28515625" style="36" customWidth="1"/>
    <col min="14863" max="14863" width="10.7109375" style="36" customWidth="1"/>
    <col min="14864" max="14864" width="9.140625" style="36" customWidth="1"/>
    <col min="14865" max="15101" width="9.140625" style="36"/>
    <col min="15102" max="15102" width="4.42578125" style="36" bestFit="1" customWidth="1"/>
    <col min="15103" max="15103" width="11.42578125" style="36" bestFit="1" customWidth="1"/>
    <col min="15104" max="15104" width="9.42578125" style="36" bestFit="1" customWidth="1"/>
    <col min="15105" max="15105" width="6.42578125" style="36" bestFit="1" customWidth="1"/>
    <col min="15106" max="15106" width="7.7109375" style="36" bestFit="1" customWidth="1"/>
    <col min="15107" max="15108" width="6.42578125" style="36" bestFit="1" customWidth="1"/>
    <col min="15109" max="15109" width="10" style="36" bestFit="1" customWidth="1"/>
    <col min="15110" max="15110" width="7.140625" style="36" customWidth="1"/>
    <col min="15111" max="15111" width="6.7109375" style="36" bestFit="1" customWidth="1"/>
    <col min="15112" max="15112" width="5.42578125" style="36" bestFit="1" customWidth="1"/>
    <col min="15113" max="15113" width="6.28515625" style="36" bestFit="1" customWidth="1"/>
    <col min="15114" max="15114" width="5.42578125" style="36" customWidth="1"/>
    <col min="15115" max="15115" width="6.7109375" style="36" customWidth="1"/>
    <col min="15116" max="15116" width="7.42578125" style="36" customWidth="1"/>
    <col min="15117" max="15117" width="7.140625" style="36" customWidth="1"/>
    <col min="15118" max="15118" width="9.28515625" style="36" customWidth="1"/>
    <col min="15119" max="15119" width="10.7109375" style="36" customWidth="1"/>
    <col min="15120" max="15120" width="9.140625" style="36" customWidth="1"/>
    <col min="15121" max="15357" width="9.140625" style="36"/>
    <col min="15358" max="15358" width="4.42578125" style="36" bestFit="1" customWidth="1"/>
    <col min="15359" max="15359" width="11.42578125" style="36" bestFit="1" customWidth="1"/>
    <col min="15360" max="15360" width="9.42578125" style="36" bestFit="1" customWidth="1"/>
    <col min="15361" max="15361" width="6.42578125" style="36" bestFit="1" customWidth="1"/>
    <col min="15362" max="15362" width="7.7109375" style="36" bestFit="1" customWidth="1"/>
    <col min="15363" max="15364" width="6.42578125" style="36" bestFit="1" customWidth="1"/>
    <col min="15365" max="15365" width="10" style="36" bestFit="1" customWidth="1"/>
    <col min="15366" max="15366" width="7.140625" style="36" customWidth="1"/>
    <col min="15367" max="15367" width="6.7109375" style="36" bestFit="1" customWidth="1"/>
    <col min="15368" max="15368" width="5.42578125" style="36" bestFit="1" customWidth="1"/>
    <col min="15369" max="15369" width="6.28515625" style="36" bestFit="1" customWidth="1"/>
    <col min="15370" max="15370" width="5.42578125" style="36" customWidth="1"/>
    <col min="15371" max="15371" width="6.7109375" style="36" customWidth="1"/>
    <col min="15372" max="15372" width="7.42578125" style="36" customWidth="1"/>
    <col min="15373" max="15373" width="7.140625" style="36" customWidth="1"/>
    <col min="15374" max="15374" width="9.28515625" style="36" customWidth="1"/>
    <col min="15375" max="15375" width="10.7109375" style="36" customWidth="1"/>
    <col min="15376" max="15376" width="9.140625" style="36" customWidth="1"/>
    <col min="15377" max="15613" width="9.140625" style="36"/>
    <col min="15614" max="15614" width="4.42578125" style="36" bestFit="1" customWidth="1"/>
    <col min="15615" max="15615" width="11.42578125" style="36" bestFit="1" customWidth="1"/>
    <col min="15616" max="15616" width="9.42578125" style="36" bestFit="1" customWidth="1"/>
    <col min="15617" max="15617" width="6.42578125" style="36" bestFit="1" customWidth="1"/>
    <col min="15618" max="15618" width="7.7109375" style="36" bestFit="1" customWidth="1"/>
    <col min="15619" max="15620" width="6.42578125" style="36" bestFit="1" customWidth="1"/>
    <col min="15621" max="15621" width="10" style="36" bestFit="1" customWidth="1"/>
    <col min="15622" max="15622" width="7.140625" style="36" customWidth="1"/>
    <col min="15623" max="15623" width="6.7109375" style="36" bestFit="1" customWidth="1"/>
    <col min="15624" max="15624" width="5.42578125" style="36" bestFit="1" customWidth="1"/>
    <col min="15625" max="15625" width="6.28515625" style="36" bestFit="1" customWidth="1"/>
    <col min="15626" max="15626" width="5.42578125" style="36" customWidth="1"/>
    <col min="15627" max="15627" width="6.7109375" style="36" customWidth="1"/>
    <col min="15628" max="15628" width="7.42578125" style="36" customWidth="1"/>
    <col min="15629" max="15629" width="7.140625" style="36" customWidth="1"/>
    <col min="15630" max="15630" width="9.28515625" style="36" customWidth="1"/>
    <col min="15631" max="15631" width="10.7109375" style="36" customWidth="1"/>
    <col min="15632" max="15632" width="9.140625" style="36" customWidth="1"/>
    <col min="15633" max="15869" width="9.140625" style="36"/>
    <col min="15870" max="15870" width="4.42578125" style="36" bestFit="1" customWidth="1"/>
    <col min="15871" max="15871" width="11.42578125" style="36" bestFit="1" customWidth="1"/>
    <col min="15872" max="15872" width="9.42578125" style="36" bestFit="1" customWidth="1"/>
    <col min="15873" max="15873" width="6.42578125" style="36" bestFit="1" customWidth="1"/>
    <col min="15874" max="15874" width="7.7109375" style="36" bestFit="1" customWidth="1"/>
    <col min="15875" max="15876" width="6.42578125" style="36" bestFit="1" customWidth="1"/>
    <col min="15877" max="15877" width="10" style="36" bestFit="1" customWidth="1"/>
    <col min="15878" max="15878" width="7.140625" style="36" customWidth="1"/>
    <col min="15879" max="15879" width="6.7109375" style="36" bestFit="1" customWidth="1"/>
    <col min="15880" max="15880" width="5.42578125" style="36" bestFit="1" customWidth="1"/>
    <col min="15881" max="15881" width="6.28515625" style="36" bestFit="1" customWidth="1"/>
    <col min="15882" max="15882" width="5.42578125" style="36" customWidth="1"/>
    <col min="15883" max="15883" width="6.7109375" style="36" customWidth="1"/>
    <col min="15884" max="15884" width="7.42578125" style="36" customWidth="1"/>
    <col min="15885" max="15885" width="7.140625" style="36" customWidth="1"/>
    <col min="15886" max="15886" width="9.28515625" style="36" customWidth="1"/>
    <col min="15887" max="15887" width="10.7109375" style="36" customWidth="1"/>
    <col min="15888" max="15888" width="9.140625" style="36" customWidth="1"/>
    <col min="15889" max="16125" width="9.140625" style="36"/>
    <col min="16126" max="16126" width="4.42578125" style="36" bestFit="1" customWidth="1"/>
    <col min="16127" max="16127" width="11.42578125" style="36" bestFit="1" customWidth="1"/>
    <col min="16128" max="16128" width="9.42578125" style="36" bestFit="1" customWidth="1"/>
    <col min="16129" max="16129" width="6.42578125" style="36" bestFit="1" customWidth="1"/>
    <col min="16130" max="16130" width="7.7109375" style="36" bestFit="1" customWidth="1"/>
    <col min="16131" max="16132" width="6.42578125" style="36" bestFit="1" customWidth="1"/>
    <col min="16133" max="16133" width="10" style="36" bestFit="1" customWidth="1"/>
    <col min="16134" max="16134" width="7.140625" style="36" customWidth="1"/>
    <col min="16135" max="16135" width="6.7109375" style="36" bestFit="1" customWidth="1"/>
    <col min="16136" max="16136" width="5.42578125" style="36" bestFit="1" customWidth="1"/>
    <col min="16137" max="16137" width="6.28515625" style="36" bestFit="1" customWidth="1"/>
    <col min="16138" max="16138" width="5.42578125" style="36" customWidth="1"/>
    <col min="16139" max="16139" width="6.7109375" style="36" customWidth="1"/>
    <col min="16140" max="16140" width="7.42578125" style="36" customWidth="1"/>
    <col min="16141" max="16141" width="7.140625" style="36" customWidth="1"/>
    <col min="16142" max="16142" width="9.28515625" style="36" customWidth="1"/>
    <col min="16143" max="16143" width="10.7109375" style="36" customWidth="1"/>
    <col min="16144" max="16144" width="9.140625" style="36" customWidth="1"/>
    <col min="16145" max="16381" width="9.140625" style="36"/>
    <col min="16382" max="16384" width="9.140625" style="36" customWidth="1"/>
  </cols>
  <sheetData>
    <row r="1" spans="1:25" s="35" customFormat="1" ht="44.1" customHeight="1">
      <c r="A1" s="68" t="s">
        <v>38</v>
      </c>
      <c r="B1" s="37" t="s">
        <v>73</v>
      </c>
      <c r="C1" s="37" t="s">
        <v>74</v>
      </c>
      <c r="D1" s="63" t="s">
        <v>8</v>
      </c>
      <c r="E1" s="60" t="s">
        <v>0</v>
      </c>
      <c r="F1" s="38" t="s">
        <v>39</v>
      </c>
      <c r="G1" s="38" t="s">
        <v>40</v>
      </c>
      <c r="H1" s="37" t="s">
        <v>75</v>
      </c>
      <c r="I1" s="37" t="s">
        <v>45</v>
      </c>
      <c r="J1" s="37" t="s">
        <v>76</v>
      </c>
      <c r="K1" s="37" t="s">
        <v>41</v>
      </c>
      <c r="L1" s="37" t="s">
        <v>77</v>
      </c>
      <c r="M1" s="37" t="s">
        <v>42</v>
      </c>
      <c r="N1" s="65" t="s">
        <v>78</v>
      </c>
      <c r="O1" s="65" t="s">
        <v>79</v>
      </c>
      <c r="P1" s="65" t="s">
        <v>43</v>
      </c>
      <c r="Q1" s="63" t="s">
        <v>80</v>
      </c>
      <c r="R1" s="37" t="s">
        <v>81</v>
      </c>
      <c r="S1" s="37" t="s">
        <v>44</v>
      </c>
      <c r="T1" s="39" t="s">
        <v>86</v>
      </c>
      <c r="U1" s="39" t="s">
        <v>87</v>
      </c>
      <c r="V1" s="71"/>
      <c r="W1" s="71"/>
      <c r="X1" s="71"/>
      <c r="Y1" s="71"/>
    </row>
    <row r="2" spans="1:25" s="51" customFormat="1">
      <c r="A2" s="99">
        <v>2022</v>
      </c>
      <c r="B2" s="100" t="s">
        <v>347</v>
      </c>
      <c r="C2" s="101">
        <v>27422</v>
      </c>
      <c r="D2" s="102">
        <v>29</v>
      </c>
      <c r="E2" s="103">
        <v>44760</v>
      </c>
      <c r="F2" s="104" t="s">
        <v>108</v>
      </c>
      <c r="G2" s="105" t="s">
        <v>9</v>
      </c>
      <c r="H2" s="105" t="s">
        <v>109</v>
      </c>
      <c r="I2" s="105" t="s">
        <v>9</v>
      </c>
      <c r="J2" s="105" t="s">
        <v>110</v>
      </c>
      <c r="K2" s="104" t="s">
        <v>111</v>
      </c>
      <c r="L2" s="106" t="s">
        <v>348</v>
      </c>
      <c r="M2" s="104" t="s">
        <v>112</v>
      </c>
      <c r="N2" s="107"/>
      <c r="O2" s="107">
        <v>50</v>
      </c>
      <c r="P2" s="107">
        <v>50</v>
      </c>
      <c r="Q2" s="108">
        <v>0</v>
      </c>
      <c r="R2" s="106" t="s">
        <v>197</v>
      </c>
      <c r="S2" s="106"/>
      <c r="T2" s="106" t="s">
        <v>179</v>
      </c>
      <c r="U2" s="106" t="s">
        <v>179</v>
      </c>
    </row>
    <row r="3" spans="1:25" s="51" customFormat="1">
      <c r="A3" s="99">
        <v>2022</v>
      </c>
      <c r="B3" s="100" t="s">
        <v>349</v>
      </c>
      <c r="C3" s="101">
        <v>27423</v>
      </c>
      <c r="D3" s="102">
        <v>29</v>
      </c>
      <c r="E3" s="103">
        <v>44760</v>
      </c>
      <c r="F3" s="104" t="s">
        <v>108</v>
      </c>
      <c r="G3" s="105" t="s">
        <v>9</v>
      </c>
      <c r="H3" s="105" t="s">
        <v>109</v>
      </c>
      <c r="I3" s="105" t="s">
        <v>9</v>
      </c>
      <c r="J3" s="105" t="s">
        <v>110</v>
      </c>
      <c r="K3" s="104" t="s">
        <v>111</v>
      </c>
      <c r="L3" s="106" t="s">
        <v>348</v>
      </c>
      <c r="M3" s="104" t="s">
        <v>112</v>
      </c>
      <c r="N3" s="107"/>
      <c r="O3" s="107">
        <v>50</v>
      </c>
      <c r="P3" s="107">
        <v>50</v>
      </c>
      <c r="Q3" s="108">
        <v>0</v>
      </c>
      <c r="R3" s="106" t="s">
        <v>197</v>
      </c>
      <c r="S3" s="106"/>
      <c r="T3" s="106" t="s">
        <v>179</v>
      </c>
      <c r="U3" s="106" t="s">
        <v>179</v>
      </c>
    </row>
    <row r="4" spans="1:25" s="51" customFormat="1">
      <c r="A4" s="99">
        <v>2022</v>
      </c>
      <c r="B4" s="100" t="s">
        <v>350</v>
      </c>
      <c r="C4" s="101">
        <v>27424</v>
      </c>
      <c r="D4" s="102">
        <v>29</v>
      </c>
      <c r="E4" s="103">
        <v>44760</v>
      </c>
      <c r="F4" s="104" t="s">
        <v>108</v>
      </c>
      <c r="G4" s="105" t="s">
        <v>9</v>
      </c>
      <c r="H4" s="105" t="s">
        <v>109</v>
      </c>
      <c r="I4" s="105" t="s">
        <v>9</v>
      </c>
      <c r="J4" s="105" t="s">
        <v>110</v>
      </c>
      <c r="K4" s="104" t="s">
        <v>111</v>
      </c>
      <c r="L4" s="106" t="s">
        <v>348</v>
      </c>
      <c r="M4" s="104" t="s">
        <v>112</v>
      </c>
      <c r="N4" s="107"/>
      <c r="O4" s="107">
        <v>7</v>
      </c>
      <c r="P4" s="107">
        <v>7</v>
      </c>
      <c r="Q4" s="108">
        <v>0</v>
      </c>
      <c r="R4" s="106" t="s">
        <v>197</v>
      </c>
      <c r="S4" s="106"/>
      <c r="T4" s="106" t="s">
        <v>179</v>
      </c>
      <c r="U4" s="106" t="s">
        <v>179</v>
      </c>
    </row>
    <row r="5" spans="1:25" s="51" customFormat="1">
      <c r="A5" s="99">
        <v>2022</v>
      </c>
      <c r="B5" s="100" t="s">
        <v>351</v>
      </c>
      <c r="C5" s="101">
        <v>27425</v>
      </c>
      <c r="D5" s="102">
        <v>29</v>
      </c>
      <c r="E5" s="103">
        <v>44760</v>
      </c>
      <c r="F5" s="104" t="s">
        <v>108</v>
      </c>
      <c r="G5" s="105" t="s">
        <v>9</v>
      </c>
      <c r="H5" s="105" t="s">
        <v>109</v>
      </c>
      <c r="I5" s="105" t="s">
        <v>9</v>
      </c>
      <c r="J5" s="105" t="s">
        <v>110</v>
      </c>
      <c r="K5" s="104" t="s">
        <v>111</v>
      </c>
      <c r="L5" s="106" t="s">
        <v>195</v>
      </c>
      <c r="M5" s="104" t="s">
        <v>112</v>
      </c>
      <c r="N5" s="107"/>
      <c r="O5" s="107">
        <v>5</v>
      </c>
      <c r="P5" s="107">
        <v>5</v>
      </c>
      <c r="Q5" s="108">
        <v>0</v>
      </c>
      <c r="R5" s="106" t="s">
        <v>197</v>
      </c>
      <c r="S5" s="106"/>
      <c r="T5" s="106" t="s">
        <v>180</v>
      </c>
      <c r="U5" s="106" t="s">
        <v>180</v>
      </c>
    </row>
    <row r="6" spans="1:25" s="51" customFormat="1">
      <c r="A6" s="99">
        <v>2022</v>
      </c>
      <c r="B6" s="100" t="s">
        <v>352</v>
      </c>
      <c r="C6" s="101">
        <v>27426</v>
      </c>
      <c r="D6" s="102">
        <v>29</v>
      </c>
      <c r="E6" s="103">
        <v>44760</v>
      </c>
      <c r="F6" s="104" t="s">
        <v>108</v>
      </c>
      <c r="G6" s="105" t="s">
        <v>46</v>
      </c>
      <c r="H6" s="105" t="s">
        <v>117</v>
      </c>
      <c r="I6" s="105" t="s">
        <v>58</v>
      </c>
      <c r="J6" s="105" t="s">
        <v>118</v>
      </c>
      <c r="K6" s="104" t="s">
        <v>111</v>
      </c>
      <c r="L6" s="106" t="s">
        <v>195</v>
      </c>
      <c r="M6" s="104" t="s">
        <v>112</v>
      </c>
      <c r="N6" s="107">
        <v>39</v>
      </c>
      <c r="O6" s="107"/>
      <c r="P6" s="107">
        <v>39</v>
      </c>
      <c r="Q6" s="108">
        <v>0</v>
      </c>
      <c r="R6" s="106" t="s">
        <v>197</v>
      </c>
      <c r="S6" s="106"/>
      <c r="T6" s="106" t="s">
        <v>182</v>
      </c>
      <c r="U6" s="106" t="s">
        <v>187</v>
      </c>
    </row>
    <row r="7" spans="1:25" s="51" customFormat="1">
      <c r="A7" s="99">
        <v>2022</v>
      </c>
      <c r="B7" s="100" t="s">
        <v>353</v>
      </c>
      <c r="C7" s="101">
        <v>27427</v>
      </c>
      <c r="D7" s="102">
        <v>29</v>
      </c>
      <c r="E7" s="103">
        <v>44760</v>
      </c>
      <c r="F7" s="104" t="s">
        <v>108</v>
      </c>
      <c r="G7" s="105" t="s">
        <v>46</v>
      </c>
      <c r="H7" s="105" t="s">
        <v>121</v>
      </c>
      <c r="I7" s="105" t="s">
        <v>58</v>
      </c>
      <c r="J7" s="105" t="s">
        <v>118</v>
      </c>
      <c r="K7" s="104" t="s">
        <v>111</v>
      </c>
      <c r="L7" s="106" t="s">
        <v>195</v>
      </c>
      <c r="M7" s="104" t="s">
        <v>112</v>
      </c>
      <c r="N7" s="107">
        <v>16</v>
      </c>
      <c r="O7" s="107"/>
      <c r="P7" s="107">
        <v>16</v>
      </c>
      <c r="Q7" s="108">
        <v>0</v>
      </c>
      <c r="R7" s="106" t="s">
        <v>197</v>
      </c>
      <c r="S7" s="106"/>
      <c r="T7" s="106" t="s">
        <v>182</v>
      </c>
      <c r="U7" s="106" t="s">
        <v>187</v>
      </c>
    </row>
    <row r="8" spans="1:25" s="51" customFormat="1">
      <c r="A8" s="109">
        <v>2022</v>
      </c>
      <c r="B8" s="106" t="s">
        <v>354</v>
      </c>
      <c r="C8" s="101">
        <v>27428</v>
      </c>
      <c r="D8" s="108">
        <v>29</v>
      </c>
      <c r="E8" s="103">
        <v>44760</v>
      </c>
      <c r="F8" s="106" t="s">
        <v>108</v>
      </c>
      <c r="G8" s="110" t="s">
        <v>9</v>
      </c>
      <c r="H8" s="106" t="s">
        <v>113</v>
      </c>
      <c r="I8" s="110" t="s">
        <v>9</v>
      </c>
      <c r="J8" s="106" t="s">
        <v>110</v>
      </c>
      <c r="K8" s="106" t="s">
        <v>111</v>
      </c>
      <c r="L8" s="110" t="s">
        <v>348</v>
      </c>
      <c r="M8" s="106" t="s">
        <v>112</v>
      </c>
      <c r="N8" s="109"/>
      <c r="O8" s="109">
        <v>50</v>
      </c>
      <c r="P8" s="109">
        <v>50</v>
      </c>
      <c r="Q8" s="108">
        <v>0</v>
      </c>
      <c r="R8" s="106" t="s">
        <v>197</v>
      </c>
      <c r="S8" s="106"/>
      <c r="T8" s="106" t="s">
        <v>179</v>
      </c>
      <c r="U8" s="106" t="s">
        <v>179</v>
      </c>
    </row>
    <row r="9" spans="1:25" s="51" customFormat="1">
      <c r="A9" s="109">
        <v>2022</v>
      </c>
      <c r="B9" s="106" t="s">
        <v>355</v>
      </c>
      <c r="C9" s="101">
        <v>27429</v>
      </c>
      <c r="D9" s="108">
        <v>29</v>
      </c>
      <c r="E9" s="103">
        <v>44760</v>
      </c>
      <c r="F9" s="106" t="s">
        <v>108</v>
      </c>
      <c r="G9" s="110" t="s">
        <v>46</v>
      </c>
      <c r="H9" s="106" t="s">
        <v>123</v>
      </c>
      <c r="I9" s="110" t="s">
        <v>58</v>
      </c>
      <c r="J9" s="106" t="s">
        <v>118</v>
      </c>
      <c r="K9" s="106" t="s">
        <v>111</v>
      </c>
      <c r="L9" s="110" t="s">
        <v>195</v>
      </c>
      <c r="M9" s="106" t="s">
        <v>112</v>
      </c>
      <c r="N9" s="109">
        <v>50</v>
      </c>
      <c r="O9" s="109"/>
      <c r="P9" s="109">
        <v>50</v>
      </c>
      <c r="Q9" s="108">
        <v>0</v>
      </c>
      <c r="R9" s="106" t="s">
        <v>197</v>
      </c>
      <c r="S9" s="106"/>
      <c r="T9" s="106" t="s">
        <v>182</v>
      </c>
      <c r="U9" s="106" t="s">
        <v>187</v>
      </c>
    </row>
    <row r="10" spans="1:25" s="51" customFormat="1">
      <c r="A10" s="109">
        <v>2022</v>
      </c>
      <c r="B10" s="106" t="s">
        <v>356</v>
      </c>
      <c r="C10" s="101">
        <v>27430</v>
      </c>
      <c r="D10" s="108">
        <v>29</v>
      </c>
      <c r="E10" s="103">
        <v>44760</v>
      </c>
      <c r="F10" s="106" t="s">
        <v>108</v>
      </c>
      <c r="G10" s="110" t="s">
        <v>46</v>
      </c>
      <c r="H10" s="106" t="s">
        <v>123</v>
      </c>
      <c r="I10" s="110" t="s">
        <v>58</v>
      </c>
      <c r="J10" s="106" t="s">
        <v>118</v>
      </c>
      <c r="K10" s="106" t="s">
        <v>111</v>
      </c>
      <c r="L10" s="110" t="s">
        <v>195</v>
      </c>
      <c r="M10" s="106" t="s">
        <v>112</v>
      </c>
      <c r="N10" s="109">
        <v>5</v>
      </c>
      <c r="O10" s="109"/>
      <c r="P10" s="109">
        <v>5</v>
      </c>
      <c r="Q10" s="108">
        <v>0</v>
      </c>
      <c r="R10" s="106" t="s">
        <v>197</v>
      </c>
      <c r="S10" s="106"/>
      <c r="T10" s="106" t="s">
        <v>182</v>
      </c>
      <c r="U10" s="106" t="s">
        <v>187</v>
      </c>
    </row>
    <row r="11" spans="1:25" s="51" customFormat="1">
      <c r="A11" s="109">
        <v>2022</v>
      </c>
      <c r="B11" s="106" t="s">
        <v>357</v>
      </c>
      <c r="C11" s="101">
        <v>27431</v>
      </c>
      <c r="D11" s="108">
        <v>29</v>
      </c>
      <c r="E11" s="103">
        <v>44760</v>
      </c>
      <c r="F11" s="106" t="s">
        <v>108</v>
      </c>
      <c r="G11" s="110" t="s">
        <v>46</v>
      </c>
      <c r="H11" s="106" t="s">
        <v>126</v>
      </c>
      <c r="I11" s="110" t="s">
        <v>58</v>
      </c>
      <c r="J11" s="106" t="s">
        <v>118</v>
      </c>
      <c r="K11" s="106" t="s">
        <v>111</v>
      </c>
      <c r="L11" s="110" t="s">
        <v>195</v>
      </c>
      <c r="M11" s="106" t="s">
        <v>112</v>
      </c>
      <c r="N11" s="109">
        <v>31</v>
      </c>
      <c r="O11" s="109"/>
      <c r="P11" s="109">
        <v>31</v>
      </c>
      <c r="Q11" s="108">
        <v>0</v>
      </c>
      <c r="R11" s="106" t="s">
        <v>197</v>
      </c>
      <c r="S11" s="106"/>
      <c r="T11" s="106" t="s">
        <v>182</v>
      </c>
      <c r="U11" s="106" t="s">
        <v>187</v>
      </c>
    </row>
    <row r="12" spans="1:25" s="51" customFormat="1">
      <c r="A12" s="109">
        <v>2022</v>
      </c>
      <c r="B12" s="106" t="s">
        <v>358</v>
      </c>
      <c r="C12" s="101">
        <v>27432</v>
      </c>
      <c r="D12" s="108">
        <v>29</v>
      </c>
      <c r="E12" s="103">
        <v>44760</v>
      </c>
      <c r="F12" s="106" t="s">
        <v>108</v>
      </c>
      <c r="G12" s="110" t="s">
        <v>46</v>
      </c>
      <c r="H12" s="106" t="s">
        <v>122</v>
      </c>
      <c r="I12" s="110" t="s">
        <v>58</v>
      </c>
      <c r="J12" s="106" t="s">
        <v>110</v>
      </c>
      <c r="K12" s="106" t="s">
        <v>111</v>
      </c>
      <c r="L12" s="110" t="s">
        <v>348</v>
      </c>
      <c r="M12" s="106" t="s">
        <v>112</v>
      </c>
      <c r="N12" s="109"/>
      <c r="O12" s="109">
        <v>50</v>
      </c>
      <c r="P12" s="109">
        <v>50</v>
      </c>
      <c r="Q12" s="108">
        <v>0</v>
      </c>
      <c r="R12" s="106" t="s">
        <v>197</v>
      </c>
      <c r="S12" s="106"/>
      <c r="T12" s="106" t="s">
        <v>181</v>
      </c>
      <c r="U12" s="106" t="s">
        <v>186</v>
      </c>
    </row>
    <row r="13" spans="1:25" s="51" customFormat="1">
      <c r="A13" s="111">
        <v>2022</v>
      </c>
      <c r="B13" s="110" t="s">
        <v>359</v>
      </c>
      <c r="C13" s="101">
        <v>27433</v>
      </c>
      <c r="D13" s="101">
        <v>29</v>
      </c>
      <c r="E13" s="103">
        <v>44760</v>
      </c>
      <c r="F13" s="110" t="s">
        <v>108</v>
      </c>
      <c r="G13" s="110" t="s">
        <v>46</v>
      </c>
      <c r="H13" s="110" t="s">
        <v>122</v>
      </c>
      <c r="I13" s="106" t="s">
        <v>58</v>
      </c>
      <c r="J13" s="110" t="s">
        <v>110</v>
      </c>
      <c r="K13" s="110" t="s">
        <v>111</v>
      </c>
      <c r="L13" s="110" t="s">
        <v>348</v>
      </c>
      <c r="M13" s="110" t="s">
        <v>112</v>
      </c>
      <c r="N13" s="111"/>
      <c r="O13" s="111">
        <v>7</v>
      </c>
      <c r="P13" s="111">
        <v>7</v>
      </c>
      <c r="Q13" s="108">
        <v>0</v>
      </c>
      <c r="R13" s="106" t="s">
        <v>197</v>
      </c>
      <c r="S13" s="106"/>
      <c r="T13" s="106" t="s">
        <v>181</v>
      </c>
      <c r="U13" s="106" t="s">
        <v>186</v>
      </c>
    </row>
    <row r="14" spans="1:25" s="51" customFormat="1">
      <c r="A14" s="111">
        <v>2022</v>
      </c>
      <c r="B14" s="110" t="s">
        <v>360</v>
      </c>
      <c r="C14" s="101">
        <v>27434</v>
      </c>
      <c r="D14" s="101">
        <v>29</v>
      </c>
      <c r="E14" s="103">
        <v>44760</v>
      </c>
      <c r="F14" s="110" t="s">
        <v>108</v>
      </c>
      <c r="G14" s="110" t="s">
        <v>46</v>
      </c>
      <c r="H14" s="110" t="s">
        <v>114</v>
      </c>
      <c r="I14" s="106" t="s">
        <v>58</v>
      </c>
      <c r="J14" s="110" t="s">
        <v>110</v>
      </c>
      <c r="K14" s="110" t="s">
        <v>111</v>
      </c>
      <c r="L14" s="110" t="s">
        <v>348</v>
      </c>
      <c r="M14" s="110" t="s">
        <v>112</v>
      </c>
      <c r="N14" s="111"/>
      <c r="O14" s="111">
        <v>50</v>
      </c>
      <c r="P14" s="111">
        <v>50</v>
      </c>
      <c r="Q14" s="108">
        <v>0</v>
      </c>
      <c r="R14" s="106" t="s">
        <v>197</v>
      </c>
      <c r="S14" s="106"/>
      <c r="T14" s="106" t="s">
        <v>181</v>
      </c>
      <c r="U14" s="106" t="s">
        <v>186</v>
      </c>
    </row>
    <row r="15" spans="1:25" s="51" customFormat="1">
      <c r="A15" s="111">
        <v>2022</v>
      </c>
      <c r="B15" s="110" t="s">
        <v>361</v>
      </c>
      <c r="C15" s="101">
        <v>27435</v>
      </c>
      <c r="D15" s="101">
        <v>29</v>
      </c>
      <c r="E15" s="103">
        <v>44760</v>
      </c>
      <c r="F15" s="110" t="s">
        <v>108</v>
      </c>
      <c r="G15" s="110" t="s">
        <v>46</v>
      </c>
      <c r="H15" s="110" t="s">
        <v>114</v>
      </c>
      <c r="I15" s="106" t="s">
        <v>58</v>
      </c>
      <c r="J15" s="110" t="s">
        <v>110</v>
      </c>
      <c r="K15" s="110" t="s">
        <v>111</v>
      </c>
      <c r="L15" s="110" t="s">
        <v>348</v>
      </c>
      <c r="M15" s="110" t="s">
        <v>112</v>
      </c>
      <c r="N15" s="111"/>
      <c r="O15" s="111">
        <v>10</v>
      </c>
      <c r="P15" s="111">
        <v>10</v>
      </c>
      <c r="Q15" s="108">
        <v>0</v>
      </c>
      <c r="R15" s="106" t="s">
        <v>197</v>
      </c>
      <c r="S15" s="106"/>
      <c r="T15" s="106" t="s">
        <v>181</v>
      </c>
      <c r="U15" s="106" t="s">
        <v>186</v>
      </c>
    </row>
    <row r="16" spans="1:25" s="51" customFormat="1">
      <c r="A16" s="111">
        <v>2022</v>
      </c>
      <c r="B16" s="110" t="s">
        <v>362</v>
      </c>
      <c r="C16" s="101">
        <v>27436</v>
      </c>
      <c r="D16" s="101">
        <v>29</v>
      </c>
      <c r="E16" s="103">
        <v>44760</v>
      </c>
      <c r="F16" s="110" t="s">
        <v>108</v>
      </c>
      <c r="G16" s="110" t="s">
        <v>46</v>
      </c>
      <c r="H16" s="110" t="s">
        <v>114</v>
      </c>
      <c r="I16" s="106" t="s">
        <v>58</v>
      </c>
      <c r="J16" s="110" t="s">
        <v>110</v>
      </c>
      <c r="K16" s="110" t="s">
        <v>111</v>
      </c>
      <c r="L16" s="110" t="s">
        <v>195</v>
      </c>
      <c r="M16" s="110" t="s">
        <v>112</v>
      </c>
      <c r="N16" s="111"/>
      <c r="O16" s="111">
        <v>1</v>
      </c>
      <c r="P16" s="111">
        <v>1</v>
      </c>
      <c r="Q16" s="108">
        <v>0</v>
      </c>
      <c r="R16" s="106" t="s">
        <v>197</v>
      </c>
      <c r="S16" s="106"/>
      <c r="T16" s="106" t="s">
        <v>182</v>
      </c>
      <c r="U16" s="106" t="s">
        <v>187</v>
      </c>
    </row>
    <row r="17" spans="1:21" s="51" customFormat="1">
      <c r="A17" s="111">
        <v>2022</v>
      </c>
      <c r="B17" s="110" t="s">
        <v>363</v>
      </c>
      <c r="C17" s="101">
        <v>27437</v>
      </c>
      <c r="D17" s="101">
        <v>29</v>
      </c>
      <c r="E17" s="103">
        <v>44760</v>
      </c>
      <c r="F17" s="110" t="s">
        <v>108</v>
      </c>
      <c r="G17" s="110" t="s">
        <v>46</v>
      </c>
      <c r="H17" s="110" t="s">
        <v>115</v>
      </c>
      <c r="I17" s="106" t="s">
        <v>58</v>
      </c>
      <c r="J17" s="110" t="s">
        <v>110</v>
      </c>
      <c r="K17" s="110" t="s">
        <v>111</v>
      </c>
      <c r="L17" s="110" t="s">
        <v>348</v>
      </c>
      <c r="M17" s="110" t="s">
        <v>112</v>
      </c>
      <c r="N17" s="111"/>
      <c r="O17" s="111">
        <v>50</v>
      </c>
      <c r="P17" s="111">
        <v>50</v>
      </c>
      <c r="Q17" s="108">
        <v>0</v>
      </c>
      <c r="R17" s="106" t="s">
        <v>197</v>
      </c>
      <c r="S17" s="106"/>
      <c r="T17" s="106" t="s">
        <v>181</v>
      </c>
      <c r="U17" s="106" t="s">
        <v>186</v>
      </c>
    </row>
    <row r="18" spans="1:21" s="51" customFormat="1">
      <c r="A18" s="111">
        <v>2022</v>
      </c>
      <c r="B18" s="110" t="s">
        <v>364</v>
      </c>
      <c r="C18" s="101">
        <v>27438</v>
      </c>
      <c r="D18" s="101">
        <v>29</v>
      </c>
      <c r="E18" s="103">
        <v>44760</v>
      </c>
      <c r="F18" s="110" t="s">
        <v>108</v>
      </c>
      <c r="G18" s="110" t="s">
        <v>46</v>
      </c>
      <c r="H18" s="110" t="s">
        <v>115</v>
      </c>
      <c r="I18" s="106" t="s">
        <v>58</v>
      </c>
      <c r="J18" s="110" t="s">
        <v>110</v>
      </c>
      <c r="K18" s="110" t="s">
        <v>111</v>
      </c>
      <c r="L18" s="110" t="s">
        <v>348</v>
      </c>
      <c r="M18" s="110" t="s">
        <v>112</v>
      </c>
      <c r="N18" s="111"/>
      <c r="O18" s="111">
        <v>45</v>
      </c>
      <c r="P18" s="111">
        <v>45</v>
      </c>
      <c r="Q18" s="108">
        <v>0</v>
      </c>
      <c r="R18" s="106" t="s">
        <v>197</v>
      </c>
      <c r="S18" s="106"/>
      <c r="T18" s="106" t="s">
        <v>181</v>
      </c>
      <c r="U18" s="106" t="s">
        <v>186</v>
      </c>
    </row>
    <row r="19" spans="1:21" s="51" customFormat="1">
      <c r="A19" s="111">
        <v>2022</v>
      </c>
      <c r="B19" s="110" t="s">
        <v>365</v>
      </c>
      <c r="C19" s="101">
        <v>27439</v>
      </c>
      <c r="D19" s="101">
        <v>29</v>
      </c>
      <c r="E19" s="103">
        <v>44760</v>
      </c>
      <c r="F19" s="110" t="s">
        <v>108</v>
      </c>
      <c r="G19" s="110" t="s">
        <v>46</v>
      </c>
      <c r="H19" s="110" t="s">
        <v>115</v>
      </c>
      <c r="I19" s="106" t="s">
        <v>58</v>
      </c>
      <c r="J19" s="110" t="s">
        <v>110</v>
      </c>
      <c r="K19" s="110" t="s">
        <v>111</v>
      </c>
      <c r="L19" s="110" t="s">
        <v>195</v>
      </c>
      <c r="M19" s="110" t="s">
        <v>112</v>
      </c>
      <c r="N19" s="111"/>
      <c r="O19" s="111">
        <v>4</v>
      </c>
      <c r="P19" s="111">
        <v>4</v>
      </c>
      <c r="Q19" s="108">
        <v>0</v>
      </c>
      <c r="R19" s="106" t="s">
        <v>197</v>
      </c>
      <c r="S19" s="106"/>
      <c r="T19" s="106" t="s">
        <v>182</v>
      </c>
      <c r="U19" s="106" t="s">
        <v>187</v>
      </c>
    </row>
    <row r="20" spans="1:21" s="51" customFormat="1">
      <c r="A20" s="111">
        <v>2022</v>
      </c>
      <c r="B20" s="110" t="s">
        <v>366</v>
      </c>
      <c r="C20" s="101">
        <v>27440</v>
      </c>
      <c r="D20" s="101">
        <v>29</v>
      </c>
      <c r="E20" s="103">
        <v>44760</v>
      </c>
      <c r="F20" s="110" t="s">
        <v>108</v>
      </c>
      <c r="G20" s="110" t="s">
        <v>46</v>
      </c>
      <c r="H20" s="110" t="s">
        <v>116</v>
      </c>
      <c r="I20" s="106" t="s">
        <v>58</v>
      </c>
      <c r="J20" s="110" t="s">
        <v>110</v>
      </c>
      <c r="K20" s="110" t="s">
        <v>111</v>
      </c>
      <c r="L20" s="110" t="s">
        <v>348</v>
      </c>
      <c r="M20" s="110" t="s">
        <v>112</v>
      </c>
      <c r="N20" s="111"/>
      <c r="O20" s="111">
        <v>50</v>
      </c>
      <c r="P20" s="111">
        <v>50</v>
      </c>
      <c r="Q20" s="108">
        <v>0</v>
      </c>
      <c r="R20" s="106" t="s">
        <v>197</v>
      </c>
      <c r="S20" s="106"/>
      <c r="T20" s="106" t="s">
        <v>181</v>
      </c>
      <c r="U20" s="106" t="s">
        <v>186</v>
      </c>
    </row>
    <row r="21" spans="1:21" s="51" customFormat="1">
      <c r="A21" s="111">
        <v>2022</v>
      </c>
      <c r="B21" s="110" t="s">
        <v>367</v>
      </c>
      <c r="C21" s="101">
        <v>27441</v>
      </c>
      <c r="D21" s="101">
        <v>29</v>
      </c>
      <c r="E21" s="103">
        <v>44760</v>
      </c>
      <c r="F21" s="110" t="s">
        <v>108</v>
      </c>
      <c r="G21" s="110" t="s">
        <v>46</v>
      </c>
      <c r="H21" s="110" t="s">
        <v>116</v>
      </c>
      <c r="I21" s="106" t="s">
        <v>58</v>
      </c>
      <c r="J21" s="110" t="s">
        <v>110</v>
      </c>
      <c r="K21" s="110" t="s">
        <v>111</v>
      </c>
      <c r="L21" s="110" t="s">
        <v>348</v>
      </c>
      <c r="M21" s="110" t="s">
        <v>112</v>
      </c>
      <c r="N21" s="111"/>
      <c r="O21" s="111">
        <v>50</v>
      </c>
      <c r="P21" s="111">
        <v>50</v>
      </c>
      <c r="Q21" s="108">
        <v>0</v>
      </c>
      <c r="R21" s="106" t="s">
        <v>197</v>
      </c>
      <c r="S21" s="106"/>
      <c r="T21" s="106" t="s">
        <v>181</v>
      </c>
      <c r="U21" s="106" t="s">
        <v>186</v>
      </c>
    </row>
    <row r="22" spans="1:21" s="51" customFormat="1">
      <c r="A22" s="111">
        <v>2022</v>
      </c>
      <c r="B22" s="110" t="s">
        <v>368</v>
      </c>
      <c r="C22" s="101">
        <v>27442</v>
      </c>
      <c r="D22" s="101">
        <v>29</v>
      </c>
      <c r="E22" s="103">
        <v>44760</v>
      </c>
      <c r="F22" s="110" t="s">
        <v>108</v>
      </c>
      <c r="G22" s="110" t="s">
        <v>46</v>
      </c>
      <c r="H22" s="110" t="s">
        <v>116</v>
      </c>
      <c r="I22" s="106" t="s">
        <v>58</v>
      </c>
      <c r="J22" s="110" t="s">
        <v>110</v>
      </c>
      <c r="K22" s="110" t="s">
        <v>111</v>
      </c>
      <c r="L22" s="110" t="s">
        <v>348</v>
      </c>
      <c r="M22" s="110" t="s">
        <v>112</v>
      </c>
      <c r="N22" s="111"/>
      <c r="O22" s="111">
        <v>50</v>
      </c>
      <c r="P22" s="111">
        <v>50</v>
      </c>
      <c r="Q22" s="108">
        <v>0</v>
      </c>
      <c r="R22" s="106" t="s">
        <v>197</v>
      </c>
      <c r="S22" s="106"/>
      <c r="T22" s="106" t="s">
        <v>181</v>
      </c>
      <c r="U22" s="106" t="s">
        <v>186</v>
      </c>
    </row>
    <row r="23" spans="1:21" s="51" customFormat="1">
      <c r="A23" s="111">
        <v>2022</v>
      </c>
      <c r="B23" s="110" t="s">
        <v>369</v>
      </c>
      <c r="C23" s="101">
        <v>27443</v>
      </c>
      <c r="D23" s="101">
        <v>29</v>
      </c>
      <c r="E23" s="103">
        <v>44760</v>
      </c>
      <c r="F23" s="110" t="s">
        <v>108</v>
      </c>
      <c r="G23" s="110" t="s">
        <v>46</v>
      </c>
      <c r="H23" s="110" t="s">
        <v>116</v>
      </c>
      <c r="I23" s="106" t="s">
        <v>58</v>
      </c>
      <c r="J23" s="110" t="s">
        <v>110</v>
      </c>
      <c r="K23" s="110" t="s">
        <v>111</v>
      </c>
      <c r="L23" s="110" t="s">
        <v>348</v>
      </c>
      <c r="M23" s="110" t="s">
        <v>112</v>
      </c>
      <c r="N23" s="111"/>
      <c r="O23" s="111">
        <v>50</v>
      </c>
      <c r="P23" s="111">
        <v>50</v>
      </c>
      <c r="Q23" s="108">
        <v>0</v>
      </c>
      <c r="R23" s="106" t="s">
        <v>197</v>
      </c>
      <c r="S23" s="106"/>
      <c r="T23" s="106" t="s">
        <v>181</v>
      </c>
      <c r="U23" s="106" t="s">
        <v>186</v>
      </c>
    </row>
    <row r="24" spans="1:21" s="51" customFormat="1">
      <c r="A24" s="111">
        <v>2022</v>
      </c>
      <c r="B24" s="110" t="s">
        <v>370</v>
      </c>
      <c r="C24" s="101">
        <v>27444</v>
      </c>
      <c r="D24" s="101">
        <v>29</v>
      </c>
      <c r="E24" s="103">
        <v>44760</v>
      </c>
      <c r="F24" s="110" t="s">
        <v>108</v>
      </c>
      <c r="G24" s="110" t="s">
        <v>46</v>
      </c>
      <c r="H24" s="110" t="s">
        <v>116</v>
      </c>
      <c r="I24" s="106" t="s">
        <v>58</v>
      </c>
      <c r="J24" s="110" t="s">
        <v>110</v>
      </c>
      <c r="K24" s="110" t="s">
        <v>111</v>
      </c>
      <c r="L24" s="110" t="s">
        <v>348</v>
      </c>
      <c r="M24" s="110" t="s">
        <v>112</v>
      </c>
      <c r="N24" s="111"/>
      <c r="O24" s="111">
        <v>50</v>
      </c>
      <c r="P24" s="111">
        <v>50</v>
      </c>
      <c r="Q24" s="108">
        <v>0</v>
      </c>
      <c r="R24" s="106" t="s">
        <v>197</v>
      </c>
      <c r="S24" s="106"/>
      <c r="T24" s="106" t="s">
        <v>181</v>
      </c>
      <c r="U24" s="106" t="s">
        <v>186</v>
      </c>
    </row>
    <row r="25" spans="1:21" s="51" customFormat="1">
      <c r="A25" s="111">
        <v>2022</v>
      </c>
      <c r="B25" s="110" t="s">
        <v>371</v>
      </c>
      <c r="C25" s="101">
        <v>27445</v>
      </c>
      <c r="D25" s="101">
        <v>29</v>
      </c>
      <c r="E25" s="103">
        <v>44760</v>
      </c>
      <c r="F25" s="110" t="s">
        <v>108</v>
      </c>
      <c r="G25" s="110" t="s">
        <v>46</v>
      </c>
      <c r="H25" s="110" t="s">
        <v>116</v>
      </c>
      <c r="I25" s="106" t="s">
        <v>58</v>
      </c>
      <c r="J25" s="110" t="s">
        <v>110</v>
      </c>
      <c r="K25" s="110" t="s">
        <v>111</v>
      </c>
      <c r="L25" s="110" t="s">
        <v>348</v>
      </c>
      <c r="M25" s="110" t="s">
        <v>112</v>
      </c>
      <c r="N25" s="111"/>
      <c r="O25" s="111">
        <v>40</v>
      </c>
      <c r="P25" s="111">
        <v>40</v>
      </c>
      <c r="Q25" s="108">
        <v>0</v>
      </c>
      <c r="R25" s="106" t="s">
        <v>197</v>
      </c>
      <c r="S25" s="106"/>
      <c r="T25" s="106" t="s">
        <v>181</v>
      </c>
      <c r="U25" s="106" t="s">
        <v>186</v>
      </c>
    </row>
    <row r="26" spans="1:21" s="51" customFormat="1">
      <c r="A26" s="111">
        <v>2022</v>
      </c>
      <c r="B26" s="110" t="s">
        <v>372</v>
      </c>
      <c r="C26" s="101">
        <v>27446</v>
      </c>
      <c r="D26" s="101">
        <v>29</v>
      </c>
      <c r="E26" s="103">
        <v>44760</v>
      </c>
      <c r="F26" s="110" t="s">
        <v>108</v>
      </c>
      <c r="G26" s="110" t="s">
        <v>46</v>
      </c>
      <c r="H26" s="110" t="s">
        <v>124</v>
      </c>
      <c r="I26" s="106" t="s">
        <v>58</v>
      </c>
      <c r="J26" s="110" t="s">
        <v>110</v>
      </c>
      <c r="K26" s="110" t="s">
        <v>111</v>
      </c>
      <c r="L26" s="110" t="s">
        <v>348</v>
      </c>
      <c r="M26" s="110" t="s">
        <v>112</v>
      </c>
      <c r="N26" s="111"/>
      <c r="O26" s="111">
        <v>50</v>
      </c>
      <c r="P26" s="111">
        <v>50</v>
      </c>
      <c r="Q26" s="108">
        <v>0</v>
      </c>
      <c r="R26" s="106" t="s">
        <v>197</v>
      </c>
      <c r="S26" s="106"/>
      <c r="T26" s="106" t="s">
        <v>181</v>
      </c>
      <c r="U26" s="106" t="s">
        <v>186</v>
      </c>
    </row>
    <row r="27" spans="1:21" s="51" customFormat="1">
      <c r="A27" s="111">
        <v>2022</v>
      </c>
      <c r="B27" s="110" t="s">
        <v>373</v>
      </c>
      <c r="C27" s="101">
        <v>27447</v>
      </c>
      <c r="D27" s="101">
        <v>29</v>
      </c>
      <c r="E27" s="103">
        <v>44760</v>
      </c>
      <c r="F27" s="110" t="s">
        <v>108</v>
      </c>
      <c r="G27" s="110" t="s">
        <v>46</v>
      </c>
      <c r="H27" s="110" t="s">
        <v>124</v>
      </c>
      <c r="I27" s="106" t="s">
        <v>58</v>
      </c>
      <c r="J27" s="110" t="s">
        <v>110</v>
      </c>
      <c r="K27" s="110" t="s">
        <v>111</v>
      </c>
      <c r="L27" s="110" t="s">
        <v>348</v>
      </c>
      <c r="M27" s="110" t="s">
        <v>112</v>
      </c>
      <c r="N27" s="111"/>
      <c r="O27" s="111">
        <v>50</v>
      </c>
      <c r="P27" s="111">
        <v>50</v>
      </c>
      <c r="Q27" s="108">
        <v>0</v>
      </c>
      <c r="R27" s="106" t="s">
        <v>197</v>
      </c>
      <c r="S27" s="106"/>
      <c r="T27" s="106" t="s">
        <v>181</v>
      </c>
      <c r="U27" s="106" t="s">
        <v>186</v>
      </c>
    </row>
    <row r="28" spans="1:21" s="51" customFormat="1">
      <c r="A28" s="111">
        <v>2022</v>
      </c>
      <c r="B28" s="110" t="s">
        <v>374</v>
      </c>
      <c r="C28" s="101">
        <v>27448</v>
      </c>
      <c r="D28" s="101">
        <v>29</v>
      </c>
      <c r="E28" s="103">
        <v>44760</v>
      </c>
      <c r="F28" s="110" t="s">
        <v>108</v>
      </c>
      <c r="G28" s="110" t="s">
        <v>46</v>
      </c>
      <c r="H28" s="110" t="s">
        <v>124</v>
      </c>
      <c r="I28" s="106" t="s">
        <v>58</v>
      </c>
      <c r="J28" s="110" t="s">
        <v>110</v>
      </c>
      <c r="K28" s="110" t="s">
        <v>111</v>
      </c>
      <c r="L28" s="110" t="s">
        <v>348</v>
      </c>
      <c r="M28" s="110" t="s">
        <v>112</v>
      </c>
      <c r="N28" s="111"/>
      <c r="O28" s="111">
        <v>46</v>
      </c>
      <c r="P28" s="111">
        <v>46</v>
      </c>
      <c r="Q28" s="108">
        <v>0</v>
      </c>
      <c r="R28" s="106" t="s">
        <v>197</v>
      </c>
      <c r="S28" s="106"/>
      <c r="T28" s="106" t="s">
        <v>181</v>
      </c>
      <c r="U28" s="106" t="s">
        <v>186</v>
      </c>
    </row>
    <row r="29" spans="1:21" s="51" customFormat="1">
      <c r="A29" s="111">
        <v>2022</v>
      </c>
      <c r="B29" s="110" t="s">
        <v>375</v>
      </c>
      <c r="C29" s="101">
        <v>27449</v>
      </c>
      <c r="D29" s="101">
        <v>29</v>
      </c>
      <c r="E29" s="103">
        <v>44760</v>
      </c>
      <c r="F29" s="110" t="s">
        <v>108</v>
      </c>
      <c r="G29" s="110" t="s">
        <v>46</v>
      </c>
      <c r="H29" s="110" t="s">
        <v>124</v>
      </c>
      <c r="I29" s="106" t="s">
        <v>58</v>
      </c>
      <c r="J29" s="110" t="s">
        <v>110</v>
      </c>
      <c r="K29" s="110" t="s">
        <v>111</v>
      </c>
      <c r="L29" s="110" t="s">
        <v>195</v>
      </c>
      <c r="M29" s="110" t="s">
        <v>112</v>
      </c>
      <c r="N29" s="111"/>
      <c r="O29" s="111">
        <v>2</v>
      </c>
      <c r="P29" s="111">
        <v>2</v>
      </c>
      <c r="Q29" s="108">
        <v>0</v>
      </c>
      <c r="R29" s="106" t="s">
        <v>197</v>
      </c>
      <c r="S29" s="106"/>
      <c r="T29" s="106" t="s">
        <v>182</v>
      </c>
      <c r="U29" s="106" t="s">
        <v>187</v>
      </c>
    </row>
    <row r="30" spans="1:21" s="51" customFormat="1">
      <c r="A30" s="111">
        <v>2022</v>
      </c>
      <c r="B30" s="110" t="s">
        <v>376</v>
      </c>
      <c r="C30" s="101">
        <v>27450</v>
      </c>
      <c r="D30" s="101">
        <v>29</v>
      </c>
      <c r="E30" s="103">
        <v>44760</v>
      </c>
      <c r="F30" s="110" t="s">
        <v>108</v>
      </c>
      <c r="G30" s="110" t="s">
        <v>46</v>
      </c>
      <c r="H30" s="110" t="s">
        <v>120</v>
      </c>
      <c r="I30" s="106" t="s">
        <v>57</v>
      </c>
      <c r="J30" s="110" t="s">
        <v>110</v>
      </c>
      <c r="K30" s="110" t="s">
        <v>111</v>
      </c>
      <c r="L30" s="110" t="s">
        <v>348</v>
      </c>
      <c r="M30" s="110" t="s">
        <v>112</v>
      </c>
      <c r="N30" s="111"/>
      <c r="O30" s="111">
        <v>11</v>
      </c>
      <c r="P30" s="111">
        <v>11</v>
      </c>
      <c r="Q30" s="108">
        <v>0</v>
      </c>
      <c r="R30" s="106" t="s">
        <v>197</v>
      </c>
      <c r="S30" s="106"/>
      <c r="T30" s="106" t="s">
        <v>181</v>
      </c>
      <c r="U30" s="106" t="s">
        <v>188</v>
      </c>
    </row>
    <row r="31" spans="1:21" s="51" customFormat="1">
      <c r="A31" s="111">
        <v>2022</v>
      </c>
      <c r="B31" s="110" t="s">
        <v>377</v>
      </c>
      <c r="C31" s="101">
        <v>27451</v>
      </c>
      <c r="D31" s="101">
        <v>29</v>
      </c>
      <c r="E31" s="103">
        <v>44760</v>
      </c>
      <c r="F31" s="110" t="s">
        <v>108</v>
      </c>
      <c r="G31" s="110" t="s">
        <v>46</v>
      </c>
      <c r="H31" s="110" t="s">
        <v>125</v>
      </c>
      <c r="I31" s="106" t="s">
        <v>58</v>
      </c>
      <c r="J31" s="110" t="s">
        <v>110</v>
      </c>
      <c r="K31" s="110" t="s">
        <v>111</v>
      </c>
      <c r="L31" s="110" t="s">
        <v>348</v>
      </c>
      <c r="M31" s="110" t="s">
        <v>112</v>
      </c>
      <c r="N31" s="111"/>
      <c r="O31" s="111">
        <v>50</v>
      </c>
      <c r="P31" s="111">
        <v>50</v>
      </c>
      <c r="Q31" s="108">
        <v>0</v>
      </c>
      <c r="R31" s="106" t="s">
        <v>197</v>
      </c>
      <c r="S31" s="106"/>
      <c r="T31" s="106" t="s">
        <v>181</v>
      </c>
      <c r="U31" s="106" t="s">
        <v>186</v>
      </c>
    </row>
    <row r="32" spans="1:21" s="51" customFormat="1">
      <c r="A32" s="111">
        <v>2022</v>
      </c>
      <c r="B32" s="110" t="s">
        <v>378</v>
      </c>
      <c r="C32" s="101">
        <v>27452</v>
      </c>
      <c r="D32" s="101">
        <v>29</v>
      </c>
      <c r="E32" s="103">
        <v>44760</v>
      </c>
      <c r="F32" s="110" t="s">
        <v>108</v>
      </c>
      <c r="G32" s="110" t="s">
        <v>46</v>
      </c>
      <c r="H32" s="110" t="s">
        <v>125</v>
      </c>
      <c r="I32" s="106" t="s">
        <v>58</v>
      </c>
      <c r="J32" s="110" t="s">
        <v>110</v>
      </c>
      <c r="K32" s="110" t="s">
        <v>111</v>
      </c>
      <c r="L32" s="110" t="s">
        <v>348</v>
      </c>
      <c r="M32" s="110" t="s">
        <v>112</v>
      </c>
      <c r="N32" s="111"/>
      <c r="O32" s="111">
        <v>50</v>
      </c>
      <c r="P32" s="111">
        <v>50</v>
      </c>
      <c r="Q32" s="108">
        <v>0</v>
      </c>
      <c r="R32" s="106" t="s">
        <v>197</v>
      </c>
      <c r="S32" s="106"/>
      <c r="T32" s="106" t="s">
        <v>181</v>
      </c>
      <c r="U32" s="106" t="s">
        <v>186</v>
      </c>
    </row>
    <row r="33" spans="1:21" s="51" customFormat="1">
      <c r="A33" s="111">
        <v>2022</v>
      </c>
      <c r="B33" s="110" t="s">
        <v>379</v>
      </c>
      <c r="C33" s="101">
        <v>27453</v>
      </c>
      <c r="D33" s="101">
        <v>29</v>
      </c>
      <c r="E33" s="103">
        <v>44760</v>
      </c>
      <c r="F33" s="110" t="s">
        <v>108</v>
      </c>
      <c r="G33" s="110" t="s">
        <v>46</v>
      </c>
      <c r="H33" s="110" t="s">
        <v>125</v>
      </c>
      <c r="I33" s="106" t="s">
        <v>58</v>
      </c>
      <c r="J33" s="110" t="s">
        <v>110</v>
      </c>
      <c r="K33" s="110" t="s">
        <v>111</v>
      </c>
      <c r="L33" s="110" t="s">
        <v>348</v>
      </c>
      <c r="M33" s="110" t="s">
        <v>112</v>
      </c>
      <c r="N33" s="111"/>
      <c r="O33" s="111">
        <v>50</v>
      </c>
      <c r="P33" s="111">
        <v>50</v>
      </c>
      <c r="Q33" s="108">
        <v>0</v>
      </c>
      <c r="R33" s="106" t="s">
        <v>197</v>
      </c>
      <c r="S33" s="106"/>
      <c r="T33" s="106" t="s">
        <v>181</v>
      </c>
      <c r="U33" s="106" t="s">
        <v>186</v>
      </c>
    </row>
    <row r="34" spans="1:21" s="51" customFormat="1">
      <c r="A34" s="111">
        <v>2022</v>
      </c>
      <c r="B34" s="110" t="s">
        <v>380</v>
      </c>
      <c r="C34" s="101">
        <v>27454</v>
      </c>
      <c r="D34" s="101">
        <v>29</v>
      </c>
      <c r="E34" s="103">
        <v>44760</v>
      </c>
      <c r="F34" s="110" t="s">
        <v>108</v>
      </c>
      <c r="G34" s="110" t="s">
        <v>46</v>
      </c>
      <c r="H34" s="110" t="s">
        <v>125</v>
      </c>
      <c r="I34" s="106" t="s">
        <v>58</v>
      </c>
      <c r="J34" s="110" t="s">
        <v>110</v>
      </c>
      <c r="K34" s="110" t="s">
        <v>111</v>
      </c>
      <c r="L34" s="110" t="s">
        <v>348</v>
      </c>
      <c r="M34" s="110" t="s">
        <v>112</v>
      </c>
      <c r="N34" s="111"/>
      <c r="O34" s="111">
        <v>28</v>
      </c>
      <c r="P34" s="111">
        <v>28</v>
      </c>
      <c r="Q34" s="108">
        <v>0</v>
      </c>
      <c r="R34" s="106" t="s">
        <v>197</v>
      </c>
      <c r="S34" s="106"/>
      <c r="T34" s="106" t="s">
        <v>181</v>
      </c>
      <c r="U34" s="106" t="s">
        <v>186</v>
      </c>
    </row>
    <row r="35" spans="1:21" s="51" customFormat="1">
      <c r="A35" s="111">
        <v>2022</v>
      </c>
      <c r="B35" s="110" t="s">
        <v>381</v>
      </c>
      <c r="C35" s="101">
        <v>27455</v>
      </c>
      <c r="D35" s="101">
        <v>29</v>
      </c>
      <c r="E35" s="103">
        <v>44760</v>
      </c>
      <c r="F35" s="110" t="s">
        <v>108</v>
      </c>
      <c r="G35" s="110" t="s">
        <v>46</v>
      </c>
      <c r="H35" s="110" t="s">
        <v>125</v>
      </c>
      <c r="I35" s="106" t="s">
        <v>58</v>
      </c>
      <c r="J35" s="110" t="s">
        <v>110</v>
      </c>
      <c r="K35" s="110" t="s">
        <v>111</v>
      </c>
      <c r="L35" s="110" t="s">
        <v>195</v>
      </c>
      <c r="M35" s="110" t="s">
        <v>112</v>
      </c>
      <c r="N35" s="111"/>
      <c r="O35" s="111">
        <v>13</v>
      </c>
      <c r="P35" s="111">
        <v>13</v>
      </c>
      <c r="Q35" s="108">
        <v>0</v>
      </c>
      <c r="R35" s="106" t="s">
        <v>197</v>
      </c>
      <c r="S35" s="106"/>
      <c r="T35" s="106" t="s">
        <v>182</v>
      </c>
      <c r="U35" s="106" t="s">
        <v>187</v>
      </c>
    </row>
    <row r="36" spans="1:21" s="51" customFormat="1">
      <c r="A36" s="111">
        <v>2022</v>
      </c>
      <c r="B36" s="110" t="s">
        <v>382</v>
      </c>
      <c r="C36" s="101">
        <v>27456</v>
      </c>
      <c r="D36" s="101">
        <v>29</v>
      </c>
      <c r="E36" s="103">
        <v>44760</v>
      </c>
      <c r="F36" s="110" t="s">
        <v>108</v>
      </c>
      <c r="G36" s="110" t="s">
        <v>46</v>
      </c>
      <c r="H36" s="110" t="s">
        <v>127</v>
      </c>
      <c r="I36" s="106" t="s">
        <v>58</v>
      </c>
      <c r="J36" s="110" t="s">
        <v>110</v>
      </c>
      <c r="K36" s="110" t="s">
        <v>111</v>
      </c>
      <c r="L36" s="110" t="s">
        <v>348</v>
      </c>
      <c r="M36" s="110" t="s">
        <v>112</v>
      </c>
      <c r="N36" s="111"/>
      <c r="O36" s="111">
        <v>50</v>
      </c>
      <c r="P36" s="111">
        <v>50</v>
      </c>
      <c r="Q36" s="108">
        <v>0</v>
      </c>
      <c r="R36" s="106" t="s">
        <v>197</v>
      </c>
      <c r="S36" s="106"/>
      <c r="T36" s="106" t="s">
        <v>181</v>
      </c>
      <c r="U36" s="106" t="s">
        <v>186</v>
      </c>
    </row>
    <row r="37" spans="1:21" s="51" customFormat="1">
      <c r="A37" s="111">
        <v>2022</v>
      </c>
      <c r="B37" s="110" t="s">
        <v>383</v>
      </c>
      <c r="C37" s="101">
        <v>27457</v>
      </c>
      <c r="D37" s="101">
        <v>29</v>
      </c>
      <c r="E37" s="103">
        <v>44760</v>
      </c>
      <c r="F37" s="110" t="s">
        <v>108</v>
      </c>
      <c r="G37" s="110" t="s">
        <v>46</v>
      </c>
      <c r="H37" s="110" t="s">
        <v>127</v>
      </c>
      <c r="I37" s="106" t="s">
        <v>58</v>
      </c>
      <c r="J37" s="110" t="s">
        <v>110</v>
      </c>
      <c r="K37" s="110" t="s">
        <v>111</v>
      </c>
      <c r="L37" s="110" t="s">
        <v>348</v>
      </c>
      <c r="M37" s="110" t="s">
        <v>112</v>
      </c>
      <c r="N37" s="111"/>
      <c r="O37" s="111">
        <v>50</v>
      </c>
      <c r="P37" s="111">
        <v>50</v>
      </c>
      <c r="Q37" s="108">
        <v>0</v>
      </c>
      <c r="R37" s="106" t="s">
        <v>197</v>
      </c>
      <c r="S37" s="106"/>
      <c r="T37" s="106" t="s">
        <v>181</v>
      </c>
      <c r="U37" s="106" t="s">
        <v>186</v>
      </c>
    </row>
    <row r="38" spans="1:21" s="51" customFormat="1">
      <c r="A38" s="111">
        <v>2022</v>
      </c>
      <c r="B38" s="110" t="s">
        <v>384</v>
      </c>
      <c r="C38" s="101">
        <v>27458</v>
      </c>
      <c r="D38" s="101">
        <v>29</v>
      </c>
      <c r="E38" s="103">
        <v>44760</v>
      </c>
      <c r="F38" s="110" t="s">
        <v>108</v>
      </c>
      <c r="G38" s="110" t="s">
        <v>46</v>
      </c>
      <c r="H38" s="110" t="s">
        <v>127</v>
      </c>
      <c r="I38" s="106" t="s">
        <v>58</v>
      </c>
      <c r="J38" s="110" t="s">
        <v>110</v>
      </c>
      <c r="K38" s="110" t="s">
        <v>111</v>
      </c>
      <c r="L38" s="110" t="s">
        <v>348</v>
      </c>
      <c r="M38" s="110" t="s">
        <v>112</v>
      </c>
      <c r="N38" s="111"/>
      <c r="O38" s="111">
        <v>15</v>
      </c>
      <c r="P38" s="111">
        <v>15</v>
      </c>
      <c r="Q38" s="108">
        <v>0</v>
      </c>
      <c r="R38" s="106" t="s">
        <v>197</v>
      </c>
      <c r="S38" s="106"/>
      <c r="T38" s="106" t="s">
        <v>181</v>
      </c>
      <c r="U38" s="106" t="s">
        <v>186</v>
      </c>
    </row>
    <row r="39" spans="1:21" s="51" customFormat="1">
      <c r="A39" s="111">
        <v>2022</v>
      </c>
      <c r="B39" s="110" t="s">
        <v>385</v>
      </c>
      <c r="C39" s="101">
        <v>27459</v>
      </c>
      <c r="D39" s="101">
        <v>29</v>
      </c>
      <c r="E39" s="103">
        <v>44760</v>
      </c>
      <c r="F39" s="110" t="s">
        <v>108</v>
      </c>
      <c r="G39" s="110" t="s">
        <v>46</v>
      </c>
      <c r="H39" s="110" t="s">
        <v>127</v>
      </c>
      <c r="I39" s="106" t="s">
        <v>58</v>
      </c>
      <c r="J39" s="110" t="s">
        <v>110</v>
      </c>
      <c r="K39" s="110" t="s">
        <v>111</v>
      </c>
      <c r="L39" s="110" t="s">
        <v>195</v>
      </c>
      <c r="M39" s="110" t="s">
        <v>112</v>
      </c>
      <c r="N39" s="111"/>
      <c r="O39" s="111">
        <v>8</v>
      </c>
      <c r="P39" s="111">
        <v>8</v>
      </c>
      <c r="Q39" s="108">
        <v>0</v>
      </c>
      <c r="R39" s="106" t="s">
        <v>197</v>
      </c>
      <c r="S39" s="106"/>
      <c r="T39" s="106" t="s">
        <v>182</v>
      </c>
      <c r="U39" s="106" t="s">
        <v>187</v>
      </c>
    </row>
    <row r="40" spans="1:21" s="51" customFormat="1">
      <c r="A40" s="111">
        <v>2022</v>
      </c>
      <c r="B40" s="110" t="s">
        <v>386</v>
      </c>
      <c r="C40" s="101">
        <v>27460</v>
      </c>
      <c r="D40" s="101">
        <v>29</v>
      </c>
      <c r="E40" s="103">
        <v>44760</v>
      </c>
      <c r="F40" s="110" t="s">
        <v>108</v>
      </c>
      <c r="G40" s="110" t="s">
        <v>46</v>
      </c>
      <c r="H40" s="110" t="s">
        <v>129</v>
      </c>
      <c r="I40" s="106" t="s">
        <v>58</v>
      </c>
      <c r="J40" s="110" t="s">
        <v>110</v>
      </c>
      <c r="K40" s="110" t="s">
        <v>111</v>
      </c>
      <c r="L40" s="110" t="s">
        <v>348</v>
      </c>
      <c r="M40" s="110" t="s">
        <v>112</v>
      </c>
      <c r="N40" s="111"/>
      <c r="O40" s="111">
        <v>50</v>
      </c>
      <c r="P40" s="111">
        <v>50</v>
      </c>
      <c r="Q40" s="108">
        <v>0</v>
      </c>
      <c r="R40" s="106" t="s">
        <v>197</v>
      </c>
      <c r="S40" s="106"/>
      <c r="T40" s="106" t="s">
        <v>181</v>
      </c>
      <c r="U40" s="106" t="s">
        <v>186</v>
      </c>
    </row>
    <row r="41" spans="1:21" s="51" customFormat="1">
      <c r="A41" s="111">
        <v>2022</v>
      </c>
      <c r="B41" s="110" t="s">
        <v>387</v>
      </c>
      <c r="C41" s="101">
        <v>27461</v>
      </c>
      <c r="D41" s="101">
        <v>29</v>
      </c>
      <c r="E41" s="103">
        <v>44760</v>
      </c>
      <c r="F41" s="110" t="s">
        <v>108</v>
      </c>
      <c r="G41" s="110" t="s">
        <v>46</v>
      </c>
      <c r="H41" s="110" t="s">
        <v>129</v>
      </c>
      <c r="I41" s="106" t="s">
        <v>58</v>
      </c>
      <c r="J41" s="110" t="s">
        <v>110</v>
      </c>
      <c r="K41" s="110" t="s">
        <v>111</v>
      </c>
      <c r="L41" s="110" t="s">
        <v>348</v>
      </c>
      <c r="M41" s="110" t="s">
        <v>112</v>
      </c>
      <c r="N41" s="111"/>
      <c r="O41" s="111">
        <v>50</v>
      </c>
      <c r="P41" s="111">
        <v>50</v>
      </c>
      <c r="Q41" s="108">
        <v>0</v>
      </c>
      <c r="R41" s="106" t="s">
        <v>197</v>
      </c>
      <c r="S41" s="106"/>
      <c r="T41" s="106" t="s">
        <v>181</v>
      </c>
      <c r="U41" s="106" t="s">
        <v>186</v>
      </c>
    </row>
    <row r="42" spans="1:21" s="51" customFormat="1">
      <c r="A42" s="111">
        <v>2022</v>
      </c>
      <c r="B42" s="110" t="s">
        <v>388</v>
      </c>
      <c r="C42" s="101">
        <v>27462</v>
      </c>
      <c r="D42" s="101">
        <v>29</v>
      </c>
      <c r="E42" s="103">
        <v>44760</v>
      </c>
      <c r="F42" s="110" t="s">
        <v>108</v>
      </c>
      <c r="G42" s="110" t="s">
        <v>46</v>
      </c>
      <c r="H42" s="110" t="s">
        <v>129</v>
      </c>
      <c r="I42" s="106" t="s">
        <v>58</v>
      </c>
      <c r="J42" s="110" t="s">
        <v>110</v>
      </c>
      <c r="K42" s="110" t="s">
        <v>111</v>
      </c>
      <c r="L42" s="110" t="s">
        <v>348</v>
      </c>
      <c r="M42" s="110" t="s">
        <v>112</v>
      </c>
      <c r="N42" s="111"/>
      <c r="O42" s="111">
        <v>50</v>
      </c>
      <c r="P42" s="111">
        <v>50</v>
      </c>
      <c r="Q42" s="108">
        <v>0</v>
      </c>
      <c r="R42" s="106" t="s">
        <v>197</v>
      </c>
      <c r="S42" s="106"/>
      <c r="T42" s="106" t="s">
        <v>181</v>
      </c>
      <c r="U42" s="106" t="s">
        <v>186</v>
      </c>
    </row>
    <row r="43" spans="1:21" s="51" customFormat="1">
      <c r="A43" s="111">
        <v>2022</v>
      </c>
      <c r="B43" s="110" t="s">
        <v>389</v>
      </c>
      <c r="C43" s="101">
        <v>27463</v>
      </c>
      <c r="D43" s="101">
        <v>29</v>
      </c>
      <c r="E43" s="103">
        <v>44760</v>
      </c>
      <c r="F43" s="110" t="s">
        <v>108</v>
      </c>
      <c r="G43" s="110" t="s">
        <v>46</v>
      </c>
      <c r="H43" s="110" t="s">
        <v>129</v>
      </c>
      <c r="I43" s="106" t="s">
        <v>58</v>
      </c>
      <c r="J43" s="110" t="s">
        <v>110</v>
      </c>
      <c r="K43" s="110" t="s">
        <v>111</v>
      </c>
      <c r="L43" s="110" t="s">
        <v>348</v>
      </c>
      <c r="M43" s="110" t="s">
        <v>112</v>
      </c>
      <c r="N43" s="111"/>
      <c r="O43" s="111">
        <v>50</v>
      </c>
      <c r="P43" s="111">
        <v>50</v>
      </c>
      <c r="Q43" s="108">
        <v>0</v>
      </c>
      <c r="R43" s="106" t="s">
        <v>197</v>
      </c>
      <c r="S43" s="106"/>
      <c r="T43" s="106" t="s">
        <v>181</v>
      </c>
      <c r="U43" s="106" t="s">
        <v>186</v>
      </c>
    </row>
    <row r="44" spans="1:21" s="51" customFormat="1">
      <c r="A44" s="111">
        <v>2022</v>
      </c>
      <c r="B44" s="110" t="s">
        <v>390</v>
      </c>
      <c r="C44" s="101">
        <v>27464</v>
      </c>
      <c r="D44" s="101">
        <v>29</v>
      </c>
      <c r="E44" s="103">
        <v>44760</v>
      </c>
      <c r="F44" s="110" t="s">
        <v>108</v>
      </c>
      <c r="G44" s="110" t="s">
        <v>46</v>
      </c>
      <c r="H44" s="110" t="s">
        <v>129</v>
      </c>
      <c r="I44" s="106" t="s">
        <v>58</v>
      </c>
      <c r="J44" s="110" t="s">
        <v>110</v>
      </c>
      <c r="K44" s="110" t="s">
        <v>111</v>
      </c>
      <c r="L44" s="110" t="s">
        <v>348</v>
      </c>
      <c r="M44" s="110" t="s">
        <v>112</v>
      </c>
      <c r="N44" s="111"/>
      <c r="O44" s="111">
        <v>6</v>
      </c>
      <c r="P44" s="111">
        <v>6</v>
      </c>
      <c r="Q44" s="108">
        <v>0</v>
      </c>
      <c r="R44" s="106" t="s">
        <v>197</v>
      </c>
      <c r="S44" s="106"/>
      <c r="T44" s="106" t="s">
        <v>181</v>
      </c>
      <c r="U44" s="106" t="s">
        <v>186</v>
      </c>
    </row>
    <row r="45" spans="1:21" s="51" customFormat="1">
      <c r="A45" s="111">
        <v>2022</v>
      </c>
      <c r="B45" s="110" t="s">
        <v>391</v>
      </c>
      <c r="C45" s="101">
        <v>27465</v>
      </c>
      <c r="D45" s="101">
        <v>29</v>
      </c>
      <c r="E45" s="103">
        <v>44760</v>
      </c>
      <c r="F45" s="110" t="s">
        <v>108</v>
      </c>
      <c r="G45" s="110" t="s">
        <v>46</v>
      </c>
      <c r="H45" s="110" t="s">
        <v>129</v>
      </c>
      <c r="I45" s="106" t="s">
        <v>58</v>
      </c>
      <c r="J45" s="110" t="s">
        <v>110</v>
      </c>
      <c r="K45" s="110" t="s">
        <v>111</v>
      </c>
      <c r="L45" s="110" t="s">
        <v>195</v>
      </c>
      <c r="M45" s="110" t="s">
        <v>112</v>
      </c>
      <c r="N45" s="111"/>
      <c r="O45" s="111">
        <v>50</v>
      </c>
      <c r="P45" s="111">
        <v>50</v>
      </c>
      <c r="Q45" s="108">
        <v>0</v>
      </c>
      <c r="R45" s="106" t="s">
        <v>197</v>
      </c>
      <c r="S45" s="106"/>
      <c r="T45" s="106" t="s">
        <v>182</v>
      </c>
      <c r="U45" s="106" t="s">
        <v>187</v>
      </c>
    </row>
    <row r="46" spans="1:21" s="51" customFormat="1">
      <c r="A46" s="111">
        <v>2022</v>
      </c>
      <c r="B46" s="110" t="s">
        <v>392</v>
      </c>
      <c r="C46" s="101">
        <v>27466</v>
      </c>
      <c r="D46" s="101">
        <v>29</v>
      </c>
      <c r="E46" s="103">
        <v>44760</v>
      </c>
      <c r="F46" s="110" t="s">
        <v>108</v>
      </c>
      <c r="G46" s="110" t="s">
        <v>46</v>
      </c>
      <c r="H46" s="110" t="s">
        <v>129</v>
      </c>
      <c r="I46" s="110" t="s">
        <v>58</v>
      </c>
      <c r="J46" s="110" t="s">
        <v>110</v>
      </c>
      <c r="K46" s="110" t="s">
        <v>111</v>
      </c>
      <c r="L46" s="110" t="s">
        <v>195</v>
      </c>
      <c r="M46" s="110" t="s">
        <v>112</v>
      </c>
      <c r="N46" s="111"/>
      <c r="O46" s="111">
        <v>50</v>
      </c>
      <c r="P46" s="111">
        <v>50</v>
      </c>
      <c r="Q46" s="108">
        <v>0</v>
      </c>
      <c r="R46" s="106" t="s">
        <v>197</v>
      </c>
      <c r="S46" s="106"/>
      <c r="T46" s="106" t="s">
        <v>182</v>
      </c>
      <c r="U46" s="106" t="s">
        <v>187</v>
      </c>
    </row>
    <row r="47" spans="1:21" s="51" customFormat="1">
      <c r="A47" s="111">
        <v>2022</v>
      </c>
      <c r="B47" s="110" t="s">
        <v>393</v>
      </c>
      <c r="C47" s="101">
        <v>27467</v>
      </c>
      <c r="D47" s="101">
        <v>29</v>
      </c>
      <c r="E47" s="103">
        <v>44760</v>
      </c>
      <c r="F47" s="110" t="s">
        <v>108</v>
      </c>
      <c r="G47" s="110" t="s">
        <v>46</v>
      </c>
      <c r="H47" s="110" t="s">
        <v>129</v>
      </c>
      <c r="I47" s="110" t="s">
        <v>58</v>
      </c>
      <c r="J47" s="110" t="s">
        <v>110</v>
      </c>
      <c r="K47" s="110" t="s">
        <v>111</v>
      </c>
      <c r="L47" s="110" t="s">
        <v>195</v>
      </c>
      <c r="M47" s="110" t="s">
        <v>112</v>
      </c>
      <c r="N47" s="111"/>
      <c r="O47" s="111">
        <v>50</v>
      </c>
      <c r="P47" s="111">
        <v>50</v>
      </c>
      <c r="Q47" s="108">
        <v>0</v>
      </c>
      <c r="R47" s="106" t="s">
        <v>197</v>
      </c>
      <c r="S47" s="106"/>
      <c r="T47" s="106" t="s">
        <v>182</v>
      </c>
      <c r="U47" s="106" t="s">
        <v>187</v>
      </c>
    </row>
    <row r="48" spans="1:21" s="51" customFormat="1">
      <c r="A48" s="111">
        <v>2022</v>
      </c>
      <c r="B48" s="110" t="s">
        <v>394</v>
      </c>
      <c r="C48" s="101">
        <v>27468</v>
      </c>
      <c r="D48" s="101">
        <v>29</v>
      </c>
      <c r="E48" s="103">
        <v>44760</v>
      </c>
      <c r="F48" s="110" t="s">
        <v>108</v>
      </c>
      <c r="G48" s="110" t="s">
        <v>46</v>
      </c>
      <c r="H48" s="110" t="s">
        <v>129</v>
      </c>
      <c r="I48" s="110" t="s">
        <v>58</v>
      </c>
      <c r="J48" s="110" t="s">
        <v>110</v>
      </c>
      <c r="K48" s="110" t="s">
        <v>111</v>
      </c>
      <c r="L48" s="110" t="s">
        <v>195</v>
      </c>
      <c r="M48" s="110" t="s">
        <v>112</v>
      </c>
      <c r="N48" s="111"/>
      <c r="O48" s="111">
        <v>50</v>
      </c>
      <c r="P48" s="111">
        <v>50</v>
      </c>
      <c r="Q48" s="108">
        <v>0</v>
      </c>
      <c r="R48" s="106" t="s">
        <v>197</v>
      </c>
      <c r="S48" s="106"/>
      <c r="T48" s="106" t="s">
        <v>182</v>
      </c>
      <c r="U48" s="106" t="s">
        <v>187</v>
      </c>
    </row>
    <row r="49" spans="1:21" s="51" customFormat="1">
      <c r="A49" s="111">
        <v>2022</v>
      </c>
      <c r="B49" s="110" t="s">
        <v>395</v>
      </c>
      <c r="C49" s="101">
        <v>27469</v>
      </c>
      <c r="D49" s="101">
        <v>29</v>
      </c>
      <c r="E49" s="103">
        <v>44760</v>
      </c>
      <c r="F49" s="110" t="s">
        <v>108</v>
      </c>
      <c r="G49" s="110" t="s">
        <v>46</v>
      </c>
      <c r="H49" s="110" t="s">
        <v>129</v>
      </c>
      <c r="I49" s="110" t="s">
        <v>58</v>
      </c>
      <c r="J49" s="110" t="s">
        <v>110</v>
      </c>
      <c r="K49" s="110" t="s">
        <v>111</v>
      </c>
      <c r="L49" s="110" t="s">
        <v>195</v>
      </c>
      <c r="M49" s="110" t="s">
        <v>112</v>
      </c>
      <c r="N49" s="111"/>
      <c r="O49" s="111">
        <v>10</v>
      </c>
      <c r="P49" s="111">
        <v>10</v>
      </c>
      <c r="Q49" s="108">
        <v>0</v>
      </c>
      <c r="R49" s="106" t="s">
        <v>197</v>
      </c>
      <c r="S49" s="106"/>
      <c r="T49" s="106" t="s">
        <v>182</v>
      </c>
      <c r="U49" s="106" t="s">
        <v>187</v>
      </c>
    </row>
    <row r="50" spans="1:21" s="51" customFormat="1">
      <c r="A50" s="111">
        <v>2022</v>
      </c>
      <c r="B50" s="110" t="s">
        <v>396</v>
      </c>
      <c r="C50" s="101">
        <v>27470</v>
      </c>
      <c r="D50" s="101">
        <v>29</v>
      </c>
      <c r="E50" s="103">
        <v>44760</v>
      </c>
      <c r="F50" s="110" t="s">
        <v>108</v>
      </c>
      <c r="G50" s="110" t="s">
        <v>46</v>
      </c>
      <c r="H50" s="110" t="s">
        <v>119</v>
      </c>
      <c r="I50" s="110" t="s">
        <v>58</v>
      </c>
      <c r="J50" s="110" t="s">
        <v>110</v>
      </c>
      <c r="K50" s="110" t="s">
        <v>111</v>
      </c>
      <c r="L50" s="110" t="s">
        <v>195</v>
      </c>
      <c r="M50" s="110" t="s">
        <v>112</v>
      </c>
      <c r="N50" s="111"/>
      <c r="O50" s="111">
        <v>21</v>
      </c>
      <c r="P50" s="111">
        <v>21</v>
      </c>
      <c r="Q50" s="108">
        <v>0</v>
      </c>
      <c r="R50" s="106" t="s">
        <v>197</v>
      </c>
      <c r="S50" s="106"/>
      <c r="T50" s="106" t="s">
        <v>182</v>
      </c>
      <c r="U50" s="106" t="s">
        <v>187</v>
      </c>
    </row>
    <row r="51" spans="1:21" s="51" customFormat="1">
      <c r="A51" s="112">
        <v>2022</v>
      </c>
      <c r="B51" s="110" t="s">
        <v>397</v>
      </c>
      <c r="C51" s="101">
        <v>27471</v>
      </c>
      <c r="D51" s="101">
        <v>29</v>
      </c>
      <c r="E51" s="103">
        <v>44760</v>
      </c>
      <c r="F51" s="110" t="s">
        <v>108</v>
      </c>
      <c r="G51" s="110" t="s">
        <v>46</v>
      </c>
      <c r="H51" s="110" t="s">
        <v>119</v>
      </c>
      <c r="I51" s="106" t="s">
        <v>58</v>
      </c>
      <c r="J51" s="110" t="s">
        <v>110</v>
      </c>
      <c r="K51" s="110" t="s">
        <v>111</v>
      </c>
      <c r="L51" s="110" t="s">
        <v>348</v>
      </c>
      <c r="M51" s="110" t="s">
        <v>112</v>
      </c>
      <c r="N51" s="111"/>
      <c r="O51" s="111">
        <v>50</v>
      </c>
      <c r="P51" s="111">
        <v>50</v>
      </c>
      <c r="Q51" s="108">
        <v>0</v>
      </c>
      <c r="R51" s="106" t="s">
        <v>197</v>
      </c>
      <c r="S51" s="106"/>
      <c r="T51" s="106" t="s">
        <v>181</v>
      </c>
      <c r="U51" s="106" t="s">
        <v>186</v>
      </c>
    </row>
    <row r="52" spans="1:21" s="51" customFormat="1">
      <c r="A52" s="112">
        <v>2022</v>
      </c>
      <c r="B52" s="110" t="s">
        <v>398</v>
      </c>
      <c r="C52" s="101">
        <v>27472</v>
      </c>
      <c r="D52" s="101">
        <v>29</v>
      </c>
      <c r="E52" s="103">
        <v>44760</v>
      </c>
      <c r="F52" s="110" t="s">
        <v>108</v>
      </c>
      <c r="G52" s="110" t="s">
        <v>46</v>
      </c>
      <c r="H52" s="110" t="s">
        <v>119</v>
      </c>
      <c r="I52" s="106" t="s">
        <v>58</v>
      </c>
      <c r="J52" s="110" t="s">
        <v>110</v>
      </c>
      <c r="K52" s="110" t="s">
        <v>111</v>
      </c>
      <c r="L52" s="110" t="s">
        <v>348</v>
      </c>
      <c r="M52" s="110" t="s">
        <v>112</v>
      </c>
      <c r="N52" s="111"/>
      <c r="O52" s="111">
        <v>17</v>
      </c>
      <c r="P52" s="111">
        <v>17</v>
      </c>
      <c r="Q52" s="108">
        <v>0</v>
      </c>
      <c r="R52" s="106" t="s">
        <v>197</v>
      </c>
      <c r="S52" s="106"/>
      <c r="T52" s="106" t="s">
        <v>181</v>
      </c>
      <c r="U52" s="106" t="s">
        <v>186</v>
      </c>
    </row>
    <row r="53" spans="1:21" s="51" customFormat="1">
      <c r="A53" s="112">
        <v>2022</v>
      </c>
      <c r="B53" s="110" t="s">
        <v>399</v>
      </c>
      <c r="C53" s="101">
        <v>27473</v>
      </c>
      <c r="D53" s="101">
        <v>29</v>
      </c>
      <c r="E53" s="103">
        <v>44760</v>
      </c>
      <c r="F53" s="110" t="s">
        <v>108</v>
      </c>
      <c r="G53" s="110" t="s">
        <v>46</v>
      </c>
      <c r="H53" s="110" t="s">
        <v>128</v>
      </c>
      <c r="I53" s="106" t="s">
        <v>58</v>
      </c>
      <c r="J53" s="110" t="s">
        <v>110</v>
      </c>
      <c r="K53" s="110" t="s">
        <v>111</v>
      </c>
      <c r="L53" s="110" t="s">
        <v>348</v>
      </c>
      <c r="M53" s="110" t="s">
        <v>112</v>
      </c>
      <c r="N53" s="111"/>
      <c r="O53" s="111">
        <v>50</v>
      </c>
      <c r="P53" s="111">
        <v>50</v>
      </c>
      <c r="Q53" s="108">
        <v>0</v>
      </c>
      <c r="R53" s="106" t="s">
        <v>197</v>
      </c>
      <c r="S53" s="106"/>
      <c r="T53" s="106" t="s">
        <v>181</v>
      </c>
      <c r="U53" s="106" t="s">
        <v>186</v>
      </c>
    </row>
    <row r="54" spans="1:21" s="51" customFormat="1">
      <c r="A54" s="112">
        <v>2022</v>
      </c>
      <c r="B54" s="110" t="s">
        <v>400</v>
      </c>
      <c r="C54" s="101">
        <v>27474</v>
      </c>
      <c r="D54" s="101">
        <v>29</v>
      </c>
      <c r="E54" s="103">
        <v>44760</v>
      </c>
      <c r="F54" s="110" t="s">
        <v>108</v>
      </c>
      <c r="G54" s="110" t="s">
        <v>46</v>
      </c>
      <c r="H54" s="110" t="s">
        <v>128</v>
      </c>
      <c r="I54" s="106" t="s">
        <v>58</v>
      </c>
      <c r="J54" s="110" t="s">
        <v>110</v>
      </c>
      <c r="K54" s="110" t="s">
        <v>111</v>
      </c>
      <c r="L54" s="110" t="s">
        <v>348</v>
      </c>
      <c r="M54" s="110" t="s">
        <v>112</v>
      </c>
      <c r="N54" s="111"/>
      <c r="O54" s="111">
        <v>50</v>
      </c>
      <c r="P54" s="111">
        <v>50</v>
      </c>
      <c r="Q54" s="108">
        <v>0</v>
      </c>
      <c r="R54" s="106" t="s">
        <v>197</v>
      </c>
      <c r="S54" s="106"/>
      <c r="T54" s="106" t="s">
        <v>181</v>
      </c>
      <c r="U54" s="106" t="s">
        <v>186</v>
      </c>
    </row>
    <row r="55" spans="1:21" s="51" customFormat="1">
      <c r="A55" s="112">
        <v>2022</v>
      </c>
      <c r="B55" s="110" t="s">
        <v>401</v>
      </c>
      <c r="C55" s="101">
        <v>27475</v>
      </c>
      <c r="D55" s="101">
        <v>29</v>
      </c>
      <c r="E55" s="103">
        <v>44760</v>
      </c>
      <c r="F55" s="110" t="s">
        <v>108</v>
      </c>
      <c r="G55" s="110" t="s">
        <v>46</v>
      </c>
      <c r="H55" s="110" t="s">
        <v>128</v>
      </c>
      <c r="I55" s="106" t="s">
        <v>58</v>
      </c>
      <c r="J55" s="110" t="s">
        <v>110</v>
      </c>
      <c r="K55" s="110" t="s">
        <v>111</v>
      </c>
      <c r="L55" s="110" t="s">
        <v>348</v>
      </c>
      <c r="M55" s="110" t="s">
        <v>112</v>
      </c>
      <c r="N55" s="111"/>
      <c r="O55" s="111">
        <v>50</v>
      </c>
      <c r="P55" s="111">
        <v>50</v>
      </c>
      <c r="Q55" s="108">
        <v>0</v>
      </c>
      <c r="R55" s="106" t="s">
        <v>197</v>
      </c>
      <c r="S55" s="106"/>
      <c r="T55" s="106" t="s">
        <v>181</v>
      </c>
      <c r="U55" s="106" t="s">
        <v>186</v>
      </c>
    </row>
    <row r="56" spans="1:21" s="51" customFormat="1">
      <c r="A56" s="112">
        <v>2022</v>
      </c>
      <c r="B56" s="110" t="s">
        <v>402</v>
      </c>
      <c r="C56" s="101">
        <v>27476</v>
      </c>
      <c r="D56" s="101">
        <v>29</v>
      </c>
      <c r="E56" s="103">
        <v>44760</v>
      </c>
      <c r="F56" s="110" t="s">
        <v>108</v>
      </c>
      <c r="G56" s="110" t="s">
        <v>46</v>
      </c>
      <c r="H56" s="110" t="s">
        <v>128</v>
      </c>
      <c r="I56" s="110" t="s">
        <v>58</v>
      </c>
      <c r="J56" s="110" t="s">
        <v>110</v>
      </c>
      <c r="K56" s="110" t="s">
        <v>111</v>
      </c>
      <c r="L56" s="110" t="s">
        <v>195</v>
      </c>
      <c r="M56" s="110" t="s">
        <v>112</v>
      </c>
      <c r="N56" s="111"/>
      <c r="O56" s="111">
        <v>50</v>
      </c>
      <c r="P56" s="111">
        <v>50</v>
      </c>
      <c r="Q56" s="108">
        <v>0</v>
      </c>
      <c r="R56" s="106" t="s">
        <v>197</v>
      </c>
      <c r="S56" s="106"/>
      <c r="T56" s="106" t="s">
        <v>182</v>
      </c>
      <c r="U56" s="106" t="s">
        <v>187</v>
      </c>
    </row>
    <row r="57" spans="1:21" s="51" customFormat="1">
      <c r="A57" s="112">
        <v>2022</v>
      </c>
      <c r="B57" s="110" t="s">
        <v>403</v>
      </c>
      <c r="C57" s="101">
        <v>27477</v>
      </c>
      <c r="D57" s="101">
        <v>29</v>
      </c>
      <c r="E57" s="103">
        <v>44760</v>
      </c>
      <c r="F57" s="110" t="s">
        <v>108</v>
      </c>
      <c r="G57" s="110" t="s">
        <v>46</v>
      </c>
      <c r="H57" s="110" t="s">
        <v>128</v>
      </c>
      <c r="I57" s="110" t="s">
        <v>58</v>
      </c>
      <c r="J57" s="110" t="s">
        <v>110</v>
      </c>
      <c r="K57" s="110" t="s">
        <v>111</v>
      </c>
      <c r="L57" s="110" t="s">
        <v>195</v>
      </c>
      <c r="M57" s="110" t="s">
        <v>112</v>
      </c>
      <c r="N57" s="111"/>
      <c r="O57" s="111">
        <v>50</v>
      </c>
      <c r="P57" s="111">
        <v>50</v>
      </c>
      <c r="Q57" s="108">
        <v>0</v>
      </c>
      <c r="R57" s="106" t="s">
        <v>197</v>
      </c>
      <c r="S57" s="106"/>
      <c r="T57" s="106" t="s">
        <v>182</v>
      </c>
      <c r="U57" s="106" t="s">
        <v>187</v>
      </c>
    </row>
    <row r="58" spans="1:21" s="51" customFormat="1">
      <c r="A58" s="112">
        <v>2022</v>
      </c>
      <c r="B58" s="110" t="s">
        <v>404</v>
      </c>
      <c r="C58" s="101">
        <v>27478</v>
      </c>
      <c r="D58" s="101">
        <v>29</v>
      </c>
      <c r="E58" s="103">
        <v>44760</v>
      </c>
      <c r="F58" s="110" t="s">
        <v>108</v>
      </c>
      <c r="G58" s="110" t="s">
        <v>46</v>
      </c>
      <c r="H58" s="110" t="s">
        <v>128</v>
      </c>
      <c r="I58" s="110" t="s">
        <v>58</v>
      </c>
      <c r="J58" s="110" t="s">
        <v>110</v>
      </c>
      <c r="K58" s="110" t="s">
        <v>111</v>
      </c>
      <c r="L58" s="110" t="s">
        <v>195</v>
      </c>
      <c r="M58" s="110" t="s">
        <v>112</v>
      </c>
      <c r="N58" s="111"/>
      <c r="O58" s="111">
        <v>30</v>
      </c>
      <c r="P58" s="111">
        <v>30</v>
      </c>
      <c r="Q58" s="108">
        <v>0</v>
      </c>
      <c r="R58" s="106" t="s">
        <v>197</v>
      </c>
      <c r="S58" s="106"/>
      <c r="T58" s="106" t="s">
        <v>182</v>
      </c>
      <c r="U58" s="106" t="s">
        <v>187</v>
      </c>
    </row>
    <row r="59" spans="1:21" s="51" customFormat="1">
      <c r="A59" s="112">
        <v>2022</v>
      </c>
      <c r="B59" s="110" t="s">
        <v>405</v>
      </c>
      <c r="C59" s="101">
        <v>27479</v>
      </c>
      <c r="D59" s="101">
        <v>29</v>
      </c>
      <c r="E59" s="103">
        <v>44761</v>
      </c>
      <c r="F59" s="110" t="s">
        <v>108</v>
      </c>
      <c r="G59" s="110" t="s">
        <v>9</v>
      </c>
      <c r="H59" s="110" t="s">
        <v>131</v>
      </c>
      <c r="I59" s="106" t="s">
        <v>9</v>
      </c>
      <c r="J59" s="110" t="s">
        <v>110</v>
      </c>
      <c r="K59" s="110" t="s">
        <v>111</v>
      </c>
      <c r="L59" s="110" t="s">
        <v>348</v>
      </c>
      <c r="M59" s="110" t="s">
        <v>112</v>
      </c>
      <c r="N59" s="111"/>
      <c r="O59" s="111">
        <v>16</v>
      </c>
      <c r="P59" s="111">
        <v>16</v>
      </c>
      <c r="Q59" s="108">
        <v>0</v>
      </c>
      <c r="R59" s="106" t="s">
        <v>197</v>
      </c>
      <c r="S59" s="106"/>
      <c r="T59" s="106" t="s">
        <v>179</v>
      </c>
      <c r="U59" s="106" t="s">
        <v>179</v>
      </c>
    </row>
    <row r="60" spans="1:21" s="51" customFormat="1">
      <c r="A60" s="112">
        <v>2022</v>
      </c>
      <c r="B60" s="110" t="s">
        <v>406</v>
      </c>
      <c r="C60" s="101">
        <v>27480</v>
      </c>
      <c r="D60" s="101">
        <v>29</v>
      </c>
      <c r="E60" s="103">
        <v>44761</v>
      </c>
      <c r="F60" s="110" t="s">
        <v>108</v>
      </c>
      <c r="G60" s="110" t="s">
        <v>9</v>
      </c>
      <c r="H60" s="110" t="s">
        <v>131</v>
      </c>
      <c r="I60" s="106" t="s">
        <v>9</v>
      </c>
      <c r="J60" s="110" t="s">
        <v>110</v>
      </c>
      <c r="K60" s="110" t="s">
        <v>111</v>
      </c>
      <c r="L60" s="110" t="s">
        <v>195</v>
      </c>
      <c r="M60" s="110" t="s">
        <v>112</v>
      </c>
      <c r="N60" s="111"/>
      <c r="O60" s="111">
        <v>5</v>
      </c>
      <c r="P60" s="111">
        <v>5</v>
      </c>
      <c r="Q60" s="108">
        <v>0</v>
      </c>
      <c r="R60" s="106" t="s">
        <v>197</v>
      </c>
      <c r="S60" s="106"/>
      <c r="T60" s="106" t="s">
        <v>180</v>
      </c>
      <c r="U60" s="106" t="s">
        <v>180</v>
      </c>
    </row>
    <row r="61" spans="1:21" s="89" customFormat="1">
      <c r="A61" s="115">
        <v>2022</v>
      </c>
      <c r="B61" s="93" t="s">
        <v>407</v>
      </c>
      <c r="C61" s="90">
        <v>27481</v>
      </c>
      <c r="D61" s="90">
        <v>29</v>
      </c>
      <c r="E61" s="92">
        <v>44761</v>
      </c>
      <c r="F61" s="93" t="s">
        <v>108</v>
      </c>
      <c r="G61" s="93" t="s">
        <v>9</v>
      </c>
      <c r="H61" s="93" t="s">
        <v>132</v>
      </c>
      <c r="I61" s="89" t="s">
        <v>9</v>
      </c>
      <c r="J61" s="93" t="s">
        <v>110</v>
      </c>
      <c r="K61" s="93" t="s">
        <v>111</v>
      </c>
      <c r="L61" s="93" t="s">
        <v>348</v>
      </c>
      <c r="M61" s="93" t="s">
        <v>112</v>
      </c>
      <c r="N61" s="116"/>
      <c r="O61" s="116">
        <v>50</v>
      </c>
      <c r="P61" s="116">
        <v>50</v>
      </c>
      <c r="Q61" s="91">
        <v>1</v>
      </c>
      <c r="R61" s="89" t="s">
        <v>198</v>
      </c>
      <c r="T61" s="89" t="s">
        <v>179</v>
      </c>
      <c r="U61" s="89" t="s">
        <v>179</v>
      </c>
    </row>
    <row r="62" spans="1:21" s="51" customFormat="1">
      <c r="A62" s="113">
        <v>2022</v>
      </c>
      <c r="B62" s="106" t="s">
        <v>408</v>
      </c>
      <c r="C62" s="101">
        <v>27482</v>
      </c>
      <c r="D62" s="108">
        <v>29</v>
      </c>
      <c r="E62" s="103">
        <v>44761</v>
      </c>
      <c r="F62" s="106" t="s">
        <v>108</v>
      </c>
      <c r="G62" s="110" t="s">
        <v>9</v>
      </c>
      <c r="H62" s="106" t="s">
        <v>132</v>
      </c>
      <c r="I62" s="106" t="s">
        <v>9</v>
      </c>
      <c r="J62" s="106" t="s">
        <v>110</v>
      </c>
      <c r="K62" s="106" t="s">
        <v>111</v>
      </c>
      <c r="L62" s="106" t="s">
        <v>348</v>
      </c>
      <c r="M62" s="106" t="s">
        <v>112</v>
      </c>
      <c r="N62" s="109"/>
      <c r="O62" s="109">
        <v>50</v>
      </c>
      <c r="P62" s="109">
        <v>50</v>
      </c>
      <c r="Q62" s="108">
        <v>0</v>
      </c>
      <c r="R62" s="106" t="s">
        <v>197</v>
      </c>
      <c r="S62" s="106"/>
      <c r="T62" s="106" t="s">
        <v>179</v>
      </c>
      <c r="U62" s="106" t="s">
        <v>179</v>
      </c>
    </row>
    <row r="63" spans="1:21" s="51" customFormat="1">
      <c r="A63" s="113">
        <v>2022</v>
      </c>
      <c r="B63" s="106" t="s">
        <v>409</v>
      </c>
      <c r="C63" s="101">
        <v>27483</v>
      </c>
      <c r="D63" s="108">
        <v>29</v>
      </c>
      <c r="E63" s="103">
        <v>44761</v>
      </c>
      <c r="F63" s="106" t="s">
        <v>108</v>
      </c>
      <c r="G63" s="110" t="s">
        <v>9</v>
      </c>
      <c r="H63" s="106" t="s">
        <v>132</v>
      </c>
      <c r="I63" s="106" t="s">
        <v>9</v>
      </c>
      <c r="J63" s="106" t="s">
        <v>110</v>
      </c>
      <c r="K63" s="106" t="s">
        <v>111</v>
      </c>
      <c r="L63" s="106" t="s">
        <v>348</v>
      </c>
      <c r="M63" s="106" t="s">
        <v>112</v>
      </c>
      <c r="N63" s="109"/>
      <c r="O63" s="109">
        <v>50</v>
      </c>
      <c r="P63" s="109">
        <v>50</v>
      </c>
      <c r="Q63" s="108">
        <v>0</v>
      </c>
      <c r="R63" s="106" t="s">
        <v>197</v>
      </c>
      <c r="S63" s="106"/>
      <c r="T63" s="106" t="s">
        <v>179</v>
      </c>
      <c r="U63" s="106" t="s">
        <v>179</v>
      </c>
    </row>
    <row r="64" spans="1:21" s="51" customFormat="1">
      <c r="A64" s="113">
        <v>2022</v>
      </c>
      <c r="B64" s="106" t="s">
        <v>410</v>
      </c>
      <c r="C64" s="101">
        <v>27484</v>
      </c>
      <c r="D64" s="108">
        <v>29</v>
      </c>
      <c r="E64" s="103">
        <v>44761</v>
      </c>
      <c r="F64" s="106" t="s">
        <v>108</v>
      </c>
      <c r="G64" s="110" t="s">
        <v>9</v>
      </c>
      <c r="H64" s="106" t="s">
        <v>132</v>
      </c>
      <c r="I64" s="106" t="s">
        <v>9</v>
      </c>
      <c r="J64" s="106" t="s">
        <v>110</v>
      </c>
      <c r="K64" s="106" t="s">
        <v>111</v>
      </c>
      <c r="L64" s="106" t="s">
        <v>348</v>
      </c>
      <c r="M64" s="106" t="s">
        <v>112</v>
      </c>
      <c r="N64" s="109"/>
      <c r="O64" s="109">
        <v>50</v>
      </c>
      <c r="P64" s="109">
        <v>50</v>
      </c>
      <c r="Q64" s="108">
        <v>0</v>
      </c>
      <c r="R64" s="106" t="s">
        <v>197</v>
      </c>
      <c r="S64" s="106"/>
      <c r="T64" s="106" t="s">
        <v>179</v>
      </c>
      <c r="U64" s="106" t="s">
        <v>179</v>
      </c>
    </row>
    <row r="65" spans="1:21" s="51" customFormat="1">
      <c r="A65" s="113">
        <v>2022</v>
      </c>
      <c r="B65" s="106" t="s">
        <v>411</v>
      </c>
      <c r="C65" s="101">
        <v>27485</v>
      </c>
      <c r="D65" s="108">
        <v>29</v>
      </c>
      <c r="E65" s="103">
        <v>44761</v>
      </c>
      <c r="F65" s="106" t="s">
        <v>108</v>
      </c>
      <c r="G65" s="110" t="s">
        <v>9</v>
      </c>
      <c r="H65" s="106" t="s">
        <v>132</v>
      </c>
      <c r="I65" s="110" t="s">
        <v>9</v>
      </c>
      <c r="J65" s="106" t="s">
        <v>110</v>
      </c>
      <c r="K65" s="106" t="s">
        <v>111</v>
      </c>
      <c r="L65" s="106" t="s">
        <v>348</v>
      </c>
      <c r="M65" s="106" t="s">
        <v>112</v>
      </c>
      <c r="N65" s="109"/>
      <c r="O65" s="109">
        <v>50</v>
      </c>
      <c r="P65" s="109">
        <v>50</v>
      </c>
      <c r="Q65" s="108">
        <v>0</v>
      </c>
      <c r="R65" s="106" t="s">
        <v>197</v>
      </c>
      <c r="S65" s="106"/>
      <c r="T65" s="106" t="s">
        <v>179</v>
      </c>
      <c r="U65" s="106" t="s">
        <v>179</v>
      </c>
    </row>
    <row r="66" spans="1:21" s="51" customFormat="1">
      <c r="A66" s="113">
        <v>2022</v>
      </c>
      <c r="B66" s="106" t="s">
        <v>412</v>
      </c>
      <c r="C66" s="101">
        <v>27486</v>
      </c>
      <c r="D66" s="108">
        <v>29</v>
      </c>
      <c r="E66" s="103">
        <v>44761</v>
      </c>
      <c r="F66" s="106" t="s">
        <v>108</v>
      </c>
      <c r="G66" s="110" t="s">
        <v>9</v>
      </c>
      <c r="H66" s="106" t="s">
        <v>132</v>
      </c>
      <c r="I66" s="110" t="s">
        <v>9</v>
      </c>
      <c r="J66" s="106" t="s">
        <v>110</v>
      </c>
      <c r="K66" s="106" t="s">
        <v>111</v>
      </c>
      <c r="L66" s="106" t="s">
        <v>348</v>
      </c>
      <c r="M66" s="106" t="s">
        <v>112</v>
      </c>
      <c r="N66" s="109"/>
      <c r="O66" s="109">
        <v>50</v>
      </c>
      <c r="P66" s="109">
        <v>50</v>
      </c>
      <c r="Q66" s="108">
        <v>0</v>
      </c>
      <c r="R66" s="106" t="s">
        <v>197</v>
      </c>
      <c r="S66" s="106"/>
      <c r="T66" s="106" t="s">
        <v>179</v>
      </c>
      <c r="U66" s="106" t="s">
        <v>179</v>
      </c>
    </row>
    <row r="67" spans="1:21" s="51" customFormat="1">
      <c r="A67" s="113">
        <v>2022</v>
      </c>
      <c r="B67" s="106" t="s">
        <v>413</v>
      </c>
      <c r="C67" s="101">
        <v>27487</v>
      </c>
      <c r="D67" s="108">
        <v>29</v>
      </c>
      <c r="E67" s="103">
        <v>44761</v>
      </c>
      <c r="F67" s="106" t="s">
        <v>108</v>
      </c>
      <c r="G67" s="110" t="s">
        <v>9</v>
      </c>
      <c r="H67" s="106" t="s">
        <v>132</v>
      </c>
      <c r="I67" s="110" t="s">
        <v>9</v>
      </c>
      <c r="J67" s="106" t="s">
        <v>110</v>
      </c>
      <c r="K67" s="106" t="s">
        <v>111</v>
      </c>
      <c r="L67" s="106" t="s">
        <v>348</v>
      </c>
      <c r="M67" s="106" t="s">
        <v>112</v>
      </c>
      <c r="N67" s="109"/>
      <c r="O67" s="109">
        <v>35</v>
      </c>
      <c r="P67" s="109">
        <v>35</v>
      </c>
      <c r="Q67" s="108">
        <v>0</v>
      </c>
      <c r="R67" s="106" t="s">
        <v>197</v>
      </c>
      <c r="S67" s="106"/>
      <c r="T67" s="106" t="s">
        <v>179</v>
      </c>
      <c r="U67" s="106" t="s">
        <v>179</v>
      </c>
    </row>
    <row r="68" spans="1:21" s="51" customFormat="1">
      <c r="A68" s="113">
        <v>2022</v>
      </c>
      <c r="B68" s="106" t="s">
        <v>414</v>
      </c>
      <c r="C68" s="101">
        <v>27488</v>
      </c>
      <c r="D68" s="108">
        <v>29</v>
      </c>
      <c r="E68" s="103">
        <v>44761</v>
      </c>
      <c r="F68" s="106" t="s">
        <v>108</v>
      </c>
      <c r="G68" s="110" t="s">
        <v>9</v>
      </c>
      <c r="H68" s="106" t="s">
        <v>132</v>
      </c>
      <c r="I68" s="110" t="s">
        <v>9</v>
      </c>
      <c r="J68" s="106" t="s">
        <v>110</v>
      </c>
      <c r="K68" s="106" t="s">
        <v>111</v>
      </c>
      <c r="L68" s="106" t="s">
        <v>195</v>
      </c>
      <c r="M68" s="106" t="s">
        <v>112</v>
      </c>
      <c r="N68" s="109"/>
      <c r="O68" s="109">
        <v>23</v>
      </c>
      <c r="P68" s="109">
        <v>23</v>
      </c>
      <c r="Q68" s="108">
        <v>0</v>
      </c>
      <c r="R68" s="106" t="s">
        <v>197</v>
      </c>
      <c r="S68" s="106"/>
      <c r="T68" s="106" t="s">
        <v>180</v>
      </c>
      <c r="U68" s="106" t="s">
        <v>180</v>
      </c>
    </row>
    <row r="69" spans="1:21" s="51" customFormat="1">
      <c r="A69" s="113">
        <v>2022</v>
      </c>
      <c r="B69" s="106" t="s">
        <v>415</v>
      </c>
      <c r="C69" s="101">
        <v>27489</v>
      </c>
      <c r="D69" s="108">
        <v>29</v>
      </c>
      <c r="E69" s="103">
        <v>44761</v>
      </c>
      <c r="F69" s="106" t="s">
        <v>108</v>
      </c>
      <c r="G69" s="110" t="s">
        <v>9</v>
      </c>
      <c r="H69" s="106" t="s">
        <v>130</v>
      </c>
      <c r="I69" s="110" t="s">
        <v>9</v>
      </c>
      <c r="J69" s="106" t="s">
        <v>110</v>
      </c>
      <c r="K69" s="106" t="s">
        <v>111</v>
      </c>
      <c r="L69" s="106" t="s">
        <v>348</v>
      </c>
      <c r="M69" s="106" t="s">
        <v>112</v>
      </c>
      <c r="N69" s="109"/>
      <c r="O69" s="109">
        <v>49</v>
      </c>
      <c r="P69" s="109">
        <v>49</v>
      </c>
      <c r="Q69" s="108">
        <v>0</v>
      </c>
      <c r="R69" s="106" t="s">
        <v>197</v>
      </c>
      <c r="S69" s="106"/>
      <c r="T69" s="106" t="s">
        <v>179</v>
      </c>
      <c r="U69" s="106" t="s">
        <v>179</v>
      </c>
    </row>
    <row r="70" spans="1:21" s="89" customFormat="1">
      <c r="A70" s="117">
        <v>2022</v>
      </c>
      <c r="B70" s="89" t="s">
        <v>416</v>
      </c>
      <c r="C70" s="90">
        <v>27490</v>
      </c>
      <c r="D70" s="91">
        <v>29</v>
      </c>
      <c r="E70" s="92">
        <v>44761</v>
      </c>
      <c r="F70" s="89" t="s">
        <v>108</v>
      </c>
      <c r="G70" s="93" t="s">
        <v>46</v>
      </c>
      <c r="H70" s="89" t="s">
        <v>143</v>
      </c>
      <c r="I70" s="93" t="s">
        <v>59</v>
      </c>
      <c r="J70" s="89" t="s">
        <v>110</v>
      </c>
      <c r="K70" s="89" t="s">
        <v>111</v>
      </c>
      <c r="L70" s="89" t="s">
        <v>348</v>
      </c>
      <c r="M70" s="89" t="s">
        <v>112</v>
      </c>
      <c r="N70" s="88"/>
      <c r="O70" s="88">
        <v>50</v>
      </c>
      <c r="P70" s="88">
        <v>50</v>
      </c>
      <c r="Q70" s="91">
        <v>1</v>
      </c>
      <c r="R70" s="89" t="s">
        <v>198</v>
      </c>
      <c r="T70" s="89" t="s">
        <v>181</v>
      </c>
      <c r="U70" s="89" t="s">
        <v>189</v>
      </c>
    </row>
    <row r="71" spans="1:21" s="51" customFormat="1">
      <c r="A71" s="109">
        <v>2022</v>
      </c>
      <c r="B71" s="106" t="s">
        <v>417</v>
      </c>
      <c r="C71" s="101">
        <v>27491</v>
      </c>
      <c r="D71" s="108">
        <v>29</v>
      </c>
      <c r="E71" s="103">
        <v>44761</v>
      </c>
      <c r="F71" s="106" t="s">
        <v>108</v>
      </c>
      <c r="G71" s="110" t="s">
        <v>46</v>
      </c>
      <c r="H71" s="106" t="s">
        <v>143</v>
      </c>
      <c r="I71" s="110" t="s">
        <v>59</v>
      </c>
      <c r="J71" s="106" t="s">
        <v>110</v>
      </c>
      <c r="K71" s="106" t="s">
        <v>111</v>
      </c>
      <c r="L71" s="106" t="s">
        <v>348</v>
      </c>
      <c r="M71" s="106" t="s">
        <v>112</v>
      </c>
      <c r="N71" s="109"/>
      <c r="O71" s="109">
        <v>33</v>
      </c>
      <c r="P71" s="109">
        <v>33</v>
      </c>
      <c r="Q71" s="108">
        <v>0</v>
      </c>
      <c r="R71" s="106" t="s">
        <v>197</v>
      </c>
      <c r="S71" s="106"/>
      <c r="T71" s="106" t="s">
        <v>181</v>
      </c>
      <c r="U71" s="106" t="s">
        <v>189</v>
      </c>
    </row>
    <row r="72" spans="1:21" s="51" customFormat="1">
      <c r="A72" s="109">
        <v>2022</v>
      </c>
      <c r="B72" s="106" t="s">
        <v>418</v>
      </c>
      <c r="C72" s="101">
        <v>27492</v>
      </c>
      <c r="D72" s="108">
        <v>29</v>
      </c>
      <c r="E72" s="103">
        <v>44761</v>
      </c>
      <c r="F72" s="106" t="s">
        <v>108</v>
      </c>
      <c r="G72" s="110" t="s">
        <v>46</v>
      </c>
      <c r="H72" s="106" t="s">
        <v>143</v>
      </c>
      <c r="I72" s="110" t="s">
        <v>59</v>
      </c>
      <c r="J72" s="106" t="s">
        <v>110</v>
      </c>
      <c r="K72" s="106" t="s">
        <v>111</v>
      </c>
      <c r="L72" s="106" t="s">
        <v>195</v>
      </c>
      <c r="M72" s="106" t="s">
        <v>112</v>
      </c>
      <c r="N72" s="109"/>
      <c r="O72" s="109">
        <v>2</v>
      </c>
      <c r="P72" s="109">
        <v>2</v>
      </c>
      <c r="Q72" s="108">
        <v>0</v>
      </c>
      <c r="R72" s="106" t="s">
        <v>197</v>
      </c>
      <c r="S72" s="106"/>
      <c r="T72" s="106" t="s">
        <v>182</v>
      </c>
      <c r="U72" s="106" t="s">
        <v>190</v>
      </c>
    </row>
    <row r="73" spans="1:21" s="89" customFormat="1">
      <c r="A73" s="88">
        <v>2022</v>
      </c>
      <c r="B73" s="89" t="s">
        <v>419</v>
      </c>
      <c r="C73" s="90">
        <v>27493</v>
      </c>
      <c r="D73" s="91">
        <v>29</v>
      </c>
      <c r="E73" s="92">
        <v>44761</v>
      </c>
      <c r="F73" s="89" t="s">
        <v>108</v>
      </c>
      <c r="G73" s="93" t="s">
        <v>46</v>
      </c>
      <c r="H73" s="89" t="s">
        <v>149</v>
      </c>
      <c r="I73" s="93" t="s">
        <v>59</v>
      </c>
      <c r="J73" s="89" t="s">
        <v>110</v>
      </c>
      <c r="K73" s="89" t="s">
        <v>111</v>
      </c>
      <c r="L73" s="89" t="s">
        <v>348</v>
      </c>
      <c r="M73" s="89" t="s">
        <v>112</v>
      </c>
      <c r="N73" s="88"/>
      <c r="O73" s="88">
        <v>50</v>
      </c>
      <c r="P73" s="88">
        <v>50</v>
      </c>
      <c r="Q73" s="91">
        <v>1</v>
      </c>
      <c r="R73" s="89" t="s">
        <v>198</v>
      </c>
      <c r="T73" s="89" t="s">
        <v>181</v>
      </c>
      <c r="U73" s="89" t="s">
        <v>189</v>
      </c>
    </row>
    <row r="74" spans="1:21" s="89" customFormat="1">
      <c r="A74" s="109">
        <v>2022</v>
      </c>
      <c r="B74" s="106" t="s">
        <v>420</v>
      </c>
      <c r="C74" s="101">
        <v>27494</v>
      </c>
      <c r="D74" s="108">
        <v>29</v>
      </c>
      <c r="E74" s="103">
        <v>44761</v>
      </c>
      <c r="F74" s="106" t="s">
        <v>108</v>
      </c>
      <c r="G74" s="110" t="s">
        <v>46</v>
      </c>
      <c r="H74" s="106" t="s">
        <v>149</v>
      </c>
      <c r="I74" s="110" t="s">
        <v>59</v>
      </c>
      <c r="J74" s="106" t="s">
        <v>110</v>
      </c>
      <c r="K74" s="106" t="s">
        <v>111</v>
      </c>
      <c r="L74" s="106" t="s">
        <v>348</v>
      </c>
      <c r="M74" s="106" t="s">
        <v>112</v>
      </c>
      <c r="N74" s="109"/>
      <c r="O74" s="109">
        <v>50</v>
      </c>
      <c r="P74" s="109">
        <v>50</v>
      </c>
      <c r="Q74" s="108">
        <v>0</v>
      </c>
      <c r="R74" s="106" t="s">
        <v>197</v>
      </c>
      <c r="S74" s="106"/>
      <c r="T74" s="106" t="s">
        <v>181</v>
      </c>
      <c r="U74" s="106" t="s">
        <v>189</v>
      </c>
    </row>
    <row r="75" spans="1:21" s="51" customFormat="1">
      <c r="A75" s="109">
        <v>2022</v>
      </c>
      <c r="B75" s="106" t="s">
        <v>421</v>
      </c>
      <c r="C75" s="101">
        <v>27495</v>
      </c>
      <c r="D75" s="108">
        <v>29</v>
      </c>
      <c r="E75" s="103">
        <v>44761</v>
      </c>
      <c r="F75" s="106" t="s">
        <v>108</v>
      </c>
      <c r="G75" s="110" t="s">
        <v>46</v>
      </c>
      <c r="H75" s="106" t="s">
        <v>149</v>
      </c>
      <c r="I75" s="110" t="s">
        <v>59</v>
      </c>
      <c r="J75" s="106" t="s">
        <v>110</v>
      </c>
      <c r="K75" s="106" t="s">
        <v>111</v>
      </c>
      <c r="L75" s="106" t="s">
        <v>348</v>
      </c>
      <c r="M75" s="106" t="s">
        <v>112</v>
      </c>
      <c r="N75" s="109"/>
      <c r="O75" s="109">
        <v>23</v>
      </c>
      <c r="P75" s="109">
        <v>23</v>
      </c>
      <c r="Q75" s="108">
        <v>0</v>
      </c>
      <c r="R75" s="106" t="s">
        <v>197</v>
      </c>
      <c r="S75" s="106"/>
      <c r="T75" s="106" t="s">
        <v>181</v>
      </c>
      <c r="U75" s="106" t="s">
        <v>189</v>
      </c>
    </row>
    <row r="76" spans="1:21" s="51" customFormat="1">
      <c r="A76" s="109">
        <v>2022</v>
      </c>
      <c r="B76" s="106" t="s">
        <v>422</v>
      </c>
      <c r="C76" s="101">
        <v>27496</v>
      </c>
      <c r="D76" s="108">
        <v>29</v>
      </c>
      <c r="E76" s="103">
        <v>44761</v>
      </c>
      <c r="F76" s="106" t="s">
        <v>108</v>
      </c>
      <c r="G76" s="110" t="s">
        <v>46</v>
      </c>
      <c r="H76" s="106" t="s">
        <v>149</v>
      </c>
      <c r="I76" s="110" t="s">
        <v>59</v>
      </c>
      <c r="J76" s="106" t="s">
        <v>110</v>
      </c>
      <c r="K76" s="106" t="s">
        <v>111</v>
      </c>
      <c r="L76" s="106" t="s">
        <v>195</v>
      </c>
      <c r="M76" s="106" t="s">
        <v>112</v>
      </c>
      <c r="N76" s="109"/>
      <c r="O76" s="109">
        <v>1</v>
      </c>
      <c r="P76" s="109">
        <v>1</v>
      </c>
      <c r="Q76" s="108">
        <v>0</v>
      </c>
      <c r="R76" s="106" t="s">
        <v>197</v>
      </c>
      <c r="S76" s="106"/>
      <c r="T76" s="106" t="s">
        <v>182</v>
      </c>
      <c r="U76" s="106" t="s">
        <v>190</v>
      </c>
    </row>
    <row r="77" spans="1:21" s="89" customFormat="1">
      <c r="A77" s="88">
        <v>2022</v>
      </c>
      <c r="B77" s="89" t="s">
        <v>423</v>
      </c>
      <c r="C77" s="90">
        <v>27497</v>
      </c>
      <c r="D77" s="91">
        <v>29</v>
      </c>
      <c r="E77" s="92">
        <v>44761</v>
      </c>
      <c r="F77" s="89" t="s">
        <v>108</v>
      </c>
      <c r="G77" s="93" t="s">
        <v>46</v>
      </c>
      <c r="H77" s="89" t="s">
        <v>144</v>
      </c>
      <c r="I77" s="93" t="s">
        <v>59</v>
      </c>
      <c r="J77" s="89" t="s">
        <v>110</v>
      </c>
      <c r="K77" s="89" t="s">
        <v>111</v>
      </c>
      <c r="L77" s="89" t="s">
        <v>348</v>
      </c>
      <c r="M77" s="89" t="s">
        <v>112</v>
      </c>
      <c r="N77" s="88"/>
      <c r="O77" s="88">
        <v>22</v>
      </c>
      <c r="P77" s="88">
        <v>22</v>
      </c>
      <c r="Q77" s="91">
        <v>1</v>
      </c>
      <c r="R77" s="89" t="s">
        <v>198</v>
      </c>
      <c r="T77" s="89" t="s">
        <v>181</v>
      </c>
      <c r="U77" s="89" t="s">
        <v>189</v>
      </c>
    </row>
    <row r="78" spans="1:21" s="51" customFormat="1">
      <c r="A78" s="109">
        <v>2022</v>
      </c>
      <c r="B78" s="106" t="s">
        <v>424</v>
      </c>
      <c r="C78" s="101">
        <v>27498</v>
      </c>
      <c r="D78" s="108">
        <v>29</v>
      </c>
      <c r="E78" s="103">
        <v>44761</v>
      </c>
      <c r="F78" s="106" t="s">
        <v>108</v>
      </c>
      <c r="G78" s="110" t="s">
        <v>46</v>
      </c>
      <c r="H78" s="106" t="s">
        <v>144</v>
      </c>
      <c r="I78" s="110" t="s">
        <v>59</v>
      </c>
      <c r="J78" s="106" t="s">
        <v>110</v>
      </c>
      <c r="K78" s="106" t="s">
        <v>111</v>
      </c>
      <c r="L78" s="106" t="s">
        <v>195</v>
      </c>
      <c r="M78" s="106" t="s">
        <v>112</v>
      </c>
      <c r="N78" s="109"/>
      <c r="O78" s="109">
        <v>4</v>
      </c>
      <c r="P78" s="109">
        <v>4</v>
      </c>
      <c r="Q78" s="108">
        <v>0</v>
      </c>
      <c r="R78" s="106" t="s">
        <v>197</v>
      </c>
      <c r="S78" s="106"/>
      <c r="T78" s="106" t="s">
        <v>182</v>
      </c>
      <c r="U78" s="106" t="s">
        <v>190</v>
      </c>
    </row>
    <row r="79" spans="1:21" s="51" customFormat="1">
      <c r="A79" s="109">
        <v>2022</v>
      </c>
      <c r="B79" s="106" t="s">
        <v>425</v>
      </c>
      <c r="C79" s="101">
        <v>27499</v>
      </c>
      <c r="D79" s="108">
        <v>29</v>
      </c>
      <c r="E79" s="103">
        <v>44761</v>
      </c>
      <c r="F79" s="106" t="s">
        <v>108</v>
      </c>
      <c r="G79" s="110" t="s">
        <v>46</v>
      </c>
      <c r="H79" s="106" t="s">
        <v>142</v>
      </c>
      <c r="I79" s="110" t="s">
        <v>59</v>
      </c>
      <c r="J79" s="106" t="s">
        <v>110</v>
      </c>
      <c r="K79" s="106" t="s">
        <v>111</v>
      </c>
      <c r="L79" s="106" t="s">
        <v>348</v>
      </c>
      <c r="M79" s="106" t="s">
        <v>112</v>
      </c>
      <c r="N79" s="109"/>
      <c r="O79" s="109">
        <v>35</v>
      </c>
      <c r="P79" s="109">
        <v>35</v>
      </c>
      <c r="Q79" s="108">
        <v>0</v>
      </c>
      <c r="R79" s="106" t="s">
        <v>197</v>
      </c>
      <c r="S79" s="106"/>
      <c r="T79" s="106" t="s">
        <v>181</v>
      </c>
      <c r="U79" s="106" t="s">
        <v>189</v>
      </c>
    </row>
    <row r="80" spans="1:21" s="51" customFormat="1">
      <c r="A80" s="109">
        <v>2022</v>
      </c>
      <c r="B80" s="106" t="s">
        <v>426</v>
      </c>
      <c r="C80" s="101">
        <v>27500</v>
      </c>
      <c r="D80" s="108">
        <v>29</v>
      </c>
      <c r="E80" s="103">
        <v>44761</v>
      </c>
      <c r="F80" s="106" t="s">
        <v>108</v>
      </c>
      <c r="G80" s="110" t="s">
        <v>46</v>
      </c>
      <c r="H80" s="106" t="s">
        <v>152</v>
      </c>
      <c r="I80" s="110" t="s">
        <v>59</v>
      </c>
      <c r="J80" s="106" t="s">
        <v>118</v>
      </c>
      <c r="K80" s="106" t="s">
        <v>111</v>
      </c>
      <c r="L80" s="110" t="s">
        <v>348</v>
      </c>
      <c r="M80" s="106" t="s">
        <v>112</v>
      </c>
      <c r="N80" s="109">
        <v>2</v>
      </c>
      <c r="O80" s="109"/>
      <c r="P80" s="109">
        <v>2</v>
      </c>
      <c r="Q80" s="108">
        <v>0</v>
      </c>
      <c r="R80" s="106" t="s">
        <v>197</v>
      </c>
      <c r="S80" s="106"/>
      <c r="T80" s="106" t="s">
        <v>181</v>
      </c>
      <c r="U80" s="106" t="s">
        <v>189</v>
      </c>
    </row>
    <row r="81" spans="1:22" s="51" customFormat="1">
      <c r="A81" s="109">
        <v>2022</v>
      </c>
      <c r="B81" s="106" t="s">
        <v>427</v>
      </c>
      <c r="C81" s="101">
        <v>27501</v>
      </c>
      <c r="D81" s="108">
        <v>29</v>
      </c>
      <c r="E81" s="103">
        <v>44761</v>
      </c>
      <c r="F81" s="106" t="s">
        <v>108</v>
      </c>
      <c r="G81" s="110" t="s">
        <v>46</v>
      </c>
      <c r="H81" s="106" t="s">
        <v>152</v>
      </c>
      <c r="I81" s="110" t="s">
        <v>59</v>
      </c>
      <c r="J81" s="106" t="s">
        <v>118</v>
      </c>
      <c r="K81" s="106" t="s">
        <v>111</v>
      </c>
      <c r="L81" s="106" t="s">
        <v>195</v>
      </c>
      <c r="M81" s="106" t="s">
        <v>112</v>
      </c>
      <c r="N81" s="109">
        <v>41</v>
      </c>
      <c r="O81" s="109"/>
      <c r="P81" s="109">
        <v>41</v>
      </c>
      <c r="Q81" s="108">
        <v>0</v>
      </c>
      <c r="R81" s="106" t="s">
        <v>197</v>
      </c>
      <c r="S81" s="106"/>
      <c r="T81" s="106" t="s">
        <v>182</v>
      </c>
      <c r="U81" s="106" t="s">
        <v>190</v>
      </c>
    </row>
    <row r="82" spans="1:22" s="51" customFormat="1">
      <c r="A82" s="109">
        <v>2022</v>
      </c>
      <c r="B82" s="106" t="s">
        <v>428</v>
      </c>
      <c r="C82" s="101">
        <v>27502</v>
      </c>
      <c r="D82" s="108">
        <v>29</v>
      </c>
      <c r="E82" s="103">
        <v>44761</v>
      </c>
      <c r="F82" s="106" t="s">
        <v>108</v>
      </c>
      <c r="G82" s="110" t="s">
        <v>46</v>
      </c>
      <c r="H82" s="106" t="s">
        <v>140</v>
      </c>
      <c r="I82" s="110" t="s">
        <v>59</v>
      </c>
      <c r="J82" s="106" t="s">
        <v>110</v>
      </c>
      <c r="K82" s="106" t="s">
        <v>111</v>
      </c>
      <c r="L82" s="106" t="s">
        <v>348</v>
      </c>
      <c r="M82" s="106" t="s">
        <v>112</v>
      </c>
      <c r="N82" s="109"/>
      <c r="O82" s="109">
        <v>50</v>
      </c>
      <c r="P82" s="109">
        <v>50</v>
      </c>
      <c r="Q82" s="108">
        <v>0</v>
      </c>
      <c r="R82" s="106" t="s">
        <v>197</v>
      </c>
      <c r="S82" s="106"/>
      <c r="T82" s="106" t="s">
        <v>181</v>
      </c>
      <c r="U82" s="106" t="s">
        <v>189</v>
      </c>
    </row>
    <row r="83" spans="1:22" s="51" customFormat="1">
      <c r="A83" s="109">
        <v>2022</v>
      </c>
      <c r="B83" s="106" t="s">
        <v>429</v>
      </c>
      <c r="C83" s="101">
        <v>27503</v>
      </c>
      <c r="D83" s="108">
        <v>29</v>
      </c>
      <c r="E83" s="103">
        <v>44761</v>
      </c>
      <c r="F83" s="106" t="s">
        <v>108</v>
      </c>
      <c r="G83" s="110" t="s">
        <v>46</v>
      </c>
      <c r="H83" s="106" t="s">
        <v>140</v>
      </c>
      <c r="I83" s="110" t="s">
        <v>59</v>
      </c>
      <c r="J83" s="106" t="s">
        <v>110</v>
      </c>
      <c r="K83" s="106" t="s">
        <v>111</v>
      </c>
      <c r="L83" s="106" t="s">
        <v>348</v>
      </c>
      <c r="M83" s="106" t="s">
        <v>112</v>
      </c>
      <c r="N83" s="109"/>
      <c r="O83" s="109">
        <v>50</v>
      </c>
      <c r="P83" s="109">
        <v>50</v>
      </c>
      <c r="Q83" s="108">
        <v>0</v>
      </c>
      <c r="R83" s="106" t="s">
        <v>197</v>
      </c>
      <c r="S83" s="106"/>
      <c r="T83" s="106" t="s">
        <v>181</v>
      </c>
      <c r="U83" s="106" t="s">
        <v>189</v>
      </c>
    </row>
    <row r="84" spans="1:22" s="51" customFormat="1">
      <c r="A84" s="109">
        <v>2022</v>
      </c>
      <c r="B84" s="106" t="s">
        <v>430</v>
      </c>
      <c r="C84" s="101">
        <v>27504</v>
      </c>
      <c r="D84" s="108">
        <v>29</v>
      </c>
      <c r="E84" s="103">
        <v>44761</v>
      </c>
      <c r="F84" s="106" t="s">
        <v>108</v>
      </c>
      <c r="G84" s="110" t="s">
        <v>46</v>
      </c>
      <c r="H84" s="106" t="s">
        <v>140</v>
      </c>
      <c r="I84" s="110" t="s">
        <v>59</v>
      </c>
      <c r="J84" s="106" t="s">
        <v>110</v>
      </c>
      <c r="K84" s="106" t="s">
        <v>111</v>
      </c>
      <c r="L84" s="106" t="s">
        <v>348</v>
      </c>
      <c r="M84" s="106" t="s">
        <v>112</v>
      </c>
      <c r="N84" s="109"/>
      <c r="O84" s="109">
        <v>21</v>
      </c>
      <c r="P84" s="109">
        <v>21</v>
      </c>
      <c r="Q84" s="108">
        <v>0</v>
      </c>
      <c r="R84" s="106" t="s">
        <v>197</v>
      </c>
      <c r="S84" s="106"/>
      <c r="T84" s="106" t="s">
        <v>181</v>
      </c>
      <c r="U84" s="106" t="s">
        <v>189</v>
      </c>
    </row>
    <row r="85" spans="1:22" s="51" customFormat="1">
      <c r="A85" s="109">
        <v>2022</v>
      </c>
      <c r="B85" s="106" t="s">
        <v>431</v>
      </c>
      <c r="C85" s="101">
        <v>27505</v>
      </c>
      <c r="D85" s="108">
        <v>29</v>
      </c>
      <c r="E85" s="103">
        <v>44761</v>
      </c>
      <c r="F85" s="106" t="s">
        <v>108</v>
      </c>
      <c r="G85" s="110" t="s">
        <v>46</v>
      </c>
      <c r="H85" s="106" t="s">
        <v>140</v>
      </c>
      <c r="I85" s="110" t="s">
        <v>59</v>
      </c>
      <c r="J85" s="106" t="s">
        <v>110</v>
      </c>
      <c r="K85" s="106" t="s">
        <v>111</v>
      </c>
      <c r="L85" s="106" t="s">
        <v>195</v>
      </c>
      <c r="M85" s="106" t="s">
        <v>112</v>
      </c>
      <c r="N85" s="109"/>
      <c r="O85" s="109">
        <v>5</v>
      </c>
      <c r="P85" s="109">
        <v>5</v>
      </c>
      <c r="Q85" s="108">
        <v>0</v>
      </c>
      <c r="R85" s="106" t="s">
        <v>197</v>
      </c>
      <c r="S85" s="106"/>
      <c r="T85" s="106" t="s">
        <v>182</v>
      </c>
      <c r="U85" s="106" t="s">
        <v>190</v>
      </c>
    </row>
    <row r="86" spans="1:22" s="51" customFormat="1">
      <c r="A86" s="109">
        <v>2022</v>
      </c>
      <c r="B86" s="106" t="s">
        <v>432</v>
      </c>
      <c r="C86" s="101">
        <v>27506</v>
      </c>
      <c r="D86" s="108">
        <v>29</v>
      </c>
      <c r="E86" s="103">
        <v>44761</v>
      </c>
      <c r="F86" s="106" t="s">
        <v>108</v>
      </c>
      <c r="G86" s="110" t="s">
        <v>46</v>
      </c>
      <c r="H86" s="106" t="s">
        <v>151</v>
      </c>
      <c r="I86" s="110" t="s">
        <v>59</v>
      </c>
      <c r="J86" s="106" t="s">
        <v>118</v>
      </c>
      <c r="K86" s="106" t="s">
        <v>111</v>
      </c>
      <c r="L86" s="106" t="s">
        <v>348</v>
      </c>
      <c r="M86" s="106" t="s">
        <v>112</v>
      </c>
      <c r="N86" s="109">
        <v>5</v>
      </c>
      <c r="O86" s="109"/>
      <c r="P86" s="109">
        <v>5</v>
      </c>
      <c r="Q86" s="108">
        <v>0</v>
      </c>
      <c r="R86" s="106" t="s">
        <v>197</v>
      </c>
      <c r="S86" s="106"/>
      <c r="T86" s="106" t="s">
        <v>181</v>
      </c>
      <c r="U86" s="106" t="s">
        <v>189</v>
      </c>
    </row>
    <row r="87" spans="1:22" s="51" customFormat="1">
      <c r="A87" s="109">
        <v>2022</v>
      </c>
      <c r="B87" s="106" t="s">
        <v>433</v>
      </c>
      <c r="C87" s="101">
        <v>27507</v>
      </c>
      <c r="D87" s="108">
        <v>29</v>
      </c>
      <c r="E87" s="103">
        <v>44761</v>
      </c>
      <c r="F87" s="106" t="s">
        <v>108</v>
      </c>
      <c r="G87" s="110" t="s">
        <v>46</v>
      </c>
      <c r="H87" s="106" t="s">
        <v>151</v>
      </c>
      <c r="I87" s="110" t="s">
        <v>59</v>
      </c>
      <c r="J87" s="106" t="s">
        <v>118</v>
      </c>
      <c r="K87" s="106" t="s">
        <v>111</v>
      </c>
      <c r="L87" s="106" t="s">
        <v>195</v>
      </c>
      <c r="M87" s="106" t="s">
        <v>112</v>
      </c>
      <c r="N87" s="109">
        <v>50</v>
      </c>
      <c r="O87" s="109"/>
      <c r="P87" s="109">
        <v>50</v>
      </c>
      <c r="Q87" s="108">
        <v>0</v>
      </c>
      <c r="R87" s="106" t="s">
        <v>197</v>
      </c>
      <c r="S87" s="106"/>
      <c r="T87" s="106" t="s">
        <v>182</v>
      </c>
      <c r="U87" s="106" t="s">
        <v>190</v>
      </c>
    </row>
    <row r="88" spans="1:22" s="51" customFormat="1">
      <c r="A88" s="109">
        <v>2022</v>
      </c>
      <c r="B88" s="106" t="s">
        <v>434</v>
      </c>
      <c r="C88" s="101">
        <v>27508</v>
      </c>
      <c r="D88" s="108">
        <v>29</v>
      </c>
      <c r="E88" s="103">
        <v>44761</v>
      </c>
      <c r="F88" s="106" t="s">
        <v>108</v>
      </c>
      <c r="G88" s="110" t="s">
        <v>46</v>
      </c>
      <c r="H88" s="106" t="s">
        <v>151</v>
      </c>
      <c r="I88" s="110" t="s">
        <v>59</v>
      </c>
      <c r="J88" s="106" t="s">
        <v>118</v>
      </c>
      <c r="K88" s="106" t="s">
        <v>111</v>
      </c>
      <c r="L88" s="106" t="s">
        <v>195</v>
      </c>
      <c r="M88" s="106" t="s">
        <v>112</v>
      </c>
      <c r="N88" s="109">
        <v>50</v>
      </c>
      <c r="O88" s="109"/>
      <c r="P88" s="109">
        <v>50</v>
      </c>
      <c r="Q88" s="108">
        <v>0</v>
      </c>
      <c r="R88" s="106" t="s">
        <v>197</v>
      </c>
      <c r="S88" s="106"/>
      <c r="T88" s="106" t="s">
        <v>182</v>
      </c>
      <c r="U88" s="106" t="s">
        <v>190</v>
      </c>
    </row>
    <row r="89" spans="1:22" s="89" customFormat="1">
      <c r="A89" s="109">
        <v>2022</v>
      </c>
      <c r="B89" s="106" t="s">
        <v>435</v>
      </c>
      <c r="C89" s="101">
        <v>27509</v>
      </c>
      <c r="D89" s="108">
        <v>29</v>
      </c>
      <c r="E89" s="103">
        <v>44761</v>
      </c>
      <c r="F89" s="106" t="s">
        <v>108</v>
      </c>
      <c r="G89" s="110" t="s">
        <v>46</v>
      </c>
      <c r="H89" s="106" t="s">
        <v>151</v>
      </c>
      <c r="I89" s="110" t="s">
        <v>59</v>
      </c>
      <c r="J89" s="106" t="s">
        <v>118</v>
      </c>
      <c r="K89" s="106" t="s">
        <v>111</v>
      </c>
      <c r="L89" s="106" t="s">
        <v>195</v>
      </c>
      <c r="M89" s="106" t="s">
        <v>112</v>
      </c>
      <c r="N89" s="109">
        <v>22</v>
      </c>
      <c r="O89" s="109"/>
      <c r="P89" s="109">
        <v>22</v>
      </c>
      <c r="Q89" s="108">
        <v>0</v>
      </c>
      <c r="R89" s="106" t="s">
        <v>197</v>
      </c>
      <c r="S89" s="106"/>
      <c r="T89" s="106" t="s">
        <v>182</v>
      </c>
      <c r="U89" s="106" t="s">
        <v>190</v>
      </c>
      <c r="V89" s="51"/>
    </row>
    <row r="90" spans="1:22" s="51" customFormat="1">
      <c r="A90" s="109">
        <v>2022</v>
      </c>
      <c r="B90" s="106" t="s">
        <v>436</v>
      </c>
      <c r="C90" s="101">
        <v>27510</v>
      </c>
      <c r="D90" s="108">
        <v>29</v>
      </c>
      <c r="E90" s="103">
        <v>44761</v>
      </c>
      <c r="F90" s="106" t="s">
        <v>108</v>
      </c>
      <c r="G90" s="110" t="s">
        <v>46</v>
      </c>
      <c r="H90" s="106" t="s">
        <v>141</v>
      </c>
      <c r="I90" s="110" t="s">
        <v>59</v>
      </c>
      <c r="J90" s="106" t="s">
        <v>110</v>
      </c>
      <c r="K90" s="106" t="s">
        <v>111</v>
      </c>
      <c r="L90" s="106" t="s">
        <v>348</v>
      </c>
      <c r="M90" s="106" t="s">
        <v>112</v>
      </c>
      <c r="N90" s="109"/>
      <c r="O90" s="109">
        <v>50</v>
      </c>
      <c r="P90" s="109">
        <v>50</v>
      </c>
      <c r="Q90" s="108">
        <v>0</v>
      </c>
      <c r="R90" s="106" t="s">
        <v>197</v>
      </c>
      <c r="S90" s="106"/>
      <c r="T90" s="106" t="s">
        <v>181</v>
      </c>
      <c r="U90" s="106" t="s">
        <v>189</v>
      </c>
    </row>
    <row r="91" spans="1:22" s="51" customFormat="1">
      <c r="A91" s="109">
        <v>2022</v>
      </c>
      <c r="B91" s="106" t="s">
        <v>437</v>
      </c>
      <c r="C91" s="101">
        <v>27511</v>
      </c>
      <c r="D91" s="108">
        <v>29</v>
      </c>
      <c r="E91" s="103">
        <v>44761</v>
      </c>
      <c r="F91" s="106" t="s">
        <v>108</v>
      </c>
      <c r="G91" s="110" t="s">
        <v>46</v>
      </c>
      <c r="H91" s="106" t="s">
        <v>141</v>
      </c>
      <c r="I91" s="110" t="s">
        <v>59</v>
      </c>
      <c r="J91" s="106" t="s">
        <v>110</v>
      </c>
      <c r="K91" s="106" t="s">
        <v>111</v>
      </c>
      <c r="L91" s="106" t="s">
        <v>348</v>
      </c>
      <c r="M91" s="106" t="s">
        <v>112</v>
      </c>
      <c r="N91" s="109"/>
      <c r="O91" s="109">
        <v>50</v>
      </c>
      <c r="P91" s="109">
        <v>50</v>
      </c>
      <c r="Q91" s="108">
        <v>0</v>
      </c>
      <c r="R91" s="106" t="s">
        <v>197</v>
      </c>
      <c r="S91" s="106"/>
      <c r="T91" s="106" t="s">
        <v>181</v>
      </c>
      <c r="U91" s="106" t="s">
        <v>189</v>
      </c>
    </row>
    <row r="92" spans="1:22" s="51" customFormat="1">
      <c r="A92" s="109">
        <v>2022</v>
      </c>
      <c r="B92" s="106" t="s">
        <v>438</v>
      </c>
      <c r="C92" s="101">
        <v>27512</v>
      </c>
      <c r="D92" s="108">
        <v>29</v>
      </c>
      <c r="E92" s="103">
        <v>44761</v>
      </c>
      <c r="F92" s="106" t="s">
        <v>108</v>
      </c>
      <c r="G92" s="110" t="s">
        <v>46</v>
      </c>
      <c r="H92" s="106" t="s">
        <v>141</v>
      </c>
      <c r="I92" s="110" t="s">
        <v>59</v>
      </c>
      <c r="J92" s="106" t="s">
        <v>110</v>
      </c>
      <c r="K92" s="106" t="s">
        <v>111</v>
      </c>
      <c r="L92" s="106" t="s">
        <v>348</v>
      </c>
      <c r="M92" s="106" t="s">
        <v>112</v>
      </c>
      <c r="N92" s="109"/>
      <c r="O92" s="109">
        <v>50</v>
      </c>
      <c r="P92" s="109">
        <v>50</v>
      </c>
      <c r="Q92" s="108">
        <v>0</v>
      </c>
      <c r="R92" s="106" t="s">
        <v>197</v>
      </c>
      <c r="S92" s="106"/>
      <c r="T92" s="106" t="s">
        <v>181</v>
      </c>
      <c r="U92" s="106" t="s">
        <v>189</v>
      </c>
    </row>
    <row r="93" spans="1:22" s="51" customFormat="1">
      <c r="A93" s="109">
        <v>2022</v>
      </c>
      <c r="B93" s="106" t="s">
        <v>439</v>
      </c>
      <c r="C93" s="101">
        <v>27513</v>
      </c>
      <c r="D93" s="108">
        <v>29</v>
      </c>
      <c r="E93" s="103">
        <v>44761</v>
      </c>
      <c r="F93" s="106" t="s">
        <v>108</v>
      </c>
      <c r="G93" s="110" t="s">
        <v>46</v>
      </c>
      <c r="H93" s="106" t="s">
        <v>141</v>
      </c>
      <c r="I93" s="110" t="s">
        <v>59</v>
      </c>
      <c r="J93" s="106" t="s">
        <v>110</v>
      </c>
      <c r="K93" s="106" t="s">
        <v>111</v>
      </c>
      <c r="L93" s="106" t="s">
        <v>348</v>
      </c>
      <c r="M93" s="106" t="s">
        <v>112</v>
      </c>
      <c r="N93" s="109"/>
      <c r="O93" s="109">
        <v>50</v>
      </c>
      <c r="P93" s="109">
        <v>50</v>
      </c>
      <c r="Q93" s="108">
        <v>0</v>
      </c>
      <c r="R93" s="106" t="s">
        <v>197</v>
      </c>
      <c r="S93" s="106"/>
      <c r="T93" s="106" t="s">
        <v>181</v>
      </c>
      <c r="U93" s="106" t="s">
        <v>189</v>
      </c>
    </row>
    <row r="94" spans="1:22" s="51" customFormat="1">
      <c r="A94" s="109">
        <v>2022</v>
      </c>
      <c r="B94" s="106" t="s">
        <v>440</v>
      </c>
      <c r="C94" s="101">
        <v>27514</v>
      </c>
      <c r="D94" s="108">
        <v>29</v>
      </c>
      <c r="E94" s="103">
        <v>44761</v>
      </c>
      <c r="F94" s="106" t="s">
        <v>108</v>
      </c>
      <c r="G94" s="110" t="s">
        <v>46</v>
      </c>
      <c r="H94" s="106" t="s">
        <v>141</v>
      </c>
      <c r="I94" s="110" t="s">
        <v>59</v>
      </c>
      <c r="J94" s="106" t="s">
        <v>110</v>
      </c>
      <c r="K94" s="106" t="s">
        <v>111</v>
      </c>
      <c r="L94" s="106" t="s">
        <v>348</v>
      </c>
      <c r="M94" s="106" t="s">
        <v>112</v>
      </c>
      <c r="N94" s="109"/>
      <c r="O94" s="109">
        <v>50</v>
      </c>
      <c r="P94" s="109">
        <v>50</v>
      </c>
      <c r="Q94" s="108">
        <v>0</v>
      </c>
      <c r="R94" s="106" t="s">
        <v>197</v>
      </c>
      <c r="S94" s="106"/>
      <c r="T94" s="106" t="s">
        <v>181</v>
      </c>
      <c r="U94" s="106" t="s">
        <v>189</v>
      </c>
    </row>
    <row r="95" spans="1:22" s="51" customFormat="1">
      <c r="A95" s="109">
        <v>2022</v>
      </c>
      <c r="B95" s="106" t="s">
        <v>441</v>
      </c>
      <c r="C95" s="101">
        <v>27515</v>
      </c>
      <c r="D95" s="108">
        <v>29</v>
      </c>
      <c r="E95" s="103">
        <v>44761</v>
      </c>
      <c r="F95" s="106" t="s">
        <v>108</v>
      </c>
      <c r="G95" s="110" t="s">
        <v>46</v>
      </c>
      <c r="H95" s="106" t="s">
        <v>141</v>
      </c>
      <c r="I95" s="110" t="s">
        <v>59</v>
      </c>
      <c r="J95" s="106" t="s">
        <v>110</v>
      </c>
      <c r="K95" s="106" t="s">
        <v>111</v>
      </c>
      <c r="L95" s="106" t="s">
        <v>348</v>
      </c>
      <c r="M95" s="106" t="s">
        <v>112</v>
      </c>
      <c r="N95" s="109"/>
      <c r="O95" s="109">
        <v>50</v>
      </c>
      <c r="P95" s="109">
        <v>50</v>
      </c>
      <c r="Q95" s="108">
        <v>0</v>
      </c>
      <c r="R95" s="106" t="s">
        <v>197</v>
      </c>
      <c r="S95" s="106"/>
      <c r="T95" s="106" t="s">
        <v>181</v>
      </c>
      <c r="U95" s="106" t="s">
        <v>189</v>
      </c>
    </row>
    <row r="96" spans="1:22" s="51" customFormat="1">
      <c r="A96" s="109">
        <v>2022</v>
      </c>
      <c r="B96" s="106" t="s">
        <v>442</v>
      </c>
      <c r="C96" s="101">
        <v>27516</v>
      </c>
      <c r="D96" s="108">
        <v>29</v>
      </c>
      <c r="E96" s="103">
        <v>44761</v>
      </c>
      <c r="F96" s="106" t="s">
        <v>108</v>
      </c>
      <c r="G96" s="110" t="s">
        <v>46</v>
      </c>
      <c r="H96" s="106" t="s">
        <v>141</v>
      </c>
      <c r="I96" s="110" t="s">
        <v>59</v>
      </c>
      <c r="J96" s="106" t="s">
        <v>110</v>
      </c>
      <c r="K96" s="106" t="s">
        <v>111</v>
      </c>
      <c r="L96" s="106" t="s">
        <v>348</v>
      </c>
      <c r="M96" s="106" t="s">
        <v>112</v>
      </c>
      <c r="N96" s="109"/>
      <c r="O96" s="109">
        <v>50</v>
      </c>
      <c r="P96" s="109">
        <v>50</v>
      </c>
      <c r="Q96" s="108">
        <v>0</v>
      </c>
      <c r="R96" s="106" t="s">
        <v>197</v>
      </c>
      <c r="S96" s="106"/>
      <c r="T96" s="106" t="s">
        <v>181</v>
      </c>
      <c r="U96" s="106" t="s">
        <v>189</v>
      </c>
    </row>
    <row r="97" spans="1:21" s="51" customFormat="1">
      <c r="A97" s="109">
        <v>2022</v>
      </c>
      <c r="B97" s="106" t="s">
        <v>443</v>
      </c>
      <c r="C97" s="101">
        <v>27517</v>
      </c>
      <c r="D97" s="108">
        <v>29</v>
      </c>
      <c r="E97" s="103">
        <v>44761</v>
      </c>
      <c r="F97" s="106" t="s">
        <v>108</v>
      </c>
      <c r="G97" s="110" t="s">
        <v>46</v>
      </c>
      <c r="H97" s="106" t="s">
        <v>141</v>
      </c>
      <c r="I97" s="110" t="s">
        <v>59</v>
      </c>
      <c r="J97" s="106" t="s">
        <v>110</v>
      </c>
      <c r="K97" s="106" t="s">
        <v>111</v>
      </c>
      <c r="L97" s="106" t="s">
        <v>348</v>
      </c>
      <c r="M97" s="106" t="s">
        <v>112</v>
      </c>
      <c r="N97" s="109"/>
      <c r="O97" s="109">
        <v>50</v>
      </c>
      <c r="P97" s="109">
        <v>50</v>
      </c>
      <c r="Q97" s="108">
        <v>0</v>
      </c>
      <c r="R97" s="106" t="s">
        <v>197</v>
      </c>
      <c r="S97" s="106"/>
      <c r="T97" s="106" t="s">
        <v>181</v>
      </c>
      <c r="U97" s="106" t="s">
        <v>189</v>
      </c>
    </row>
    <row r="98" spans="1:21" s="51" customFormat="1">
      <c r="A98" s="109">
        <v>2022</v>
      </c>
      <c r="B98" s="106" t="s">
        <v>444</v>
      </c>
      <c r="C98" s="101">
        <v>27518</v>
      </c>
      <c r="D98" s="108">
        <v>29</v>
      </c>
      <c r="E98" s="103">
        <v>44761</v>
      </c>
      <c r="F98" s="106" t="s">
        <v>108</v>
      </c>
      <c r="G98" s="110" t="s">
        <v>46</v>
      </c>
      <c r="H98" s="106" t="s">
        <v>141</v>
      </c>
      <c r="I98" s="110" t="s">
        <v>59</v>
      </c>
      <c r="J98" s="106" t="s">
        <v>110</v>
      </c>
      <c r="K98" s="106" t="s">
        <v>111</v>
      </c>
      <c r="L98" s="106" t="s">
        <v>348</v>
      </c>
      <c r="M98" s="106" t="s">
        <v>112</v>
      </c>
      <c r="N98" s="109"/>
      <c r="O98" s="109">
        <v>50</v>
      </c>
      <c r="P98" s="109">
        <v>50</v>
      </c>
      <c r="Q98" s="108">
        <v>0</v>
      </c>
      <c r="R98" s="106" t="s">
        <v>197</v>
      </c>
      <c r="S98" s="106"/>
      <c r="T98" s="106" t="s">
        <v>181</v>
      </c>
      <c r="U98" s="106" t="s">
        <v>189</v>
      </c>
    </row>
    <row r="99" spans="1:21" s="51" customFormat="1">
      <c r="A99" s="109">
        <v>2022</v>
      </c>
      <c r="B99" s="106" t="s">
        <v>445</v>
      </c>
      <c r="C99" s="101">
        <v>27519</v>
      </c>
      <c r="D99" s="108">
        <v>29</v>
      </c>
      <c r="E99" s="103">
        <v>44761</v>
      </c>
      <c r="F99" s="106" t="s">
        <v>108</v>
      </c>
      <c r="G99" s="110" t="s">
        <v>46</v>
      </c>
      <c r="H99" s="106" t="s">
        <v>141</v>
      </c>
      <c r="I99" s="110" t="s">
        <v>59</v>
      </c>
      <c r="J99" s="106" t="s">
        <v>110</v>
      </c>
      <c r="K99" s="106" t="s">
        <v>111</v>
      </c>
      <c r="L99" s="106" t="s">
        <v>348</v>
      </c>
      <c r="M99" s="106" t="s">
        <v>112</v>
      </c>
      <c r="N99" s="109"/>
      <c r="O99" s="109">
        <v>42</v>
      </c>
      <c r="P99" s="109">
        <v>42</v>
      </c>
      <c r="Q99" s="108">
        <v>0</v>
      </c>
      <c r="R99" s="106" t="s">
        <v>197</v>
      </c>
      <c r="S99" s="106"/>
      <c r="T99" s="106" t="s">
        <v>181</v>
      </c>
      <c r="U99" s="106" t="s">
        <v>189</v>
      </c>
    </row>
    <row r="100" spans="1:21" s="51" customFormat="1">
      <c r="A100" s="109">
        <v>2022</v>
      </c>
      <c r="B100" s="106" t="s">
        <v>446</v>
      </c>
      <c r="C100" s="101">
        <v>27520</v>
      </c>
      <c r="D100" s="108">
        <v>29</v>
      </c>
      <c r="E100" s="103">
        <v>44761</v>
      </c>
      <c r="F100" s="106" t="s">
        <v>108</v>
      </c>
      <c r="G100" s="110" t="s">
        <v>46</v>
      </c>
      <c r="H100" s="106" t="s">
        <v>141</v>
      </c>
      <c r="I100" s="110" t="s">
        <v>59</v>
      </c>
      <c r="J100" s="106" t="s">
        <v>110</v>
      </c>
      <c r="K100" s="106" t="s">
        <v>111</v>
      </c>
      <c r="L100" s="106" t="s">
        <v>195</v>
      </c>
      <c r="M100" s="106" t="s">
        <v>112</v>
      </c>
      <c r="N100" s="109"/>
      <c r="O100" s="109">
        <v>20</v>
      </c>
      <c r="P100" s="109">
        <v>20</v>
      </c>
      <c r="Q100" s="108">
        <v>0</v>
      </c>
      <c r="R100" s="106" t="s">
        <v>197</v>
      </c>
      <c r="S100" s="106"/>
      <c r="T100" s="106" t="s">
        <v>182</v>
      </c>
      <c r="U100" s="106" t="s">
        <v>190</v>
      </c>
    </row>
    <row r="101" spans="1:21" s="51" customFormat="1">
      <c r="A101" s="109">
        <v>2022</v>
      </c>
      <c r="B101" s="106" t="s">
        <v>447</v>
      </c>
      <c r="C101" s="101">
        <v>27521</v>
      </c>
      <c r="D101" s="108">
        <v>29</v>
      </c>
      <c r="E101" s="103">
        <v>44761</v>
      </c>
      <c r="F101" s="106" t="s">
        <v>108</v>
      </c>
      <c r="G101" s="110" t="s">
        <v>46</v>
      </c>
      <c r="H101" s="106" t="s">
        <v>148</v>
      </c>
      <c r="I101" s="110" t="s">
        <v>59</v>
      </c>
      <c r="J101" s="106" t="s">
        <v>110</v>
      </c>
      <c r="K101" s="106" t="s">
        <v>111</v>
      </c>
      <c r="L101" s="106" t="s">
        <v>348</v>
      </c>
      <c r="M101" s="106" t="s">
        <v>112</v>
      </c>
      <c r="N101" s="109"/>
      <c r="O101" s="109">
        <v>50</v>
      </c>
      <c r="P101" s="109">
        <v>50</v>
      </c>
      <c r="Q101" s="108">
        <v>0</v>
      </c>
      <c r="R101" s="106" t="s">
        <v>197</v>
      </c>
      <c r="S101" s="106"/>
      <c r="T101" s="106" t="s">
        <v>181</v>
      </c>
      <c r="U101" s="106" t="s">
        <v>189</v>
      </c>
    </row>
    <row r="102" spans="1:21" s="51" customFormat="1">
      <c r="A102" s="109">
        <v>2022</v>
      </c>
      <c r="B102" s="106" t="s">
        <v>448</v>
      </c>
      <c r="C102" s="101">
        <v>27522</v>
      </c>
      <c r="D102" s="108">
        <v>29</v>
      </c>
      <c r="E102" s="103">
        <v>44761</v>
      </c>
      <c r="F102" s="106" t="s">
        <v>108</v>
      </c>
      <c r="G102" s="110" t="s">
        <v>46</v>
      </c>
      <c r="H102" s="106" t="s">
        <v>148</v>
      </c>
      <c r="I102" s="110" t="s">
        <v>59</v>
      </c>
      <c r="J102" s="106" t="s">
        <v>110</v>
      </c>
      <c r="K102" s="106" t="s">
        <v>111</v>
      </c>
      <c r="L102" s="106" t="s">
        <v>348</v>
      </c>
      <c r="M102" s="106" t="s">
        <v>112</v>
      </c>
      <c r="N102" s="109"/>
      <c r="O102" s="109">
        <v>50</v>
      </c>
      <c r="P102" s="109">
        <v>50</v>
      </c>
      <c r="Q102" s="108">
        <v>0</v>
      </c>
      <c r="R102" s="106" t="s">
        <v>197</v>
      </c>
      <c r="S102" s="106"/>
      <c r="T102" s="106" t="s">
        <v>181</v>
      </c>
      <c r="U102" s="106" t="s">
        <v>189</v>
      </c>
    </row>
    <row r="103" spans="1:21" s="51" customFormat="1">
      <c r="A103" s="109">
        <v>2022</v>
      </c>
      <c r="B103" s="106" t="s">
        <v>449</v>
      </c>
      <c r="C103" s="101">
        <v>27523</v>
      </c>
      <c r="D103" s="108">
        <v>29</v>
      </c>
      <c r="E103" s="103">
        <v>44761</v>
      </c>
      <c r="F103" s="106" t="s">
        <v>108</v>
      </c>
      <c r="G103" s="110" t="s">
        <v>46</v>
      </c>
      <c r="H103" s="106" t="s">
        <v>148</v>
      </c>
      <c r="I103" s="110" t="s">
        <v>59</v>
      </c>
      <c r="J103" s="106" t="s">
        <v>110</v>
      </c>
      <c r="K103" s="106" t="s">
        <v>111</v>
      </c>
      <c r="L103" s="106" t="s">
        <v>195</v>
      </c>
      <c r="M103" s="106" t="s">
        <v>112</v>
      </c>
      <c r="N103" s="109"/>
      <c r="O103" s="109">
        <v>11</v>
      </c>
      <c r="P103" s="109">
        <v>11</v>
      </c>
      <c r="Q103" s="108">
        <v>0</v>
      </c>
      <c r="R103" s="106" t="s">
        <v>197</v>
      </c>
      <c r="S103" s="106"/>
      <c r="T103" s="106" t="s">
        <v>182</v>
      </c>
      <c r="U103" s="106" t="s">
        <v>190</v>
      </c>
    </row>
    <row r="104" spans="1:21" s="51" customFormat="1">
      <c r="A104" s="109">
        <v>2022</v>
      </c>
      <c r="B104" s="106" t="s">
        <v>450</v>
      </c>
      <c r="C104" s="101">
        <v>27524</v>
      </c>
      <c r="D104" s="108">
        <v>29</v>
      </c>
      <c r="E104" s="103">
        <v>44761</v>
      </c>
      <c r="F104" s="106" t="s">
        <v>108</v>
      </c>
      <c r="G104" s="110" t="s">
        <v>46</v>
      </c>
      <c r="H104" s="106" t="s">
        <v>146</v>
      </c>
      <c r="I104" s="110" t="s">
        <v>59</v>
      </c>
      <c r="J104" s="106" t="s">
        <v>110</v>
      </c>
      <c r="K104" s="106" t="s">
        <v>111</v>
      </c>
      <c r="L104" s="106" t="s">
        <v>348</v>
      </c>
      <c r="M104" s="106" t="s">
        <v>112</v>
      </c>
      <c r="N104" s="109"/>
      <c r="O104" s="109">
        <v>37</v>
      </c>
      <c r="P104" s="109">
        <v>37</v>
      </c>
      <c r="Q104" s="108">
        <v>0</v>
      </c>
      <c r="R104" s="106" t="s">
        <v>197</v>
      </c>
      <c r="S104" s="106"/>
      <c r="T104" s="106" t="s">
        <v>181</v>
      </c>
      <c r="U104" s="106" t="s">
        <v>189</v>
      </c>
    </row>
    <row r="105" spans="1:21" s="51" customFormat="1">
      <c r="A105" s="109">
        <v>2022</v>
      </c>
      <c r="B105" s="106" t="s">
        <v>451</v>
      </c>
      <c r="C105" s="101">
        <v>27525</v>
      </c>
      <c r="D105" s="108">
        <v>29</v>
      </c>
      <c r="E105" s="103">
        <v>44761</v>
      </c>
      <c r="F105" s="106" t="s">
        <v>108</v>
      </c>
      <c r="G105" s="110" t="s">
        <v>46</v>
      </c>
      <c r="H105" s="106" t="s">
        <v>139</v>
      </c>
      <c r="I105" s="110" t="s">
        <v>59</v>
      </c>
      <c r="J105" s="106" t="s">
        <v>110</v>
      </c>
      <c r="K105" s="106" t="s">
        <v>111</v>
      </c>
      <c r="L105" s="106" t="s">
        <v>348</v>
      </c>
      <c r="M105" s="106" t="s">
        <v>112</v>
      </c>
      <c r="N105" s="109"/>
      <c r="O105" s="109">
        <v>50</v>
      </c>
      <c r="P105" s="109">
        <v>50</v>
      </c>
      <c r="Q105" s="108">
        <v>0</v>
      </c>
      <c r="R105" s="106" t="s">
        <v>197</v>
      </c>
      <c r="S105" s="106"/>
      <c r="T105" s="106" t="s">
        <v>181</v>
      </c>
      <c r="U105" s="106" t="s">
        <v>189</v>
      </c>
    </row>
    <row r="106" spans="1:21" s="51" customFormat="1">
      <c r="A106" s="109">
        <v>2022</v>
      </c>
      <c r="B106" s="106" t="s">
        <v>452</v>
      </c>
      <c r="C106" s="101">
        <v>27526</v>
      </c>
      <c r="D106" s="108">
        <v>29</v>
      </c>
      <c r="E106" s="103">
        <v>44761</v>
      </c>
      <c r="F106" s="106" t="s">
        <v>108</v>
      </c>
      <c r="G106" s="110" t="s">
        <v>46</v>
      </c>
      <c r="H106" s="106" t="s">
        <v>139</v>
      </c>
      <c r="I106" s="110" t="s">
        <v>59</v>
      </c>
      <c r="J106" s="106" t="s">
        <v>110</v>
      </c>
      <c r="K106" s="106" t="s">
        <v>111</v>
      </c>
      <c r="L106" s="106" t="s">
        <v>348</v>
      </c>
      <c r="M106" s="106" t="s">
        <v>112</v>
      </c>
      <c r="N106" s="109"/>
      <c r="O106" s="109">
        <v>50</v>
      </c>
      <c r="P106" s="109">
        <v>50</v>
      </c>
      <c r="Q106" s="108">
        <v>0</v>
      </c>
      <c r="R106" s="106" t="s">
        <v>197</v>
      </c>
      <c r="S106" s="106"/>
      <c r="T106" s="106" t="s">
        <v>181</v>
      </c>
      <c r="U106" s="106" t="s">
        <v>189</v>
      </c>
    </row>
    <row r="107" spans="1:21" s="51" customFormat="1">
      <c r="A107" s="109">
        <v>2022</v>
      </c>
      <c r="B107" s="106" t="s">
        <v>453</v>
      </c>
      <c r="C107" s="101">
        <v>27527</v>
      </c>
      <c r="D107" s="108">
        <v>29</v>
      </c>
      <c r="E107" s="103">
        <v>44761</v>
      </c>
      <c r="F107" s="106" t="s">
        <v>108</v>
      </c>
      <c r="G107" s="110" t="s">
        <v>46</v>
      </c>
      <c r="H107" s="106" t="s">
        <v>139</v>
      </c>
      <c r="I107" s="110" t="s">
        <v>59</v>
      </c>
      <c r="J107" s="106" t="s">
        <v>110</v>
      </c>
      <c r="K107" s="106" t="s">
        <v>111</v>
      </c>
      <c r="L107" s="106" t="s">
        <v>348</v>
      </c>
      <c r="M107" s="106" t="s">
        <v>112</v>
      </c>
      <c r="N107" s="109"/>
      <c r="O107" s="109">
        <v>4</v>
      </c>
      <c r="P107" s="109">
        <v>4</v>
      </c>
      <c r="Q107" s="108">
        <v>0</v>
      </c>
      <c r="R107" s="106" t="s">
        <v>197</v>
      </c>
      <c r="S107" s="106"/>
      <c r="T107" s="106" t="s">
        <v>181</v>
      </c>
      <c r="U107" s="106" t="s">
        <v>189</v>
      </c>
    </row>
    <row r="108" spans="1:21" s="89" customFormat="1">
      <c r="A108" s="109">
        <v>2022</v>
      </c>
      <c r="B108" s="106" t="s">
        <v>454</v>
      </c>
      <c r="C108" s="101">
        <v>27528</v>
      </c>
      <c r="D108" s="108">
        <v>29</v>
      </c>
      <c r="E108" s="103">
        <v>44761</v>
      </c>
      <c r="F108" s="106" t="s">
        <v>108</v>
      </c>
      <c r="G108" s="110" t="s">
        <v>46</v>
      </c>
      <c r="H108" s="106" t="s">
        <v>139</v>
      </c>
      <c r="I108" s="110" t="s">
        <v>59</v>
      </c>
      <c r="J108" s="106" t="s">
        <v>110</v>
      </c>
      <c r="K108" s="106" t="s">
        <v>111</v>
      </c>
      <c r="L108" s="106" t="s">
        <v>195</v>
      </c>
      <c r="M108" s="106" t="s">
        <v>112</v>
      </c>
      <c r="N108" s="109"/>
      <c r="O108" s="109">
        <v>11</v>
      </c>
      <c r="P108" s="109">
        <v>11</v>
      </c>
      <c r="Q108" s="108">
        <v>0</v>
      </c>
      <c r="R108" s="106" t="s">
        <v>197</v>
      </c>
      <c r="S108" s="106"/>
      <c r="T108" s="106" t="s">
        <v>182</v>
      </c>
      <c r="U108" s="106" t="s">
        <v>190</v>
      </c>
    </row>
    <row r="109" spans="1:21" s="51" customFormat="1">
      <c r="A109" s="109">
        <v>2022</v>
      </c>
      <c r="B109" s="106" t="s">
        <v>455</v>
      </c>
      <c r="C109" s="101">
        <v>27529</v>
      </c>
      <c r="D109" s="108">
        <v>29</v>
      </c>
      <c r="E109" s="103">
        <v>44761</v>
      </c>
      <c r="F109" s="106" t="s">
        <v>108</v>
      </c>
      <c r="G109" s="110" t="s">
        <v>46</v>
      </c>
      <c r="H109" s="106" t="s">
        <v>147</v>
      </c>
      <c r="I109" s="110" t="s">
        <v>59</v>
      </c>
      <c r="J109" s="106" t="s">
        <v>110</v>
      </c>
      <c r="K109" s="106" t="s">
        <v>111</v>
      </c>
      <c r="L109" s="106" t="s">
        <v>348</v>
      </c>
      <c r="M109" s="106" t="s">
        <v>112</v>
      </c>
      <c r="N109" s="109"/>
      <c r="O109" s="109">
        <v>50</v>
      </c>
      <c r="P109" s="109">
        <v>50</v>
      </c>
      <c r="Q109" s="108">
        <v>0</v>
      </c>
      <c r="R109" s="106" t="s">
        <v>197</v>
      </c>
      <c r="S109" s="106"/>
      <c r="T109" s="106" t="s">
        <v>181</v>
      </c>
      <c r="U109" s="106" t="s">
        <v>189</v>
      </c>
    </row>
    <row r="110" spans="1:21" s="51" customFormat="1">
      <c r="A110" s="109">
        <v>2022</v>
      </c>
      <c r="B110" s="106" t="s">
        <v>456</v>
      </c>
      <c r="C110" s="101">
        <v>27530</v>
      </c>
      <c r="D110" s="108">
        <v>29</v>
      </c>
      <c r="E110" s="103">
        <v>44761</v>
      </c>
      <c r="F110" s="106" t="s">
        <v>108</v>
      </c>
      <c r="G110" s="110" t="s">
        <v>46</v>
      </c>
      <c r="H110" s="106" t="s">
        <v>147</v>
      </c>
      <c r="I110" s="110" t="s">
        <v>59</v>
      </c>
      <c r="J110" s="106" t="s">
        <v>110</v>
      </c>
      <c r="K110" s="106" t="s">
        <v>111</v>
      </c>
      <c r="L110" s="106" t="s">
        <v>348</v>
      </c>
      <c r="M110" s="106" t="s">
        <v>112</v>
      </c>
      <c r="N110" s="109"/>
      <c r="O110" s="109">
        <v>19</v>
      </c>
      <c r="P110" s="109">
        <v>19</v>
      </c>
      <c r="Q110" s="108">
        <v>0</v>
      </c>
      <c r="R110" s="106" t="s">
        <v>197</v>
      </c>
      <c r="S110" s="106"/>
      <c r="T110" s="106" t="s">
        <v>181</v>
      </c>
      <c r="U110" s="106" t="s">
        <v>189</v>
      </c>
    </row>
    <row r="111" spans="1:21" s="51" customFormat="1">
      <c r="A111" s="109">
        <v>2022</v>
      </c>
      <c r="B111" s="106" t="s">
        <v>457</v>
      </c>
      <c r="C111" s="101">
        <v>27531</v>
      </c>
      <c r="D111" s="108">
        <v>29</v>
      </c>
      <c r="E111" s="103">
        <v>44761</v>
      </c>
      <c r="F111" s="106" t="s">
        <v>108</v>
      </c>
      <c r="G111" s="110" t="s">
        <v>46</v>
      </c>
      <c r="H111" s="106" t="s">
        <v>147</v>
      </c>
      <c r="I111" s="110" t="s">
        <v>59</v>
      </c>
      <c r="J111" s="106" t="s">
        <v>110</v>
      </c>
      <c r="K111" s="106" t="s">
        <v>111</v>
      </c>
      <c r="L111" s="106" t="s">
        <v>195</v>
      </c>
      <c r="M111" s="106" t="s">
        <v>112</v>
      </c>
      <c r="N111" s="109"/>
      <c r="O111" s="109">
        <v>3</v>
      </c>
      <c r="P111" s="109">
        <v>3</v>
      </c>
      <c r="Q111" s="108">
        <v>0</v>
      </c>
      <c r="R111" s="106" t="s">
        <v>197</v>
      </c>
      <c r="S111" s="106"/>
      <c r="T111" s="106" t="s">
        <v>182</v>
      </c>
      <c r="U111" s="106" t="s">
        <v>190</v>
      </c>
    </row>
    <row r="112" spans="1:21" s="51" customFormat="1">
      <c r="A112" s="109">
        <v>2022</v>
      </c>
      <c r="B112" s="106" t="s">
        <v>458</v>
      </c>
      <c r="C112" s="101">
        <v>27532</v>
      </c>
      <c r="D112" s="108">
        <v>29</v>
      </c>
      <c r="E112" s="103">
        <v>44761</v>
      </c>
      <c r="F112" s="106" t="s">
        <v>108</v>
      </c>
      <c r="G112" s="110" t="s">
        <v>46</v>
      </c>
      <c r="H112" s="106" t="s">
        <v>138</v>
      </c>
      <c r="I112" s="110" t="s">
        <v>59</v>
      </c>
      <c r="J112" s="106" t="s">
        <v>110</v>
      </c>
      <c r="K112" s="106" t="s">
        <v>111</v>
      </c>
      <c r="L112" s="106" t="s">
        <v>348</v>
      </c>
      <c r="M112" s="106" t="s">
        <v>112</v>
      </c>
      <c r="N112" s="109"/>
      <c r="O112" s="109">
        <v>27</v>
      </c>
      <c r="P112" s="109">
        <v>27</v>
      </c>
      <c r="Q112" s="108">
        <v>0</v>
      </c>
      <c r="R112" s="106" t="s">
        <v>197</v>
      </c>
      <c r="S112" s="106"/>
      <c r="T112" s="106" t="s">
        <v>181</v>
      </c>
      <c r="U112" s="106" t="s">
        <v>189</v>
      </c>
    </row>
    <row r="113" spans="1:21" s="51" customFormat="1">
      <c r="A113" s="109">
        <v>2022</v>
      </c>
      <c r="B113" s="106" t="s">
        <v>459</v>
      </c>
      <c r="C113" s="101">
        <v>27533</v>
      </c>
      <c r="D113" s="108">
        <v>29</v>
      </c>
      <c r="E113" s="103">
        <v>44761</v>
      </c>
      <c r="F113" s="106" t="s">
        <v>108</v>
      </c>
      <c r="G113" s="110" t="s">
        <v>46</v>
      </c>
      <c r="H113" s="106" t="s">
        <v>138</v>
      </c>
      <c r="I113" s="110" t="s">
        <v>59</v>
      </c>
      <c r="J113" s="106" t="s">
        <v>110</v>
      </c>
      <c r="K113" s="106" t="s">
        <v>111</v>
      </c>
      <c r="L113" s="106" t="s">
        <v>195</v>
      </c>
      <c r="M113" s="106" t="s">
        <v>112</v>
      </c>
      <c r="N113" s="109"/>
      <c r="O113" s="109">
        <v>3</v>
      </c>
      <c r="P113" s="109">
        <v>3</v>
      </c>
      <c r="Q113" s="108">
        <v>0</v>
      </c>
      <c r="R113" s="106" t="s">
        <v>197</v>
      </c>
      <c r="S113" s="106"/>
      <c r="T113" s="106" t="s">
        <v>182</v>
      </c>
      <c r="U113" s="106" t="s">
        <v>190</v>
      </c>
    </row>
    <row r="114" spans="1:21" s="51" customFormat="1">
      <c r="A114" s="109">
        <v>2022</v>
      </c>
      <c r="B114" s="106" t="s">
        <v>460</v>
      </c>
      <c r="C114" s="101">
        <v>27534</v>
      </c>
      <c r="D114" s="108">
        <v>29</v>
      </c>
      <c r="E114" s="103">
        <v>44761</v>
      </c>
      <c r="F114" s="106" t="s">
        <v>108</v>
      </c>
      <c r="G114" s="110" t="s">
        <v>46</v>
      </c>
      <c r="H114" s="106" t="s">
        <v>150</v>
      </c>
      <c r="I114" s="110" t="s">
        <v>59</v>
      </c>
      <c r="J114" s="106" t="s">
        <v>110</v>
      </c>
      <c r="K114" s="106" t="s">
        <v>111</v>
      </c>
      <c r="L114" s="106" t="s">
        <v>348</v>
      </c>
      <c r="M114" s="106" t="s">
        <v>112</v>
      </c>
      <c r="N114" s="109"/>
      <c r="O114" s="109">
        <v>50</v>
      </c>
      <c r="P114" s="109">
        <v>50</v>
      </c>
      <c r="Q114" s="108">
        <v>0</v>
      </c>
      <c r="R114" s="106" t="s">
        <v>197</v>
      </c>
      <c r="S114" s="106"/>
      <c r="T114" s="106" t="s">
        <v>181</v>
      </c>
      <c r="U114" s="106" t="s">
        <v>189</v>
      </c>
    </row>
    <row r="115" spans="1:21" s="51" customFormat="1">
      <c r="A115" s="109">
        <v>2022</v>
      </c>
      <c r="B115" s="106" t="s">
        <v>461</v>
      </c>
      <c r="C115" s="101">
        <v>27535</v>
      </c>
      <c r="D115" s="108">
        <v>29</v>
      </c>
      <c r="E115" s="103">
        <v>44761</v>
      </c>
      <c r="F115" s="106" t="s">
        <v>108</v>
      </c>
      <c r="G115" s="110" t="s">
        <v>46</v>
      </c>
      <c r="H115" s="106" t="s">
        <v>150</v>
      </c>
      <c r="I115" s="110" t="s">
        <v>59</v>
      </c>
      <c r="J115" s="106" t="s">
        <v>110</v>
      </c>
      <c r="K115" s="106" t="s">
        <v>111</v>
      </c>
      <c r="L115" s="106" t="s">
        <v>348</v>
      </c>
      <c r="M115" s="106" t="s">
        <v>112</v>
      </c>
      <c r="N115" s="109"/>
      <c r="O115" s="109">
        <v>50</v>
      </c>
      <c r="P115" s="109">
        <v>50</v>
      </c>
      <c r="Q115" s="108">
        <v>0</v>
      </c>
      <c r="R115" s="106" t="s">
        <v>197</v>
      </c>
      <c r="S115" s="106"/>
      <c r="T115" s="106" t="s">
        <v>181</v>
      </c>
      <c r="U115" s="106" t="s">
        <v>189</v>
      </c>
    </row>
    <row r="116" spans="1:21" s="51" customFormat="1">
      <c r="A116" s="109">
        <v>2022</v>
      </c>
      <c r="B116" s="106" t="s">
        <v>462</v>
      </c>
      <c r="C116" s="101">
        <v>27536</v>
      </c>
      <c r="D116" s="108">
        <v>29</v>
      </c>
      <c r="E116" s="103">
        <v>44761</v>
      </c>
      <c r="F116" s="106" t="s">
        <v>108</v>
      </c>
      <c r="G116" s="110" t="s">
        <v>46</v>
      </c>
      <c r="H116" s="106" t="s">
        <v>150</v>
      </c>
      <c r="I116" s="110" t="s">
        <v>59</v>
      </c>
      <c r="J116" s="106" t="s">
        <v>110</v>
      </c>
      <c r="K116" s="106" t="s">
        <v>111</v>
      </c>
      <c r="L116" s="106" t="s">
        <v>348</v>
      </c>
      <c r="M116" s="106" t="s">
        <v>112</v>
      </c>
      <c r="N116" s="109"/>
      <c r="O116" s="109">
        <v>11</v>
      </c>
      <c r="P116" s="109">
        <v>11</v>
      </c>
      <c r="Q116" s="108">
        <v>0</v>
      </c>
      <c r="R116" s="106" t="s">
        <v>197</v>
      </c>
      <c r="S116" s="106"/>
      <c r="T116" s="106" t="s">
        <v>181</v>
      </c>
      <c r="U116" s="106" t="s">
        <v>189</v>
      </c>
    </row>
    <row r="117" spans="1:21" s="51" customFormat="1">
      <c r="A117" s="109">
        <v>2022</v>
      </c>
      <c r="B117" s="106" t="s">
        <v>463</v>
      </c>
      <c r="C117" s="101">
        <v>27537</v>
      </c>
      <c r="D117" s="108">
        <v>29</v>
      </c>
      <c r="E117" s="103">
        <v>44761</v>
      </c>
      <c r="F117" s="106" t="s">
        <v>108</v>
      </c>
      <c r="G117" s="110" t="s">
        <v>46</v>
      </c>
      <c r="H117" s="106" t="s">
        <v>145</v>
      </c>
      <c r="I117" s="106" t="s">
        <v>59</v>
      </c>
      <c r="J117" s="106" t="s">
        <v>110</v>
      </c>
      <c r="K117" s="106" t="s">
        <v>111</v>
      </c>
      <c r="L117" s="106" t="s">
        <v>195</v>
      </c>
      <c r="M117" s="106" t="s">
        <v>112</v>
      </c>
      <c r="N117" s="109"/>
      <c r="O117" s="109">
        <v>4</v>
      </c>
      <c r="P117" s="109">
        <v>4</v>
      </c>
      <c r="Q117" s="108">
        <v>0</v>
      </c>
      <c r="R117" s="106" t="s">
        <v>197</v>
      </c>
      <c r="S117" s="106"/>
      <c r="T117" s="106" t="s">
        <v>182</v>
      </c>
      <c r="U117" s="106" t="s">
        <v>190</v>
      </c>
    </row>
    <row r="118" spans="1:21" s="51" customFormat="1">
      <c r="A118" s="109">
        <v>2022</v>
      </c>
      <c r="B118" s="106" t="s">
        <v>464</v>
      </c>
      <c r="C118" s="101">
        <v>27538</v>
      </c>
      <c r="D118" s="108">
        <v>29</v>
      </c>
      <c r="E118" s="103">
        <v>44761</v>
      </c>
      <c r="F118" s="106" t="s">
        <v>108</v>
      </c>
      <c r="G118" s="110" t="s">
        <v>46</v>
      </c>
      <c r="H118" s="106" t="s">
        <v>145</v>
      </c>
      <c r="I118" s="106" t="s">
        <v>59</v>
      </c>
      <c r="J118" s="106" t="s">
        <v>110</v>
      </c>
      <c r="K118" s="106" t="s">
        <v>111</v>
      </c>
      <c r="L118" s="106" t="s">
        <v>348</v>
      </c>
      <c r="M118" s="106" t="s">
        <v>112</v>
      </c>
      <c r="N118" s="109"/>
      <c r="O118" s="109">
        <v>50</v>
      </c>
      <c r="P118" s="109">
        <v>50</v>
      </c>
      <c r="Q118" s="108">
        <v>0</v>
      </c>
      <c r="R118" s="106" t="s">
        <v>197</v>
      </c>
      <c r="S118" s="106"/>
      <c r="T118" s="106" t="s">
        <v>181</v>
      </c>
      <c r="U118" s="106" t="s">
        <v>189</v>
      </c>
    </row>
    <row r="119" spans="1:21" s="51" customFormat="1">
      <c r="A119" s="109">
        <v>2022</v>
      </c>
      <c r="B119" s="106" t="s">
        <v>465</v>
      </c>
      <c r="C119" s="101">
        <v>27539</v>
      </c>
      <c r="D119" s="108">
        <v>29</v>
      </c>
      <c r="E119" s="103">
        <v>44761</v>
      </c>
      <c r="F119" s="106" t="s">
        <v>108</v>
      </c>
      <c r="G119" s="110" t="s">
        <v>46</v>
      </c>
      <c r="H119" s="106" t="s">
        <v>145</v>
      </c>
      <c r="I119" s="106" t="s">
        <v>59</v>
      </c>
      <c r="J119" s="106" t="s">
        <v>110</v>
      </c>
      <c r="K119" s="106" t="s">
        <v>111</v>
      </c>
      <c r="L119" s="106" t="s">
        <v>348</v>
      </c>
      <c r="M119" s="106" t="s">
        <v>112</v>
      </c>
      <c r="N119" s="109"/>
      <c r="O119" s="109">
        <v>44</v>
      </c>
      <c r="P119" s="109">
        <v>44</v>
      </c>
      <c r="Q119" s="108">
        <v>0</v>
      </c>
      <c r="R119" s="106" t="s">
        <v>197</v>
      </c>
      <c r="S119" s="106"/>
      <c r="T119" s="106" t="s">
        <v>181</v>
      </c>
      <c r="U119" s="106" t="s">
        <v>189</v>
      </c>
    </row>
    <row r="120" spans="1:21" s="51" customFormat="1">
      <c r="A120" s="109">
        <v>2022</v>
      </c>
      <c r="B120" s="106" t="s">
        <v>466</v>
      </c>
      <c r="C120" s="101">
        <v>27540</v>
      </c>
      <c r="D120" s="108">
        <v>29</v>
      </c>
      <c r="E120" s="103">
        <v>44762</v>
      </c>
      <c r="F120" s="106" t="s">
        <v>108</v>
      </c>
      <c r="G120" s="110" t="s">
        <v>46</v>
      </c>
      <c r="H120" s="106" t="s">
        <v>153</v>
      </c>
      <c r="I120" s="106" t="s">
        <v>57</v>
      </c>
      <c r="J120" s="106" t="s">
        <v>110</v>
      </c>
      <c r="K120" s="106" t="s">
        <v>111</v>
      </c>
      <c r="L120" s="106" t="s">
        <v>348</v>
      </c>
      <c r="M120" s="106" t="s">
        <v>112</v>
      </c>
      <c r="N120" s="109"/>
      <c r="O120" s="109">
        <v>50</v>
      </c>
      <c r="P120" s="109">
        <v>50</v>
      </c>
      <c r="Q120" s="108">
        <v>0</v>
      </c>
      <c r="R120" s="106" t="s">
        <v>197</v>
      </c>
      <c r="S120" s="106"/>
      <c r="T120" s="106" t="s">
        <v>181</v>
      </c>
      <c r="U120" s="106" t="s">
        <v>188</v>
      </c>
    </row>
    <row r="121" spans="1:21" s="51" customFormat="1">
      <c r="A121" s="109">
        <v>2022</v>
      </c>
      <c r="B121" s="106" t="s">
        <v>467</v>
      </c>
      <c r="C121" s="101">
        <v>27541</v>
      </c>
      <c r="D121" s="108">
        <v>29</v>
      </c>
      <c r="E121" s="103">
        <v>44762</v>
      </c>
      <c r="F121" s="106" t="s">
        <v>108</v>
      </c>
      <c r="G121" s="110" t="s">
        <v>46</v>
      </c>
      <c r="H121" s="106" t="s">
        <v>153</v>
      </c>
      <c r="I121" s="106" t="s">
        <v>57</v>
      </c>
      <c r="J121" s="106" t="s">
        <v>110</v>
      </c>
      <c r="K121" s="106" t="s">
        <v>111</v>
      </c>
      <c r="L121" s="106" t="s">
        <v>348</v>
      </c>
      <c r="M121" s="106" t="s">
        <v>112</v>
      </c>
      <c r="N121" s="109"/>
      <c r="O121" s="109">
        <v>39</v>
      </c>
      <c r="P121" s="109">
        <v>39</v>
      </c>
      <c r="Q121" s="108">
        <v>0</v>
      </c>
      <c r="R121" s="106" t="s">
        <v>197</v>
      </c>
      <c r="S121" s="106"/>
      <c r="T121" s="106" t="s">
        <v>181</v>
      </c>
      <c r="U121" s="106" t="s">
        <v>188</v>
      </c>
    </row>
    <row r="122" spans="1:21" s="51" customFormat="1">
      <c r="A122" s="109">
        <v>2022</v>
      </c>
      <c r="B122" s="106" t="s">
        <v>468</v>
      </c>
      <c r="C122" s="101">
        <v>27542</v>
      </c>
      <c r="D122" s="108">
        <v>29</v>
      </c>
      <c r="E122" s="103">
        <v>44762</v>
      </c>
      <c r="F122" s="106" t="s">
        <v>108</v>
      </c>
      <c r="G122" s="110" t="s">
        <v>46</v>
      </c>
      <c r="H122" s="106" t="s">
        <v>153</v>
      </c>
      <c r="I122" s="110" t="s">
        <v>57</v>
      </c>
      <c r="J122" s="106" t="s">
        <v>110</v>
      </c>
      <c r="K122" s="106" t="s">
        <v>111</v>
      </c>
      <c r="L122" s="106" t="s">
        <v>195</v>
      </c>
      <c r="M122" s="106" t="s">
        <v>112</v>
      </c>
      <c r="N122" s="109"/>
      <c r="O122" s="109">
        <v>10</v>
      </c>
      <c r="P122" s="109">
        <v>10</v>
      </c>
      <c r="Q122" s="108">
        <v>0</v>
      </c>
      <c r="R122" s="106" t="s">
        <v>197</v>
      </c>
      <c r="S122" s="106"/>
      <c r="T122" s="106" t="s">
        <v>182</v>
      </c>
      <c r="U122" s="106" t="s">
        <v>191</v>
      </c>
    </row>
    <row r="123" spans="1:21" s="51" customFormat="1">
      <c r="A123" s="109">
        <v>2022</v>
      </c>
      <c r="B123" s="106" t="s">
        <v>469</v>
      </c>
      <c r="C123" s="101">
        <v>27543</v>
      </c>
      <c r="D123" s="108">
        <v>29</v>
      </c>
      <c r="E123" s="103">
        <v>44762</v>
      </c>
      <c r="F123" s="106" t="s">
        <v>108</v>
      </c>
      <c r="G123" s="110" t="s">
        <v>46</v>
      </c>
      <c r="H123" s="106" t="s">
        <v>154</v>
      </c>
      <c r="I123" s="110" t="s">
        <v>57</v>
      </c>
      <c r="J123" s="106" t="s">
        <v>110</v>
      </c>
      <c r="K123" s="106" t="s">
        <v>111</v>
      </c>
      <c r="L123" s="106" t="s">
        <v>348</v>
      </c>
      <c r="M123" s="106" t="s">
        <v>112</v>
      </c>
      <c r="N123" s="109"/>
      <c r="O123" s="109">
        <v>20</v>
      </c>
      <c r="P123" s="109">
        <v>20</v>
      </c>
      <c r="Q123" s="108">
        <v>0</v>
      </c>
      <c r="R123" s="106" t="s">
        <v>197</v>
      </c>
      <c r="S123" s="106"/>
      <c r="T123" s="106" t="s">
        <v>181</v>
      </c>
      <c r="U123" s="106" t="s">
        <v>188</v>
      </c>
    </row>
    <row r="124" spans="1:21" s="51" customFormat="1">
      <c r="A124" s="109">
        <v>2022</v>
      </c>
      <c r="B124" s="106" t="s">
        <v>470</v>
      </c>
      <c r="C124" s="101">
        <v>27544</v>
      </c>
      <c r="D124" s="108">
        <v>29</v>
      </c>
      <c r="E124" s="103">
        <v>44762</v>
      </c>
      <c r="F124" s="106" t="s">
        <v>108</v>
      </c>
      <c r="G124" s="110" t="s">
        <v>100</v>
      </c>
      <c r="H124" s="106" t="s">
        <v>471</v>
      </c>
      <c r="I124" s="110" t="s">
        <v>100</v>
      </c>
      <c r="J124" s="106" t="s">
        <v>110</v>
      </c>
      <c r="K124" s="106" t="s">
        <v>111</v>
      </c>
      <c r="L124" s="106" t="s">
        <v>348</v>
      </c>
      <c r="M124" s="106" t="s">
        <v>112</v>
      </c>
      <c r="N124" s="109"/>
      <c r="O124" s="109">
        <v>50</v>
      </c>
      <c r="P124" s="109">
        <v>50</v>
      </c>
      <c r="Q124" s="108">
        <v>0</v>
      </c>
      <c r="R124" s="106" t="s">
        <v>197</v>
      </c>
      <c r="S124" s="106"/>
      <c r="T124" s="106" t="s">
        <v>183</v>
      </c>
      <c r="U124" s="106" t="s">
        <v>183</v>
      </c>
    </row>
    <row r="125" spans="1:21" s="51" customFormat="1">
      <c r="A125" s="109">
        <v>2022</v>
      </c>
      <c r="B125" s="106" t="s">
        <v>472</v>
      </c>
      <c r="C125" s="101">
        <v>27545</v>
      </c>
      <c r="D125" s="108">
        <v>29</v>
      </c>
      <c r="E125" s="103">
        <v>44762</v>
      </c>
      <c r="F125" s="106" t="s">
        <v>108</v>
      </c>
      <c r="G125" s="110" t="s">
        <v>100</v>
      </c>
      <c r="H125" s="106" t="s">
        <v>471</v>
      </c>
      <c r="I125" s="110" t="s">
        <v>100</v>
      </c>
      <c r="J125" s="106" t="s">
        <v>110</v>
      </c>
      <c r="K125" s="106" t="s">
        <v>111</v>
      </c>
      <c r="L125" s="106" t="s">
        <v>348</v>
      </c>
      <c r="M125" s="106" t="s">
        <v>112</v>
      </c>
      <c r="N125" s="109"/>
      <c r="O125" s="109">
        <v>37</v>
      </c>
      <c r="P125" s="109">
        <v>37</v>
      </c>
      <c r="Q125" s="108">
        <v>0</v>
      </c>
      <c r="R125" s="106" t="s">
        <v>197</v>
      </c>
      <c r="S125" s="106"/>
      <c r="T125" s="106" t="s">
        <v>183</v>
      </c>
      <c r="U125" s="106" t="s">
        <v>183</v>
      </c>
    </row>
    <row r="126" spans="1:21" s="51" customFormat="1">
      <c r="A126" s="109">
        <v>2022</v>
      </c>
      <c r="B126" s="106" t="s">
        <v>473</v>
      </c>
      <c r="C126" s="101">
        <v>27546</v>
      </c>
      <c r="D126" s="108">
        <v>29</v>
      </c>
      <c r="E126" s="103">
        <v>44762</v>
      </c>
      <c r="F126" s="106" t="s">
        <v>108</v>
      </c>
      <c r="G126" s="110" t="s">
        <v>100</v>
      </c>
      <c r="H126" s="106" t="s">
        <v>471</v>
      </c>
      <c r="I126" s="110" t="s">
        <v>100</v>
      </c>
      <c r="J126" s="106" t="s">
        <v>110</v>
      </c>
      <c r="K126" s="106" t="s">
        <v>111</v>
      </c>
      <c r="L126" s="106" t="s">
        <v>195</v>
      </c>
      <c r="M126" s="106" t="s">
        <v>112</v>
      </c>
      <c r="N126" s="109"/>
      <c r="O126" s="109">
        <v>1</v>
      </c>
      <c r="P126" s="109">
        <v>1</v>
      </c>
      <c r="Q126" s="108">
        <v>0</v>
      </c>
      <c r="R126" s="106" t="s">
        <v>197</v>
      </c>
      <c r="S126" s="106"/>
      <c r="T126" s="106" t="s">
        <v>184</v>
      </c>
      <c r="U126" s="106" t="s">
        <v>184</v>
      </c>
    </row>
    <row r="127" spans="1:21" s="51" customFormat="1">
      <c r="A127" s="109">
        <v>2022</v>
      </c>
      <c r="B127" s="106" t="s">
        <v>474</v>
      </c>
      <c r="C127" s="101">
        <v>27547</v>
      </c>
      <c r="D127" s="108">
        <v>29</v>
      </c>
      <c r="E127" s="103">
        <v>44762</v>
      </c>
      <c r="F127" s="106" t="s">
        <v>108</v>
      </c>
      <c r="G127" s="110" t="s">
        <v>100</v>
      </c>
      <c r="H127" s="106" t="s">
        <v>134</v>
      </c>
      <c r="I127" s="110" t="s">
        <v>100</v>
      </c>
      <c r="J127" s="106" t="s">
        <v>110</v>
      </c>
      <c r="K127" s="106" t="s">
        <v>111</v>
      </c>
      <c r="L127" s="106" t="s">
        <v>348</v>
      </c>
      <c r="M127" s="106" t="s">
        <v>112</v>
      </c>
      <c r="N127" s="109"/>
      <c r="O127" s="109">
        <v>19</v>
      </c>
      <c r="P127" s="109">
        <v>19</v>
      </c>
      <c r="Q127" s="108">
        <v>0</v>
      </c>
      <c r="R127" s="106" t="s">
        <v>197</v>
      </c>
      <c r="S127" s="106"/>
      <c r="T127" s="106" t="s">
        <v>183</v>
      </c>
      <c r="U127" s="106" t="s">
        <v>183</v>
      </c>
    </row>
    <row r="128" spans="1:21" s="51" customFormat="1">
      <c r="A128" s="109">
        <v>2022</v>
      </c>
      <c r="B128" s="106" t="s">
        <v>475</v>
      </c>
      <c r="C128" s="101">
        <v>27548</v>
      </c>
      <c r="D128" s="108">
        <v>29</v>
      </c>
      <c r="E128" s="103">
        <v>44762</v>
      </c>
      <c r="F128" s="106" t="s">
        <v>108</v>
      </c>
      <c r="G128" s="106" t="s">
        <v>100</v>
      </c>
      <c r="H128" s="106" t="s">
        <v>136</v>
      </c>
      <c r="I128" s="110" t="s">
        <v>100</v>
      </c>
      <c r="J128" s="106" t="s">
        <v>110</v>
      </c>
      <c r="K128" s="106" t="s">
        <v>111</v>
      </c>
      <c r="L128" s="106" t="s">
        <v>348</v>
      </c>
      <c r="M128" s="106" t="s">
        <v>112</v>
      </c>
      <c r="N128" s="109"/>
      <c r="O128" s="109">
        <v>50</v>
      </c>
      <c r="P128" s="109">
        <v>50</v>
      </c>
      <c r="Q128" s="108">
        <v>0</v>
      </c>
      <c r="R128" s="106" t="s">
        <v>197</v>
      </c>
      <c r="S128" s="106"/>
      <c r="T128" s="106" t="s">
        <v>183</v>
      </c>
      <c r="U128" s="106" t="s">
        <v>183</v>
      </c>
    </row>
    <row r="129" spans="1:21" s="51" customFormat="1">
      <c r="A129" s="109">
        <v>2022</v>
      </c>
      <c r="B129" s="106" t="s">
        <v>476</v>
      </c>
      <c r="C129" s="101">
        <v>27549</v>
      </c>
      <c r="D129" s="108">
        <v>29</v>
      </c>
      <c r="E129" s="103">
        <v>44762</v>
      </c>
      <c r="F129" s="106" t="s">
        <v>108</v>
      </c>
      <c r="G129" s="106" t="s">
        <v>100</v>
      </c>
      <c r="H129" s="106" t="s">
        <v>136</v>
      </c>
      <c r="I129" s="110" t="s">
        <v>100</v>
      </c>
      <c r="J129" s="106" t="s">
        <v>110</v>
      </c>
      <c r="K129" s="106" t="s">
        <v>111</v>
      </c>
      <c r="L129" s="106" t="s">
        <v>348</v>
      </c>
      <c r="M129" s="106" t="s">
        <v>112</v>
      </c>
      <c r="N129" s="109"/>
      <c r="O129" s="109">
        <v>50</v>
      </c>
      <c r="P129" s="109">
        <v>50</v>
      </c>
      <c r="Q129" s="108">
        <v>0</v>
      </c>
      <c r="R129" s="106" t="s">
        <v>197</v>
      </c>
      <c r="S129" s="106"/>
      <c r="T129" s="106" t="s">
        <v>183</v>
      </c>
      <c r="U129" s="106" t="s">
        <v>183</v>
      </c>
    </row>
    <row r="130" spans="1:21" s="51" customFormat="1">
      <c r="A130" s="109">
        <v>2022</v>
      </c>
      <c r="B130" s="106" t="s">
        <v>477</v>
      </c>
      <c r="C130" s="101">
        <v>27550</v>
      </c>
      <c r="D130" s="108">
        <v>29</v>
      </c>
      <c r="E130" s="103">
        <v>44762</v>
      </c>
      <c r="F130" s="106" t="s">
        <v>108</v>
      </c>
      <c r="G130" s="106" t="s">
        <v>100</v>
      </c>
      <c r="H130" s="106" t="s">
        <v>136</v>
      </c>
      <c r="I130" s="106" t="s">
        <v>100</v>
      </c>
      <c r="J130" s="106" t="s">
        <v>110</v>
      </c>
      <c r="K130" s="106" t="s">
        <v>111</v>
      </c>
      <c r="L130" s="106" t="s">
        <v>348</v>
      </c>
      <c r="M130" s="106" t="s">
        <v>112</v>
      </c>
      <c r="N130" s="109"/>
      <c r="O130" s="109">
        <v>30</v>
      </c>
      <c r="P130" s="109">
        <v>30</v>
      </c>
      <c r="Q130" s="108">
        <v>0</v>
      </c>
      <c r="R130" s="106" t="s">
        <v>197</v>
      </c>
      <c r="S130" s="106"/>
      <c r="T130" s="106" t="s">
        <v>183</v>
      </c>
      <c r="U130" s="106" t="s">
        <v>183</v>
      </c>
    </row>
    <row r="131" spans="1:21" s="51" customFormat="1">
      <c r="A131" s="109">
        <v>2022</v>
      </c>
      <c r="B131" s="106" t="s">
        <v>478</v>
      </c>
      <c r="C131" s="101">
        <v>27551</v>
      </c>
      <c r="D131" s="108">
        <v>29</v>
      </c>
      <c r="E131" s="103">
        <v>44762</v>
      </c>
      <c r="F131" s="106" t="s">
        <v>108</v>
      </c>
      <c r="G131" s="106" t="s">
        <v>100</v>
      </c>
      <c r="H131" s="106" t="s">
        <v>136</v>
      </c>
      <c r="I131" s="106" t="s">
        <v>100</v>
      </c>
      <c r="J131" s="106" t="s">
        <v>110</v>
      </c>
      <c r="K131" s="106" t="s">
        <v>111</v>
      </c>
      <c r="L131" s="106" t="s">
        <v>195</v>
      </c>
      <c r="M131" s="106" t="s">
        <v>112</v>
      </c>
      <c r="N131" s="109"/>
      <c r="O131" s="109">
        <v>5</v>
      </c>
      <c r="P131" s="109">
        <v>5</v>
      </c>
      <c r="Q131" s="108">
        <v>0</v>
      </c>
      <c r="R131" s="106" t="s">
        <v>197</v>
      </c>
      <c r="S131" s="106"/>
      <c r="T131" s="106" t="s">
        <v>184</v>
      </c>
      <c r="U131" s="106" t="s">
        <v>184</v>
      </c>
    </row>
    <row r="132" spans="1:21" s="51" customFormat="1">
      <c r="A132" s="109">
        <v>2022</v>
      </c>
      <c r="B132" s="106" t="s">
        <v>479</v>
      </c>
      <c r="C132" s="101">
        <v>27552</v>
      </c>
      <c r="D132" s="108">
        <v>29</v>
      </c>
      <c r="E132" s="103">
        <v>44762</v>
      </c>
      <c r="F132" s="106" t="s">
        <v>108</v>
      </c>
      <c r="G132" s="106" t="s">
        <v>100</v>
      </c>
      <c r="H132" s="106" t="s">
        <v>135</v>
      </c>
      <c r="I132" s="106" t="s">
        <v>100</v>
      </c>
      <c r="J132" s="106" t="s">
        <v>110</v>
      </c>
      <c r="K132" s="106" t="s">
        <v>111</v>
      </c>
      <c r="L132" s="106" t="s">
        <v>348</v>
      </c>
      <c r="M132" s="106" t="s">
        <v>112</v>
      </c>
      <c r="N132" s="109"/>
      <c r="O132" s="109">
        <v>50</v>
      </c>
      <c r="P132" s="109">
        <v>50</v>
      </c>
      <c r="Q132" s="108">
        <v>0</v>
      </c>
      <c r="R132" s="106" t="s">
        <v>197</v>
      </c>
      <c r="S132" s="106"/>
      <c r="T132" s="106" t="s">
        <v>183</v>
      </c>
      <c r="U132" s="106" t="s">
        <v>183</v>
      </c>
    </row>
    <row r="133" spans="1:21" s="51" customFormat="1">
      <c r="A133" s="109">
        <v>2022</v>
      </c>
      <c r="B133" s="106" t="s">
        <v>480</v>
      </c>
      <c r="C133" s="101">
        <v>27553</v>
      </c>
      <c r="D133" s="108">
        <v>29</v>
      </c>
      <c r="E133" s="103">
        <v>44762</v>
      </c>
      <c r="F133" s="106" t="s">
        <v>108</v>
      </c>
      <c r="G133" s="106" t="s">
        <v>100</v>
      </c>
      <c r="H133" s="106" t="s">
        <v>135</v>
      </c>
      <c r="I133" s="106" t="s">
        <v>100</v>
      </c>
      <c r="J133" s="106" t="s">
        <v>110</v>
      </c>
      <c r="K133" s="106" t="s">
        <v>111</v>
      </c>
      <c r="L133" s="106" t="s">
        <v>348</v>
      </c>
      <c r="M133" s="106" t="s">
        <v>112</v>
      </c>
      <c r="N133" s="109"/>
      <c r="O133" s="109">
        <v>50</v>
      </c>
      <c r="P133" s="109">
        <v>50</v>
      </c>
      <c r="Q133" s="108">
        <v>0</v>
      </c>
      <c r="R133" s="106" t="s">
        <v>197</v>
      </c>
      <c r="S133" s="106"/>
      <c r="T133" s="106" t="s">
        <v>183</v>
      </c>
      <c r="U133" s="106" t="s">
        <v>183</v>
      </c>
    </row>
    <row r="134" spans="1:21" s="51" customFormat="1">
      <c r="A134" s="109">
        <v>2022</v>
      </c>
      <c r="B134" s="106" t="s">
        <v>481</v>
      </c>
      <c r="C134" s="101">
        <v>27554</v>
      </c>
      <c r="D134" s="108">
        <v>29</v>
      </c>
      <c r="E134" s="103">
        <v>44762</v>
      </c>
      <c r="F134" s="106" t="s">
        <v>108</v>
      </c>
      <c r="G134" s="106" t="s">
        <v>100</v>
      </c>
      <c r="H134" s="106" t="s">
        <v>135</v>
      </c>
      <c r="I134" s="106" t="s">
        <v>100</v>
      </c>
      <c r="J134" s="106" t="s">
        <v>110</v>
      </c>
      <c r="K134" s="106" t="s">
        <v>111</v>
      </c>
      <c r="L134" s="106" t="s">
        <v>348</v>
      </c>
      <c r="M134" s="106" t="s">
        <v>112</v>
      </c>
      <c r="N134" s="109"/>
      <c r="O134" s="109">
        <v>44</v>
      </c>
      <c r="P134" s="109">
        <v>44</v>
      </c>
      <c r="Q134" s="108">
        <v>0</v>
      </c>
      <c r="R134" s="106" t="s">
        <v>197</v>
      </c>
      <c r="S134" s="106"/>
      <c r="T134" s="106" t="s">
        <v>183</v>
      </c>
      <c r="U134" s="106" t="s">
        <v>183</v>
      </c>
    </row>
    <row r="135" spans="1:21" s="51" customFormat="1">
      <c r="A135" s="109">
        <v>2022</v>
      </c>
      <c r="B135" s="106" t="s">
        <v>482</v>
      </c>
      <c r="C135" s="101">
        <v>27555</v>
      </c>
      <c r="D135" s="108">
        <v>29</v>
      </c>
      <c r="E135" s="103">
        <v>44762</v>
      </c>
      <c r="F135" s="106" t="s">
        <v>108</v>
      </c>
      <c r="G135" s="106" t="s">
        <v>9</v>
      </c>
      <c r="H135" s="106" t="s">
        <v>133</v>
      </c>
      <c r="I135" s="106" t="s">
        <v>9</v>
      </c>
      <c r="J135" s="106" t="s">
        <v>110</v>
      </c>
      <c r="K135" s="106" t="s">
        <v>111</v>
      </c>
      <c r="L135" s="106" t="s">
        <v>348</v>
      </c>
      <c r="M135" s="106" t="s">
        <v>112</v>
      </c>
      <c r="N135" s="109"/>
      <c r="O135" s="109">
        <v>50</v>
      </c>
      <c r="P135" s="109">
        <v>50</v>
      </c>
      <c r="Q135" s="108">
        <v>0</v>
      </c>
      <c r="R135" s="106" t="s">
        <v>197</v>
      </c>
      <c r="S135" s="106"/>
      <c r="T135" s="106" t="s">
        <v>179</v>
      </c>
      <c r="U135" s="106" t="s">
        <v>179</v>
      </c>
    </row>
    <row r="136" spans="1:21" s="51" customFormat="1">
      <c r="A136" s="109">
        <v>2022</v>
      </c>
      <c r="B136" s="106" t="s">
        <v>483</v>
      </c>
      <c r="C136" s="101">
        <v>27556</v>
      </c>
      <c r="D136" s="108">
        <v>29</v>
      </c>
      <c r="E136" s="114">
        <v>44762</v>
      </c>
      <c r="F136" s="106" t="s">
        <v>108</v>
      </c>
      <c r="G136" s="106" t="s">
        <v>9</v>
      </c>
      <c r="H136" s="106" t="s">
        <v>133</v>
      </c>
      <c r="I136" s="106" t="s">
        <v>9</v>
      </c>
      <c r="J136" s="106" t="s">
        <v>110</v>
      </c>
      <c r="K136" s="106" t="s">
        <v>111</v>
      </c>
      <c r="L136" s="106" t="s">
        <v>348</v>
      </c>
      <c r="M136" s="106" t="s">
        <v>112</v>
      </c>
      <c r="N136" s="109"/>
      <c r="O136" s="109">
        <v>50</v>
      </c>
      <c r="P136" s="109">
        <v>50</v>
      </c>
      <c r="Q136" s="108">
        <v>0</v>
      </c>
      <c r="R136" s="106" t="s">
        <v>197</v>
      </c>
      <c r="S136" s="106"/>
      <c r="T136" s="106" t="s">
        <v>179</v>
      </c>
      <c r="U136" s="106" t="s">
        <v>179</v>
      </c>
    </row>
    <row r="137" spans="1:21" s="51" customFormat="1">
      <c r="A137" s="109">
        <v>2022</v>
      </c>
      <c r="B137" s="106" t="s">
        <v>484</v>
      </c>
      <c r="C137" s="101">
        <v>27557</v>
      </c>
      <c r="D137" s="108">
        <v>29</v>
      </c>
      <c r="E137" s="114">
        <v>44762</v>
      </c>
      <c r="F137" s="106" t="s">
        <v>108</v>
      </c>
      <c r="G137" s="106" t="s">
        <v>9</v>
      </c>
      <c r="H137" s="106" t="s">
        <v>133</v>
      </c>
      <c r="I137" s="106" t="s">
        <v>9</v>
      </c>
      <c r="J137" s="106" t="s">
        <v>110</v>
      </c>
      <c r="K137" s="106" t="s">
        <v>111</v>
      </c>
      <c r="L137" s="106" t="s">
        <v>348</v>
      </c>
      <c r="M137" s="106" t="s">
        <v>112</v>
      </c>
      <c r="N137" s="109"/>
      <c r="O137" s="109">
        <v>50</v>
      </c>
      <c r="P137" s="109">
        <v>50</v>
      </c>
      <c r="Q137" s="108">
        <v>0</v>
      </c>
      <c r="R137" s="106" t="s">
        <v>197</v>
      </c>
      <c r="S137" s="106"/>
      <c r="T137" s="106" t="s">
        <v>179</v>
      </c>
      <c r="U137" s="106" t="s">
        <v>179</v>
      </c>
    </row>
    <row r="138" spans="1:21" s="89" customFormat="1">
      <c r="A138" s="88">
        <v>2022</v>
      </c>
      <c r="B138" s="89" t="s">
        <v>485</v>
      </c>
      <c r="C138" s="90">
        <v>27558</v>
      </c>
      <c r="D138" s="91">
        <v>29</v>
      </c>
      <c r="E138" s="94">
        <v>44762</v>
      </c>
      <c r="F138" s="89" t="s">
        <v>108</v>
      </c>
      <c r="G138" s="89" t="s">
        <v>9</v>
      </c>
      <c r="H138" s="89" t="s">
        <v>133</v>
      </c>
      <c r="I138" s="89" t="s">
        <v>9</v>
      </c>
      <c r="J138" s="89" t="s">
        <v>110</v>
      </c>
      <c r="K138" s="89" t="s">
        <v>111</v>
      </c>
      <c r="L138" s="89" t="s">
        <v>348</v>
      </c>
      <c r="M138" s="89" t="s">
        <v>112</v>
      </c>
      <c r="N138" s="88"/>
      <c r="O138" s="88">
        <v>50</v>
      </c>
      <c r="P138" s="88">
        <v>50</v>
      </c>
      <c r="Q138" s="91">
        <v>1</v>
      </c>
      <c r="R138" s="89" t="s">
        <v>198</v>
      </c>
      <c r="T138" s="89" t="s">
        <v>179</v>
      </c>
      <c r="U138" s="89" t="s">
        <v>179</v>
      </c>
    </row>
    <row r="139" spans="1:21" s="51" customFormat="1">
      <c r="A139" s="109">
        <v>2022</v>
      </c>
      <c r="B139" s="106" t="s">
        <v>486</v>
      </c>
      <c r="C139" s="101">
        <v>27559</v>
      </c>
      <c r="D139" s="108">
        <v>29</v>
      </c>
      <c r="E139" s="114">
        <v>44762</v>
      </c>
      <c r="F139" s="106" t="s">
        <v>108</v>
      </c>
      <c r="G139" s="106" t="s">
        <v>9</v>
      </c>
      <c r="H139" s="106" t="s">
        <v>133</v>
      </c>
      <c r="I139" s="106" t="s">
        <v>9</v>
      </c>
      <c r="J139" s="106" t="s">
        <v>110</v>
      </c>
      <c r="K139" s="106" t="s">
        <v>111</v>
      </c>
      <c r="L139" s="106" t="s">
        <v>348</v>
      </c>
      <c r="M139" s="106" t="s">
        <v>112</v>
      </c>
      <c r="N139" s="109"/>
      <c r="O139" s="109">
        <v>50</v>
      </c>
      <c r="P139" s="109">
        <v>50</v>
      </c>
      <c r="Q139" s="108">
        <v>0</v>
      </c>
      <c r="R139" s="106" t="s">
        <v>197</v>
      </c>
      <c r="S139" s="106"/>
      <c r="T139" s="106" t="s">
        <v>179</v>
      </c>
      <c r="U139" s="106" t="s">
        <v>179</v>
      </c>
    </row>
    <row r="140" spans="1:21" s="51" customFormat="1">
      <c r="A140" s="109">
        <v>2022</v>
      </c>
      <c r="B140" s="106" t="s">
        <v>487</v>
      </c>
      <c r="C140" s="101">
        <v>27560</v>
      </c>
      <c r="D140" s="108">
        <v>29</v>
      </c>
      <c r="E140" s="114">
        <v>44762</v>
      </c>
      <c r="F140" s="106" t="s">
        <v>108</v>
      </c>
      <c r="G140" s="106" t="s">
        <v>9</v>
      </c>
      <c r="H140" s="106" t="s">
        <v>133</v>
      </c>
      <c r="I140" s="106" t="s">
        <v>9</v>
      </c>
      <c r="J140" s="106" t="s">
        <v>110</v>
      </c>
      <c r="K140" s="106" t="s">
        <v>111</v>
      </c>
      <c r="L140" s="106" t="s">
        <v>348</v>
      </c>
      <c r="M140" s="106" t="s">
        <v>112</v>
      </c>
      <c r="N140" s="109"/>
      <c r="O140" s="109">
        <v>50</v>
      </c>
      <c r="P140" s="109">
        <v>50</v>
      </c>
      <c r="Q140" s="108">
        <v>0</v>
      </c>
      <c r="R140" s="106" t="s">
        <v>197</v>
      </c>
      <c r="S140" s="106"/>
      <c r="T140" s="106" t="s">
        <v>179</v>
      </c>
      <c r="U140" s="106" t="s">
        <v>179</v>
      </c>
    </row>
    <row r="141" spans="1:21" s="51" customFormat="1">
      <c r="A141" s="109">
        <v>2022</v>
      </c>
      <c r="B141" s="106" t="s">
        <v>488</v>
      </c>
      <c r="C141" s="101">
        <v>27561</v>
      </c>
      <c r="D141" s="108">
        <v>29</v>
      </c>
      <c r="E141" s="114">
        <v>44762</v>
      </c>
      <c r="F141" s="106" t="s">
        <v>108</v>
      </c>
      <c r="G141" s="106" t="s">
        <v>9</v>
      </c>
      <c r="H141" s="106" t="s">
        <v>133</v>
      </c>
      <c r="I141" s="106" t="s">
        <v>9</v>
      </c>
      <c r="J141" s="106" t="s">
        <v>110</v>
      </c>
      <c r="K141" s="106" t="s">
        <v>111</v>
      </c>
      <c r="L141" s="106" t="s">
        <v>348</v>
      </c>
      <c r="M141" s="106" t="s">
        <v>112</v>
      </c>
      <c r="N141" s="109"/>
      <c r="O141" s="109">
        <v>9</v>
      </c>
      <c r="P141" s="109">
        <v>9</v>
      </c>
      <c r="Q141" s="108">
        <v>0</v>
      </c>
      <c r="R141" s="106" t="s">
        <v>197</v>
      </c>
      <c r="S141" s="106"/>
      <c r="T141" s="106" t="s">
        <v>179</v>
      </c>
      <c r="U141" s="106" t="s">
        <v>179</v>
      </c>
    </row>
    <row r="142" spans="1:21" s="51" customFormat="1">
      <c r="A142" s="109">
        <v>2022</v>
      </c>
      <c r="B142" s="106" t="s">
        <v>489</v>
      </c>
      <c r="C142" s="101">
        <v>27562</v>
      </c>
      <c r="D142" s="108">
        <v>29</v>
      </c>
      <c r="E142" s="114">
        <v>44762</v>
      </c>
      <c r="F142" s="106" t="s">
        <v>108</v>
      </c>
      <c r="G142" s="106" t="s">
        <v>9</v>
      </c>
      <c r="H142" s="106" t="s">
        <v>133</v>
      </c>
      <c r="I142" s="106" t="s">
        <v>9</v>
      </c>
      <c r="J142" s="106" t="s">
        <v>110</v>
      </c>
      <c r="K142" s="106" t="s">
        <v>111</v>
      </c>
      <c r="L142" s="106" t="s">
        <v>195</v>
      </c>
      <c r="M142" s="106" t="s">
        <v>112</v>
      </c>
      <c r="N142" s="109"/>
      <c r="O142" s="109">
        <v>15</v>
      </c>
      <c r="P142" s="109">
        <v>15</v>
      </c>
      <c r="Q142" s="108">
        <v>0</v>
      </c>
      <c r="R142" s="106" t="s">
        <v>197</v>
      </c>
      <c r="S142" s="106"/>
      <c r="T142" s="106" t="s">
        <v>180</v>
      </c>
      <c r="U142" s="106" t="s">
        <v>180</v>
      </c>
    </row>
    <row r="143" spans="1:21" s="51" customFormat="1">
      <c r="A143" s="109">
        <v>2022</v>
      </c>
      <c r="B143" s="106" t="s">
        <v>490</v>
      </c>
      <c r="C143" s="101">
        <v>27563</v>
      </c>
      <c r="D143" s="108">
        <v>29</v>
      </c>
      <c r="E143" s="114">
        <v>44762</v>
      </c>
      <c r="F143" s="106" t="s">
        <v>108</v>
      </c>
      <c r="G143" s="106" t="s">
        <v>46</v>
      </c>
      <c r="H143" s="106" t="s">
        <v>155</v>
      </c>
      <c r="I143" s="106" t="s">
        <v>57</v>
      </c>
      <c r="J143" s="106" t="s">
        <v>110</v>
      </c>
      <c r="K143" s="106" t="s">
        <v>111</v>
      </c>
      <c r="L143" s="106" t="s">
        <v>348</v>
      </c>
      <c r="M143" s="106" t="s">
        <v>112</v>
      </c>
      <c r="N143" s="109"/>
      <c r="O143" s="109">
        <v>50</v>
      </c>
      <c r="P143" s="109">
        <v>50</v>
      </c>
      <c r="Q143" s="108">
        <v>0</v>
      </c>
      <c r="R143" s="106" t="s">
        <v>197</v>
      </c>
      <c r="S143" s="106"/>
      <c r="T143" s="106" t="s">
        <v>181</v>
      </c>
      <c r="U143" s="106" t="s">
        <v>188</v>
      </c>
    </row>
    <row r="144" spans="1:21" s="51" customFormat="1">
      <c r="A144" s="109">
        <v>2022</v>
      </c>
      <c r="B144" s="106" t="s">
        <v>491</v>
      </c>
      <c r="C144" s="101">
        <v>27564</v>
      </c>
      <c r="D144" s="108">
        <v>29</v>
      </c>
      <c r="E144" s="114">
        <v>44762</v>
      </c>
      <c r="F144" s="106" t="s">
        <v>108</v>
      </c>
      <c r="G144" s="106" t="s">
        <v>46</v>
      </c>
      <c r="H144" s="106" t="s">
        <v>155</v>
      </c>
      <c r="I144" s="106" t="s">
        <v>57</v>
      </c>
      <c r="J144" s="106" t="s">
        <v>110</v>
      </c>
      <c r="K144" s="106" t="s">
        <v>111</v>
      </c>
      <c r="L144" s="106" t="s">
        <v>348</v>
      </c>
      <c r="M144" s="106" t="s">
        <v>112</v>
      </c>
      <c r="N144" s="109"/>
      <c r="O144" s="109">
        <v>12</v>
      </c>
      <c r="P144" s="109">
        <v>12</v>
      </c>
      <c r="Q144" s="108">
        <v>0</v>
      </c>
      <c r="R144" s="106" t="s">
        <v>197</v>
      </c>
      <c r="S144" s="106"/>
      <c r="T144" s="106" t="s">
        <v>181</v>
      </c>
      <c r="U144" s="106" t="s">
        <v>188</v>
      </c>
    </row>
    <row r="145" spans="1:21" s="51" customFormat="1">
      <c r="A145" s="109">
        <v>2022</v>
      </c>
      <c r="B145" s="106" t="s">
        <v>492</v>
      </c>
      <c r="C145" s="101">
        <v>27565</v>
      </c>
      <c r="D145" s="108">
        <v>29</v>
      </c>
      <c r="E145" s="114">
        <v>44762</v>
      </c>
      <c r="F145" s="106" t="s">
        <v>108</v>
      </c>
      <c r="G145" s="106" t="s">
        <v>46</v>
      </c>
      <c r="H145" s="106" t="s">
        <v>155</v>
      </c>
      <c r="I145" s="106" t="s">
        <v>57</v>
      </c>
      <c r="J145" s="106" t="s">
        <v>110</v>
      </c>
      <c r="K145" s="106" t="s">
        <v>111</v>
      </c>
      <c r="L145" s="106" t="s">
        <v>195</v>
      </c>
      <c r="M145" s="106" t="s">
        <v>112</v>
      </c>
      <c r="N145" s="109"/>
      <c r="O145" s="109">
        <v>7</v>
      </c>
      <c r="P145" s="109">
        <v>7</v>
      </c>
      <c r="Q145" s="108">
        <v>0</v>
      </c>
      <c r="R145" s="106" t="s">
        <v>197</v>
      </c>
      <c r="S145" s="106"/>
      <c r="T145" s="106" t="s">
        <v>182</v>
      </c>
      <c r="U145" s="106" t="s">
        <v>191</v>
      </c>
    </row>
    <row r="146" spans="1:21" s="51" customFormat="1">
      <c r="A146" s="109">
        <v>2022</v>
      </c>
      <c r="B146" s="106" t="s">
        <v>493</v>
      </c>
      <c r="C146" s="101">
        <v>27566</v>
      </c>
      <c r="D146" s="108">
        <v>29</v>
      </c>
      <c r="E146" s="114">
        <v>44762</v>
      </c>
      <c r="F146" s="106" t="s">
        <v>108</v>
      </c>
      <c r="G146" s="106" t="s">
        <v>100</v>
      </c>
      <c r="H146" s="106" t="s">
        <v>137</v>
      </c>
      <c r="I146" s="106" t="s">
        <v>100</v>
      </c>
      <c r="J146" s="106" t="s">
        <v>110</v>
      </c>
      <c r="K146" s="106" t="s">
        <v>111</v>
      </c>
      <c r="L146" s="106" t="s">
        <v>195</v>
      </c>
      <c r="M146" s="106" t="s">
        <v>112</v>
      </c>
      <c r="N146" s="109"/>
      <c r="O146" s="109">
        <v>6</v>
      </c>
      <c r="P146" s="109">
        <v>6</v>
      </c>
      <c r="Q146" s="108">
        <v>0</v>
      </c>
      <c r="R146" s="106" t="s">
        <v>197</v>
      </c>
      <c r="S146" s="106"/>
      <c r="T146" s="106" t="s">
        <v>184</v>
      </c>
      <c r="U146" s="106" t="s">
        <v>184</v>
      </c>
    </row>
    <row r="147" spans="1:21" s="51" customFormat="1">
      <c r="A147" s="109">
        <v>2022</v>
      </c>
      <c r="B147" s="106" t="s">
        <v>494</v>
      </c>
      <c r="C147" s="101">
        <v>27567</v>
      </c>
      <c r="D147" s="108">
        <v>29</v>
      </c>
      <c r="E147" s="114">
        <v>44762</v>
      </c>
      <c r="F147" s="106" t="s">
        <v>108</v>
      </c>
      <c r="G147" s="106" t="s">
        <v>100</v>
      </c>
      <c r="H147" s="106" t="s">
        <v>137</v>
      </c>
      <c r="I147" s="106" t="s">
        <v>100</v>
      </c>
      <c r="J147" s="106" t="s">
        <v>110</v>
      </c>
      <c r="K147" s="106" t="s">
        <v>111</v>
      </c>
      <c r="L147" s="106" t="s">
        <v>348</v>
      </c>
      <c r="M147" s="106" t="s">
        <v>112</v>
      </c>
      <c r="N147" s="109"/>
      <c r="O147" s="109">
        <v>50</v>
      </c>
      <c r="P147" s="109">
        <v>50</v>
      </c>
      <c r="Q147" s="108">
        <v>0</v>
      </c>
      <c r="R147" s="106" t="s">
        <v>197</v>
      </c>
      <c r="S147" s="106"/>
      <c r="T147" s="106" t="s">
        <v>183</v>
      </c>
      <c r="U147" s="106" t="s">
        <v>183</v>
      </c>
    </row>
    <row r="148" spans="1:21" s="51" customFormat="1">
      <c r="A148" s="109">
        <v>2022</v>
      </c>
      <c r="B148" s="106" t="s">
        <v>495</v>
      </c>
      <c r="C148" s="101">
        <v>27568</v>
      </c>
      <c r="D148" s="108">
        <v>29</v>
      </c>
      <c r="E148" s="114">
        <v>44762</v>
      </c>
      <c r="F148" s="106" t="s">
        <v>108</v>
      </c>
      <c r="G148" s="106" t="s">
        <v>100</v>
      </c>
      <c r="H148" s="106" t="s">
        <v>137</v>
      </c>
      <c r="I148" s="106" t="s">
        <v>100</v>
      </c>
      <c r="J148" s="106" t="s">
        <v>110</v>
      </c>
      <c r="K148" s="106" t="s">
        <v>111</v>
      </c>
      <c r="L148" s="106" t="s">
        <v>348</v>
      </c>
      <c r="M148" s="106" t="s">
        <v>112</v>
      </c>
      <c r="N148" s="109"/>
      <c r="O148" s="109">
        <v>37</v>
      </c>
      <c r="P148" s="109">
        <v>37</v>
      </c>
      <c r="Q148" s="108">
        <v>0</v>
      </c>
      <c r="R148" s="106" t="s">
        <v>197</v>
      </c>
      <c r="S148" s="106"/>
      <c r="T148" s="106" t="s">
        <v>183</v>
      </c>
      <c r="U148" s="106" t="s">
        <v>183</v>
      </c>
    </row>
    <row r="149" spans="1:21" s="51" customFormat="1">
      <c r="A149" s="109">
        <v>2022</v>
      </c>
      <c r="B149" s="106" t="s">
        <v>496</v>
      </c>
      <c r="C149" s="101">
        <v>27569</v>
      </c>
      <c r="D149" s="108">
        <v>29</v>
      </c>
      <c r="E149" s="114">
        <v>44762</v>
      </c>
      <c r="F149" s="106" t="s">
        <v>108</v>
      </c>
      <c r="G149" s="106" t="s">
        <v>46</v>
      </c>
      <c r="H149" s="106" t="s">
        <v>156</v>
      </c>
      <c r="I149" s="106" t="s">
        <v>57</v>
      </c>
      <c r="J149" s="106" t="s">
        <v>118</v>
      </c>
      <c r="K149" s="106" t="s">
        <v>111</v>
      </c>
      <c r="L149" s="106" t="s">
        <v>195</v>
      </c>
      <c r="M149" s="106" t="s">
        <v>112</v>
      </c>
      <c r="N149" s="109">
        <v>50</v>
      </c>
      <c r="O149" s="109"/>
      <c r="P149" s="109">
        <v>50</v>
      </c>
      <c r="Q149" s="108">
        <v>0</v>
      </c>
      <c r="R149" s="106" t="s">
        <v>197</v>
      </c>
      <c r="S149" s="106"/>
      <c r="T149" s="106" t="s">
        <v>182</v>
      </c>
      <c r="U149" s="106" t="s">
        <v>191</v>
      </c>
    </row>
    <row r="150" spans="1:21" s="51" customFormat="1">
      <c r="A150" s="109">
        <v>2022</v>
      </c>
      <c r="B150" s="106" t="s">
        <v>497</v>
      </c>
      <c r="C150" s="101">
        <v>27570</v>
      </c>
      <c r="D150" s="108">
        <v>29</v>
      </c>
      <c r="E150" s="114">
        <v>44762</v>
      </c>
      <c r="F150" s="106" t="s">
        <v>108</v>
      </c>
      <c r="G150" s="106" t="s">
        <v>46</v>
      </c>
      <c r="H150" s="106" t="s">
        <v>156</v>
      </c>
      <c r="I150" s="106" t="s">
        <v>57</v>
      </c>
      <c r="J150" s="106" t="s">
        <v>118</v>
      </c>
      <c r="K150" s="106" t="s">
        <v>111</v>
      </c>
      <c r="L150" s="106" t="s">
        <v>195</v>
      </c>
      <c r="M150" s="106" t="s">
        <v>112</v>
      </c>
      <c r="N150" s="109">
        <v>50</v>
      </c>
      <c r="O150" s="109"/>
      <c r="P150" s="109">
        <v>50</v>
      </c>
      <c r="Q150" s="108">
        <v>0</v>
      </c>
      <c r="R150" s="106" t="s">
        <v>197</v>
      </c>
      <c r="S150" s="106"/>
      <c r="T150" s="106" t="s">
        <v>182</v>
      </c>
      <c r="U150" s="106" t="s">
        <v>191</v>
      </c>
    </row>
    <row r="151" spans="1:21" s="51" customFormat="1">
      <c r="A151" s="109">
        <v>2022</v>
      </c>
      <c r="B151" s="106" t="s">
        <v>498</v>
      </c>
      <c r="C151" s="101">
        <v>27571</v>
      </c>
      <c r="D151" s="108">
        <v>29</v>
      </c>
      <c r="E151" s="114">
        <v>44762</v>
      </c>
      <c r="F151" s="106" t="s">
        <v>108</v>
      </c>
      <c r="G151" s="106" t="s">
        <v>46</v>
      </c>
      <c r="H151" s="106" t="s">
        <v>156</v>
      </c>
      <c r="I151" s="106" t="s">
        <v>57</v>
      </c>
      <c r="J151" s="106" t="s">
        <v>118</v>
      </c>
      <c r="K151" s="106" t="s">
        <v>111</v>
      </c>
      <c r="L151" s="106" t="s">
        <v>195</v>
      </c>
      <c r="M151" s="106" t="s">
        <v>112</v>
      </c>
      <c r="N151" s="109">
        <v>16</v>
      </c>
      <c r="O151" s="109"/>
      <c r="P151" s="109">
        <v>16</v>
      </c>
      <c r="Q151" s="108">
        <v>0</v>
      </c>
      <c r="R151" s="106" t="s">
        <v>197</v>
      </c>
      <c r="S151" s="106"/>
      <c r="T151" s="106" t="s">
        <v>182</v>
      </c>
      <c r="U151" s="106" t="s">
        <v>191</v>
      </c>
    </row>
    <row r="152" spans="1:21" s="51" customFormat="1">
      <c r="A152" s="109">
        <v>2022</v>
      </c>
      <c r="B152" s="106" t="s">
        <v>499</v>
      </c>
      <c r="C152" s="101">
        <v>27572</v>
      </c>
      <c r="D152" s="108">
        <v>29</v>
      </c>
      <c r="E152" s="114">
        <v>44762</v>
      </c>
      <c r="F152" s="106" t="s">
        <v>108</v>
      </c>
      <c r="G152" s="106" t="s">
        <v>46</v>
      </c>
      <c r="H152" s="106" t="s">
        <v>158</v>
      </c>
      <c r="I152" s="106" t="s">
        <v>57</v>
      </c>
      <c r="J152" s="106" t="s">
        <v>110</v>
      </c>
      <c r="K152" s="106" t="s">
        <v>111</v>
      </c>
      <c r="L152" s="106" t="s">
        <v>348</v>
      </c>
      <c r="M152" s="106" t="s">
        <v>112</v>
      </c>
      <c r="N152" s="109"/>
      <c r="O152" s="109">
        <v>7</v>
      </c>
      <c r="P152" s="109">
        <v>7</v>
      </c>
      <c r="Q152" s="108">
        <v>0</v>
      </c>
      <c r="R152" s="106" t="s">
        <v>197</v>
      </c>
      <c r="S152" s="106"/>
      <c r="T152" s="106" t="s">
        <v>181</v>
      </c>
      <c r="U152" s="106" t="s">
        <v>188</v>
      </c>
    </row>
    <row r="153" spans="1:21" s="51" customFormat="1">
      <c r="A153" s="109">
        <v>2022</v>
      </c>
      <c r="B153" s="106" t="s">
        <v>500</v>
      </c>
      <c r="C153" s="101">
        <v>27573</v>
      </c>
      <c r="D153" s="108">
        <v>29</v>
      </c>
      <c r="E153" s="114">
        <v>44762</v>
      </c>
      <c r="F153" s="106" t="s">
        <v>108</v>
      </c>
      <c r="G153" s="106" t="s">
        <v>46</v>
      </c>
      <c r="H153" s="106" t="s">
        <v>157</v>
      </c>
      <c r="I153" s="106" t="s">
        <v>57</v>
      </c>
      <c r="J153" s="106" t="s">
        <v>110</v>
      </c>
      <c r="K153" s="106" t="s">
        <v>111</v>
      </c>
      <c r="L153" s="106" t="s">
        <v>348</v>
      </c>
      <c r="M153" s="106" t="s">
        <v>112</v>
      </c>
      <c r="N153" s="109"/>
      <c r="O153" s="109">
        <v>50</v>
      </c>
      <c r="P153" s="109">
        <v>50</v>
      </c>
      <c r="Q153" s="108">
        <v>0</v>
      </c>
      <c r="R153" s="106" t="s">
        <v>197</v>
      </c>
      <c r="S153" s="106"/>
      <c r="T153" s="106" t="s">
        <v>181</v>
      </c>
      <c r="U153" s="106" t="s">
        <v>188</v>
      </c>
    </row>
    <row r="154" spans="1:21" s="51" customFormat="1">
      <c r="A154" s="109">
        <v>2022</v>
      </c>
      <c r="B154" s="106" t="s">
        <v>501</v>
      </c>
      <c r="C154" s="101">
        <v>27574</v>
      </c>
      <c r="D154" s="108">
        <v>29</v>
      </c>
      <c r="E154" s="114">
        <v>44762</v>
      </c>
      <c r="F154" s="106" t="s">
        <v>108</v>
      </c>
      <c r="G154" s="106" t="s">
        <v>46</v>
      </c>
      <c r="H154" s="106" t="s">
        <v>157</v>
      </c>
      <c r="I154" s="106" t="s">
        <v>57</v>
      </c>
      <c r="J154" s="106" t="s">
        <v>110</v>
      </c>
      <c r="K154" s="106" t="s">
        <v>111</v>
      </c>
      <c r="L154" s="106" t="s">
        <v>348</v>
      </c>
      <c r="M154" s="106" t="s">
        <v>112</v>
      </c>
      <c r="N154" s="109"/>
      <c r="O154" s="109">
        <v>50</v>
      </c>
      <c r="P154" s="109">
        <v>50</v>
      </c>
      <c r="Q154" s="108">
        <v>0</v>
      </c>
      <c r="R154" s="106" t="s">
        <v>197</v>
      </c>
      <c r="S154" s="106"/>
      <c r="T154" s="106" t="s">
        <v>181</v>
      </c>
      <c r="U154" s="106" t="s">
        <v>188</v>
      </c>
    </row>
    <row r="155" spans="1:21" s="89" customFormat="1">
      <c r="A155" s="88">
        <v>2022</v>
      </c>
      <c r="B155" s="89" t="s">
        <v>502</v>
      </c>
      <c r="C155" s="90">
        <v>27575</v>
      </c>
      <c r="D155" s="91">
        <v>29</v>
      </c>
      <c r="E155" s="94">
        <v>44762</v>
      </c>
      <c r="F155" s="89" t="s">
        <v>108</v>
      </c>
      <c r="G155" s="89" t="s">
        <v>46</v>
      </c>
      <c r="H155" s="89" t="s">
        <v>157</v>
      </c>
      <c r="I155" s="89" t="s">
        <v>57</v>
      </c>
      <c r="J155" s="89" t="s">
        <v>110</v>
      </c>
      <c r="K155" s="89" t="s">
        <v>111</v>
      </c>
      <c r="L155" s="89" t="s">
        <v>348</v>
      </c>
      <c r="M155" s="89" t="s">
        <v>112</v>
      </c>
      <c r="N155" s="88"/>
      <c r="O155" s="88">
        <v>25</v>
      </c>
      <c r="P155" s="88">
        <v>25</v>
      </c>
      <c r="Q155" s="91">
        <v>1</v>
      </c>
      <c r="R155" s="89" t="s">
        <v>198</v>
      </c>
      <c r="T155" s="89" t="s">
        <v>181</v>
      </c>
      <c r="U155" s="89" t="s">
        <v>188</v>
      </c>
    </row>
    <row r="156" spans="1:21" s="51" customFormat="1">
      <c r="A156" s="109">
        <v>2022</v>
      </c>
      <c r="B156" s="106" t="s">
        <v>503</v>
      </c>
      <c r="C156" s="101">
        <v>27576</v>
      </c>
      <c r="D156" s="108">
        <v>29</v>
      </c>
      <c r="E156" s="114">
        <v>44762</v>
      </c>
      <c r="F156" s="106" t="s">
        <v>108</v>
      </c>
      <c r="G156" s="106" t="s">
        <v>46</v>
      </c>
      <c r="H156" s="106" t="s">
        <v>157</v>
      </c>
      <c r="I156" s="106" t="s">
        <v>57</v>
      </c>
      <c r="J156" s="106" t="s">
        <v>110</v>
      </c>
      <c r="K156" s="106" t="s">
        <v>111</v>
      </c>
      <c r="L156" s="106" t="s">
        <v>195</v>
      </c>
      <c r="M156" s="106" t="s">
        <v>112</v>
      </c>
      <c r="N156" s="109"/>
      <c r="O156" s="109">
        <v>10</v>
      </c>
      <c r="P156" s="109">
        <v>10</v>
      </c>
      <c r="Q156" s="108">
        <v>0</v>
      </c>
      <c r="R156" s="106" t="s">
        <v>197</v>
      </c>
      <c r="S156" s="106"/>
      <c r="T156" s="106" t="s">
        <v>182</v>
      </c>
      <c r="U156" s="106" t="s">
        <v>191</v>
      </c>
    </row>
    <row r="157" spans="1:21" s="51" customFormat="1">
      <c r="A157" s="109">
        <v>2022</v>
      </c>
      <c r="B157" s="106" t="s">
        <v>504</v>
      </c>
      <c r="C157" s="101">
        <v>27577</v>
      </c>
      <c r="D157" s="108">
        <v>29</v>
      </c>
      <c r="E157" s="114">
        <v>44762</v>
      </c>
      <c r="F157" s="106" t="s">
        <v>108</v>
      </c>
      <c r="G157" s="106" t="s">
        <v>46</v>
      </c>
      <c r="H157" s="106" t="s">
        <v>161</v>
      </c>
      <c r="I157" s="110" t="s">
        <v>57</v>
      </c>
      <c r="J157" s="106" t="s">
        <v>110</v>
      </c>
      <c r="K157" s="106" t="s">
        <v>111</v>
      </c>
      <c r="L157" s="106" t="s">
        <v>348</v>
      </c>
      <c r="M157" s="106" t="s">
        <v>112</v>
      </c>
      <c r="N157" s="109"/>
      <c r="O157" s="109">
        <v>24</v>
      </c>
      <c r="P157" s="109">
        <v>24</v>
      </c>
      <c r="Q157" s="108">
        <v>0</v>
      </c>
      <c r="R157" s="106" t="s">
        <v>197</v>
      </c>
      <c r="S157" s="106"/>
      <c r="T157" s="106" t="s">
        <v>181</v>
      </c>
      <c r="U157" s="106" t="s">
        <v>188</v>
      </c>
    </row>
    <row r="158" spans="1:21" s="51" customFormat="1">
      <c r="A158" s="109">
        <v>2022</v>
      </c>
      <c r="B158" s="106" t="s">
        <v>505</v>
      </c>
      <c r="C158" s="101">
        <v>27578</v>
      </c>
      <c r="D158" s="108">
        <v>29</v>
      </c>
      <c r="E158" s="114">
        <v>44762</v>
      </c>
      <c r="F158" s="106" t="s">
        <v>108</v>
      </c>
      <c r="G158" s="106" t="s">
        <v>46</v>
      </c>
      <c r="H158" s="106" t="s">
        <v>159</v>
      </c>
      <c r="I158" s="110" t="s">
        <v>57</v>
      </c>
      <c r="J158" s="106" t="s">
        <v>118</v>
      </c>
      <c r="K158" s="106" t="s">
        <v>111</v>
      </c>
      <c r="L158" s="106" t="s">
        <v>195</v>
      </c>
      <c r="M158" s="106" t="s">
        <v>112</v>
      </c>
      <c r="N158" s="109">
        <v>50</v>
      </c>
      <c r="O158" s="109"/>
      <c r="P158" s="109">
        <v>50</v>
      </c>
      <c r="Q158" s="108">
        <v>0</v>
      </c>
      <c r="R158" s="106" t="s">
        <v>197</v>
      </c>
      <c r="S158" s="106"/>
      <c r="T158" s="106" t="s">
        <v>182</v>
      </c>
      <c r="U158" s="106" t="s">
        <v>191</v>
      </c>
    </row>
    <row r="159" spans="1:21" s="51" customFormat="1">
      <c r="A159" s="109">
        <v>2022</v>
      </c>
      <c r="B159" s="106" t="s">
        <v>506</v>
      </c>
      <c r="C159" s="101">
        <v>27579</v>
      </c>
      <c r="D159" s="108">
        <v>29</v>
      </c>
      <c r="E159" s="114">
        <v>44762</v>
      </c>
      <c r="F159" s="106" t="s">
        <v>108</v>
      </c>
      <c r="G159" s="106" t="s">
        <v>46</v>
      </c>
      <c r="H159" s="106" t="s">
        <v>159</v>
      </c>
      <c r="I159" s="110" t="s">
        <v>57</v>
      </c>
      <c r="J159" s="106" t="s">
        <v>118</v>
      </c>
      <c r="K159" s="106" t="s">
        <v>111</v>
      </c>
      <c r="L159" s="106" t="s">
        <v>195</v>
      </c>
      <c r="M159" s="106" t="s">
        <v>112</v>
      </c>
      <c r="N159" s="109">
        <v>17</v>
      </c>
      <c r="O159" s="109"/>
      <c r="P159" s="109">
        <v>17</v>
      </c>
      <c r="Q159" s="108">
        <v>0</v>
      </c>
      <c r="R159" s="106" t="s">
        <v>197</v>
      </c>
      <c r="S159" s="106"/>
      <c r="T159" s="106" t="s">
        <v>182</v>
      </c>
      <c r="U159" s="106" t="s">
        <v>191</v>
      </c>
    </row>
    <row r="160" spans="1:21" s="51" customFormat="1">
      <c r="A160" s="109">
        <v>2022</v>
      </c>
      <c r="B160" s="106" t="s">
        <v>507</v>
      </c>
      <c r="C160" s="101">
        <v>27580</v>
      </c>
      <c r="D160" s="108">
        <v>29</v>
      </c>
      <c r="E160" s="114">
        <v>44762</v>
      </c>
      <c r="F160" s="106" t="s">
        <v>108</v>
      </c>
      <c r="G160" s="106" t="s">
        <v>46</v>
      </c>
      <c r="H160" s="106" t="s">
        <v>160</v>
      </c>
      <c r="I160" s="110" t="s">
        <v>57</v>
      </c>
      <c r="J160" s="106" t="s">
        <v>110</v>
      </c>
      <c r="K160" s="106" t="s">
        <v>111</v>
      </c>
      <c r="L160" s="106" t="s">
        <v>348</v>
      </c>
      <c r="M160" s="106" t="s">
        <v>112</v>
      </c>
      <c r="N160" s="109"/>
      <c r="O160" s="109">
        <v>13</v>
      </c>
      <c r="P160" s="109">
        <v>13</v>
      </c>
      <c r="Q160" s="108">
        <v>0</v>
      </c>
      <c r="R160" s="106" t="s">
        <v>197</v>
      </c>
      <c r="S160" s="106"/>
      <c r="T160" s="106" t="s">
        <v>181</v>
      </c>
      <c r="U160" s="106" t="s">
        <v>188</v>
      </c>
    </row>
    <row r="161" spans="1:21" s="51" customFormat="1">
      <c r="A161" s="109">
        <v>2022</v>
      </c>
      <c r="B161" s="106" t="s">
        <v>508</v>
      </c>
      <c r="C161" s="101">
        <v>27581</v>
      </c>
      <c r="D161" s="108">
        <v>29</v>
      </c>
      <c r="E161" s="114">
        <v>44762</v>
      </c>
      <c r="F161" s="106" t="s">
        <v>108</v>
      </c>
      <c r="G161" s="106" t="s">
        <v>46</v>
      </c>
      <c r="H161" s="106" t="s">
        <v>160</v>
      </c>
      <c r="I161" s="106" t="s">
        <v>57</v>
      </c>
      <c r="J161" s="106" t="s">
        <v>110</v>
      </c>
      <c r="K161" s="106" t="s">
        <v>111</v>
      </c>
      <c r="L161" s="106" t="s">
        <v>195</v>
      </c>
      <c r="M161" s="106" t="s">
        <v>112</v>
      </c>
      <c r="N161" s="109"/>
      <c r="O161" s="109">
        <v>15</v>
      </c>
      <c r="P161" s="109">
        <v>15</v>
      </c>
      <c r="Q161" s="108">
        <v>0</v>
      </c>
      <c r="R161" s="106" t="s">
        <v>197</v>
      </c>
      <c r="S161" s="106"/>
      <c r="T161" s="106" t="s">
        <v>182</v>
      </c>
      <c r="U161" s="106" t="s">
        <v>191</v>
      </c>
    </row>
    <row r="162" spans="1:21" s="51" customFormat="1">
      <c r="A162" s="109">
        <v>2022</v>
      </c>
      <c r="B162" s="106" t="s">
        <v>509</v>
      </c>
      <c r="C162" s="101">
        <v>27582</v>
      </c>
      <c r="D162" s="108">
        <v>29</v>
      </c>
      <c r="E162" s="114">
        <v>44762</v>
      </c>
      <c r="F162" s="106" t="s">
        <v>108</v>
      </c>
      <c r="G162" s="106" t="s">
        <v>46</v>
      </c>
      <c r="H162" s="106" t="s">
        <v>162</v>
      </c>
      <c r="I162" s="106" t="s">
        <v>60</v>
      </c>
      <c r="J162" s="106" t="s">
        <v>110</v>
      </c>
      <c r="K162" s="106" t="s">
        <v>111</v>
      </c>
      <c r="L162" s="106" t="s">
        <v>348</v>
      </c>
      <c r="M162" s="106" t="s">
        <v>112</v>
      </c>
      <c r="N162" s="109"/>
      <c r="O162" s="109">
        <v>2</v>
      </c>
      <c r="P162" s="109">
        <v>2</v>
      </c>
      <c r="Q162" s="108">
        <v>0</v>
      </c>
      <c r="R162" s="106" t="s">
        <v>197</v>
      </c>
      <c r="S162" s="106"/>
      <c r="T162" s="106" t="s">
        <v>181</v>
      </c>
      <c r="U162" s="106" t="s">
        <v>193</v>
      </c>
    </row>
    <row r="163" spans="1:21" s="51" customFormat="1">
      <c r="A163" s="109">
        <v>2022</v>
      </c>
      <c r="B163" s="106" t="s">
        <v>510</v>
      </c>
      <c r="C163" s="101">
        <v>27583</v>
      </c>
      <c r="D163" s="108">
        <v>29</v>
      </c>
      <c r="E163" s="114">
        <v>44762</v>
      </c>
      <c r="F163" s="106" t="s">
        <v>108</v>
      </c>
      <c r="G163" s="106" t="s">
        <v>46</v>
      </c>
      <c r="H163" s="106" t="s">
        <v>162</v>
      </c>
      <c r="I163" s="106" t="s">
        <v>60</v>
      </c>
      <c r="J163" s="106" t="s">
        <v>110</v>
      </c>
      <c r="K163" s="106" t="s">
        <v>111</v>
      </c>
      <c r="L163" s="106" t="s">
        <v>195</v>
      </c>
      <c r="M163" s="106" t="s">
        <v>112</v>
      </c>
      <c r="N163" s="109"/>
      <c r="O163" s="109">
        <v>1</v>
      </c>
      <c r="P163" s="109">
        <v>1</v>
      </c>
      <c r="Q163" s="108">
        <v>0</v>
      </c>
      <c r="R163" s="106" t="s">
        <v>197</v>
      </c>
      <c r="S163" s="106"/>
      <c r="T163" s="106" t="s">
        <v>182</v>
      </c>
      <c r="U163" s="106" t="s">
        <v>192</v>
      </c>
    </row>
    <row r="164" spans="1:21" s="51" customFormat="1">
      <c r="A164" s="109">
        <v>2022</v>
      </c>
      <c r="B164" s="106" t="s">
        <v>511</v>
      </c>
      <c r="C164" s="101">
        <v>27584</v>
      </c>
      <c r="D164" s="108">
        <v>29</v>
      </c>
      <c r="E164" s="114">
        <v>44762</v>
      </c>
      <c r="F164" s="106" t="s">
        <v>108</v>
      </c>
      <c r="G164" s="106" t="s">
        <v>46</v>
      </c>
      <c r="H164" s="106" t="s">
        <v>164</v>
      </c>
      <c r="I164" s="106" t="s">
        <v>57</v>
      </c>
      <c r="J164" s="106" t="s">
        <v>110</v>
      </c>
      <c r="K164" s="106" t="s">
        <v>111</v>
      </c>
      <c r="L164" s="106" t="s">
        <v>348</v>
      </c>
      <c r="M164" s="106" t="s">
        <v>112</v>
      </c>
      <c r="N164" s="109"/>
      <c r="O164" s="109">
        <v>7</v>
      </c>
      <c r="P164" s="109">
        <v>7</v>
      </c>
      <c r="Q164" s="108">
        <v>0</v>
      </c>
      <c r="R164" s="106" t="s">
        <v>197</v>
      </c>
      <c r="S164" s="106"/>
      <c r="T164" s="106" t="s">
        <v>181</v>
      </c>
      <c r="U164" s="106" t="s">
        <v>188</v>
      </c>
    </row>
    <row r="165" spans="1:21" s="51" customFormat="1">
      <c r="A165" s="109">
        <v>2022</v>
      </c>
      <c r="B165" s="106" t="s">
        <v>512</v>
      </c>
      <c r="C165" s="101">
        <v>27585</v>
      </c>
      <c r="D165" s="108">
        <v>29</v>
      </c>
      <c r="E165" s="114">
        <v>44762</v>
      </c>
      <c r="F165" s="106" t="s">
        <v>108</v>
      </c>
      <c r="G165" s="106" t="s">
        <v>46</v>
      </c>
      <c r="H165" s="106" t="s">
        <v>164</v>
      </c>
      <c r="I165" s="106" t="s">
        <v>57</v>
      </c>
      <c r="J165" s="106" t="s">
        <v>110</v>
      </c>
      <c r="K165" s="106" t="s">
        <v>111</v>
      </c>
      <c r="L165" s="106" t="s">
        <v>195</v>
      </c>
      <c r="M165" s="106" t="s">
        <v>112</v>
      </c>
      <c r="N165" s="109"/>
      <c r="O165" s="109">
        <v>3</v>
      </c>
      <c r="P165" s="109">
        <v>3</v>
      </c>
      <c r="Q165" s="108">
        <v>0</v>
      </c>
      <c r="R165" s="106" t="s">
        <v>197</v>
      </c>
      <c r="S165" s="106"/>
      <c r="T165" s="106" t="s">
        <v>182</v>
      </c>
      <c r="U165" s="106" t="s">
        <v>191</v>
      </c>
    </row>
    <row r="166" spans="1:21" s="51" customFormat="1">
      <c r="A166" s="109">
        <v>2022</v>
      </c>
      <c r="B166" s="106" t="s">
        <v>513</v>
      </c>
      <c r="C166" s="101">
        <v>27586</v>
      </c>
      <c r="D166" s="108">
        <v>29</v>
      </c>
      <c r="E166" s="114">
        <v>44762</v>
      </c>
      <c r="F166" s="106" t="s">
        <v>108</v>
      </c>
      <c r="G166" s="106" t="s">
        <v>46</v>
      </c>
      <c r="H166" s="106" t="s">
        <v>163</v>
      </c>
      <c r="I166" s="106" t="s">
        <v>60</v>
      </c>
      <c r="J166" s="106" t="s">
        <v>110</v>
      </c>
      <c r="K166" s="106" t="s">
        <v>111</v>
      </c>
      <c r="L166" s="106" t="s">
        <v>195</v>
      </c>
      <c r="M166" s="106" t="s">
        <v>112</v>
      </c>
      <c r="N166" s="109"/>
      <c r="O166" s="109">
        <v>5</v>
      </c>
      <c r="P166" s="109">
        <v>5</v>
      </c>
      <c r="Q166" s="108">
        <v>0</v>
      </c>
      <c r="R166" s="106" t="s">
        <v>197</v>
      </c>
      <c r="S166" s="106"/>
      <c r="T166" s="106" t="s">
        <v>182</v>
      </c>
      <c r="U166" s="106" t="s">
        <v>192</v>
      </c>
    </row>
    <row r="167" spans="1:21" s="51" customFormat="1">
      <c r="A167" s="109">
        <v>2022</v>
      </c>
      <c r="B167" s="106" t="s">
        <v>514</v>
      </c>
      <c r="C167" s="101">
        <v>27587</v>
      </c>
      <c r="D167" s="108">
        <v>29</v>
      </c>
      <c r="E167" s="114">
        <v>44762</v>
      </c>
      <c r="F167" s="106" t="s">
        <v>108</v>
      </c>
      <c r="G167" s="106" t="s">
        <v>46</v>
      </c>
      <c r="H167" s="106" t="s">
        <v>163</v>
      </c>
      <c r="I167" s="106" t="s">
        <v>60</v>
      </c>
      <c r="J167" s="106" t="s">
        <v>110</v>
      </c>
      <c r="K167" s="106" t="s">
        <v>111</v>
      </c>
      <c r="L167" s="106" t="s">
        <v>348</v>
      </c>
      <c r="M167" s="106" t="s">
        <v>112</v>
      </c>
      <c r="N167" s="109"/>
      <c r="O167" s="109">
        <v>50</v>
      </c>
      <c r="P167" s="109">
        <v>50</v>
      </c>
      <c r="Q167" s="108">
        <v>0</v>
      </c>
      <c r="R167" s="106" t="s">
        <v>197</v>
      </c>
      <c r="S167" s="106"/>
      <c r="T167" s="106" t="s">
        <v>181</v>
      </c>
      <c r="U167" s="106" t="s">
        <v>193</v>
      </c>
    </row>
    <row r="168" spans="1:21" s="51" customFormat="1">
      <c r="A168" s="109">
        <v>2022</v>
      </c>
      <c r="B168" s="106" t="s">
        <v>515</v>
      </c>
      <c r="C168" s="101">
        <v>27588</v>
      </c>
      <c r="D168" s="108">
        <v>29</v>
      </c>
      <c r="E168" s="114">
        <v>44762</v>
      </c>
      <c r="F168" s="106" t="s">
        <v>108</v>
      </c>
      <c r="G168" s="106" t="s">
        <v>46</v>
      </c>
      <c r="H168" s="106" t="s">
        <v>163</v>
      </c>
      <c r="I168" s="106" t="s">
        <v>60</v>
      </c>
      <c r="J168" s="106" t="s">
        <v>110</v>
      </c>
      <c r="K168" s="106" t="s">
        <v>111</v>
      </c>
      <c r="L168" s="106" t="s">
        <v>348</v>
      </c>
      <c r="M168" s="106" t="s">
        <v>112</v>
      </c>
      <c r="N168" s="109"/>
      <c r="O168" s="109">
        <v>26</v>
      </c>
      <c r="P168" s="109">
        <v>26</v>
      </c>
      <c r="Q168" s="108">
        <v>0</v>
      </c>
      <c r="R168" s="106" t="s">
        <v>197</v>
      </c>
      <c r="S168" s="106"/>
      <c r="T168" s="106" t="s">
        <v>181</v>
      </c>
      <c r="U168" s="106" t="s">
        <v>193</v>
      </c>
    </row>
    <row r="169" spans="1:21" s="51" customFormat="1">
      <c r="A169" s="109">
        <v>2022</v>
      </c>
      <c r="B169" s="106" t="s">
        <v>516</v>
      </c>
      <c r="C169" s="101">
        <v>27589</v>
      </c>
      <c r="D169" s="108">
        <v>29</v>
      </c>
      <c r="E169" s="114">
        <v>44763</v>
      </c>
      <c r="F169" s="106" t="s">
        <v>108</v>
      </c>
      <c r="G169" s="106" t="s">
        <v>46</v>
      </c>
      <c r="H169" s="106" t="s">
        <v>165</v>
      </c>
      <c r="I169" s="106" t="s">
        <v>60</v>
      </c>
      <c r="J169" s="106" t="s">
        <v>110</v>
      </c>
      <c r="K169" s="106" t="s">
        <v>111</v>
      </c>
      <c r="L169" s="106" t="s">
        <v>348</v>
      </c>
      <c r="M169" s="106" t="s">
        <v>112</v>
      </c>
      <c r="N169" s="109"/>
      <c r="O169" s="109">
        <v>50</v>
      </c>
      <c r="P169" s="109">
        <v>50</v>
      </c>
      <c r="Q169" s="108">
        <v>0</v>
      </c>
      <c r="R169" s="106" t="s">
        <v>197</v>
      </c>
      <c r="S169" s="106"/>
      <c r="T169" s="106" t="s">
        <v>181</v>
      </c>
      <c r="U169" s="106" t="s">
        <v>193</v>
      </c>
    </row>
    <row r="170" spans="1:21" s="51" customFormat="1">
      <c r="A170" s="109">
        <v>2022</v>
      </c>
      <c r="B170" s="106" t="s">
        <v>517</v>
      </c>
      <c r="C170" s="101">
        <v>27590</v>
      </c>
      <c r="D170" s="108">
        <v>29</v>
      </c>
      <c r="E170" s="114">
        <v>44763</v>
      </c>
      <c r="F170" s="106" t="s">
        <v>108</v>
      </c>
      <c r="G170" s="106" t="s">
        <v>46</v>
      </c>
      <c r="H170" s="106" t="s">
        <v>165</v>
      </c>
      <c r="I170" s="106" t="s">
        <v>60</v>
      </c>
      <c r="J170" s="106" t="s">
        <v>110</v>
      </c>
      <c r="K170" s="106" t="s">
        <v>111</v>
      </c>
      <c r="L170" s="106" t="s">
        <v>348</v>
      </c>
      <c r="M170" s="106" t="s">
        <v>112</v>
      </c>
      <c r="N170" s="109"/>
      <c r="O170" s="109">
        <v>6</v>
      </c>
      <c r="P170" s="109">
        <v>6</v>
      </c>
      <c r="Q170" s="108">
        <v>0</v>
      </c>
      <c r="R170" s="106" t="s">
        <v>197</v>
      </c>
      <c r="S170" s="106"/>
      <c r="T170" s="106" t="s">
        <v>181</v>
      </c>
      <c r="U170" s="106" t="s">
        <v>193</v>
      </c>
    </row>
    <row r="171" spans="1:21" s="51" customFormat="1">
      <c r="A171" s="109">
        <v>2022</v>
      </c>
      <c r="B171" s="106" t="s">
        <v>518</v>
      </c>
      <c r="C171" s="101">
        <v>27591</v>
      </c>
      <c r="D171" s="108">
        <v>29</v>
      </c>
      <c r="E171" s="114">
        <v>44763</v>
      </c>
      <c r="F171" s="106" t="s">
        <v>108</v>
      </c>
      <c r="G171" s="106" t="s">
        <v>46</v>
      </c>
      <c r="H171" s="106" t="s">
        <v>165</v>
      </c>
      <c r="I171" s="106" t="s">
        <v>60</v>
      </c>
      <c r="J171" s="106" t="s">
        <v>110</v>
      </c>
      <c r="K171" s="106" t="s">
        <v>111</v>
      </c>
      <c r="L171" s="106" t="s">
        <v>195</v>
      </c>
      <c r="M171" s="106" t="s">
        <v>112</v>
      </c>
      <c r="N171" s="109"/>
      <c r="O171" s="109">
        <v>16</v>
      </c>
      <c r="P171" s="109">
        <v>16</v>
      </c>
      <c r="Q171" s="108">
        <v>0</v>
      </c>
      <c r="R171" s="106" t="s">
        <v>197</v>
      </c>
      <c r="S171" s="106"/>
      <c r="T171" s="106" t="s">
        <v>182</v>
      </c>
      <c r="U171" s="106" t="s">
        <v>192</v>
      </c>
    </row>
    <row r="172" spans="1:21" s="89" customFormat="1">
      <c r="A172" s="88">
        <v>2022</v>
      </c>
      <c r="B172" s="89" t="s">
        <v>519</v>
      </c>
      <c r="C172" s="90">
        <v>27592</v>
      </c>
      <c r="D172" s="91">
        <v>29</v>
      </c>
      <c r="E172" s="94">
        <v>44763</v>
      </c>
      <c r="F172" s="89" t="s">
        <v>108</v>
      </c>
      <c r="G172" s="89" t="s">
        <v>46</v>
      </c>
      <c r="H172" s="89" t="s">
        <v>167</v>
      </c>
      <c r="I172" s="89" t="s">
        <v>59</v>
      </c>
      <c r="J172" s="89" t="s">
        <v>110</v>
      </c>
      <c r="K172" s="89" t="s">
        <v>111</v>
      </c>
      <c r="L172" s="89" t="s">
        <v>348</v>
      </c>
      <c r="M172" s="89" t="s">
        <v>112</v>
      </c>
      <c r="N172" s="88"/>
      <c r="O172" s="88">
        <v>50</v>
      </c>
      <c r="P172" s="88">
        <v>50</v>
      </c>
      <c r="Q172" s="91">
        <v>1</v>
      </c>
      <c r="R172" s="89" t="s">
        <v>198</v>
      </c>
      <c r="T172" s="89" t="s">
        <v>181</v>
      </c>
      <c r="U172" s="89" t="s">
        <v>189</v>
      </c>
    </row>
    <row r="173" spans="1:21" s="89" customFormat="1">
      <c r="A173" s="109">
        <v>2022</v>
      </c>
      <c r="B173" s="106" t="s">
        <v>520</v>
      </c>
      <c r="C173" s="101">
        <v>27593</v>
      </c>
      <c r="D173" s="108">
        <v>29</v>
      </c>
      <c r="E173" s="114">
        <v>44763</v>
      </c>
      <c r="F173" s="106" t="s">
        <v>108</v>
      </c>
      <c r="G173" s="106" t="s">
        <v>46</v>
      </c>
      <c r="H173" s="106" t="s">
        <v>167</v>
      </c>
      <c r="I173" s="106" t="s">
        <v>59</v>
      </c>
      <c r="J173" s="106" t="s">
        <v>110</v>
      </c>
      <c r="K173" s="106" t="s">
        <v>111</v>
      </c>
      <c r="L173" s="106" t="s">
        <v>348</v>
      </c>
      <c r="M173" s="106" t="s">
        <v>112</v>
      </c>
      <c r="N173" s="109"/>
      <c r="O173" s="109">
        <v>1</v>
      </c>
      <c r="P173" s="109">
        <v>1</v>
      </c>
      <c r="Q173" s="108">
        <v>0</v>
      </c>
      <c r="R173" s="106" t="s">
        <v>197</v>
      </c>
      <c r="S173" s="106"/>
      <c r="T173" s="106" t="s">
        <v>181</v>
      </c>
      <c r="U173" s="106" t="s">
        <v>189</v>
      </c>
    </row>
    <row r="174" spans="1:21">
      <c r="A174" s="109">
        <v>2022</v>
      </c>
      <c r="B174" s="106" t="s">
        <v>521</v>
      </c>
      <c r="C174" s="101">
        <v>27594</v>
      </c>
      <c r="D174" s="108">
        <v>29</v>
      </c>
      <c r="E174" s="114">
        <v>44763</v>
      </c>
      <c r="F174" s="106" t="s">
        <v>108</v>
      </c>
      <c r="G174" s="106" t="s">
        <v>46</v>
      </c>
      <c r="H174" s="106" t="s">
        <v>167</v>
      </c>
      <c r="I174" s="106" t="s">
        <v>59</v>
      </c>
      <c r="J174" s="106" t="s">
        <v>110</v>
      </c>
      <c r="K174" s="106" t="s">
        <v>111</v>
      </c>
      <c r="L174" s="106" t="s">
        <v>195</v>
      </c>
      <c r="M174" s="106" t="s">
        <v>112</v>
      </c>
      <c r="N174" s="109"/>
      <c r="O174" s="109">
        <v>1</v>
      </c>
      <c r="P174" s="109">
        <v>1</v>
      </c>
      <c r="Q174" s="108">
        <v>0</v>
      </c>
      <c r="R174" s="106" t="s">
        <v>197</v>
      </c>
      <c r="S174" s="106"/>
      <c r="T174" s="106" t="s">
        <v>182</v>
      </c>
      <c r="U174" s="106" t="s">
        <v>190</v>
      </c>
    </row>
    <row r="175" spans="1:21">
      <c r="A175" s="109">
        <v>2022</v>
      </c>
      <c r="B175" s="106" t="s">
        <v>522</v>
      </c>
      <c r="C175" s="101">
        <v>27595</v>
      </c>
      <c r="D175" s="108">
        <v>29</v>
      </c>
      <c r="E175" s="114">
        <v>44763</v>
      </c>
      <c r="F175" s="106" t="s">
        <v>108</v>
      </c>
      <c r="G175" s="106" t="s">
        <v>46</v>
      </c>
      <c r="H175" s="106" t="s">
        <v>166</v>
      </c>
      <c r="I175" s="106" t="s">
        <v>59</v>
      </c>
      <c r="J175" s="106" t="s">
        <v>110</v>
      </c>
      <c r="K175" s="106" t="s">
        <v>111</v>
      </c>
      <c r="L175" s="106" t="s">
        <v>348</v>
      </c>
      <c r="M175" s="106" t="s">
        <v>112</v>
      </c>
      <c r="N175" s="109"/>
      <c r="O175" s="109">
        <v>50</v>
      </c>
      <c r="P175" s="109">
        <v>50</v>
      </c>
      <c r="Q175" s="108">
        <v>0</v>
      </c>
      <c r="R175" s="106" t="s">
        <v>197</v>
      </c>
      <c r="S175" s="106"/>
      <c r="T175" s="106" t="s">
        <v>181</v>
      </c>
      <c r="U175" s="106" t="s">
        <v>189</v>
      </c>
    </row>
    <row r="176" spans="1:21">
      <c r="A176" s="109">
        <v>2022</v>
      </c>
      <c r="B176" s="106" t="s">
        <v>523</v>
      </c>
      <c r="C176" s="101">
        <v>27596</v>
      </c>
      <c r="D176" s="108">
        <v>29</v>
      </c>
      <c r="E176" s="114">
        <v>44763</v>
      </c>
      <c r="F176" s="106" t="s">
        <v>108</v>
      </c>
      <c r="G176" s="106" t="s">
        <v>46</v>
      </c>
      <c r="H176" s="106" t="s">
        <v>166</v>
      </c>
      <c r="I176" s="106" t="s">
        <v>59</v>
      </c>
      <c r="J176" s="106" t="s">
        <v>110</v>
      </c>
      <c r="K176" s="106" t="s">
        <v>111</v>
      </c>
      <c r="L176" s="106" t="s">
        <v>348</v>
      </c>
      <c r="M176" s="106" t="s">
        <v>112</v>
      </c>
      <c r="N176" s="109"/>
      <c r="O176" s="109">
        <v>50</v>
      </c>
      <c r="P176" s="109">
        <v>50</v>
      </c>
      <c r="Q176" s="108">
        <v>0</v>
      </c>
      <c r="R176" s="106" t="s">
        <v>197</v>
      </c>
      <c r="S176" s="106"/>
      <c r="T176" s="106" t="s">
        <v>181</v>
      </c>
      <c r="U176" s="106" t="s">
        <v>189</v>
      </c>
    </row>
    <row r="177" spans="1:22">
      <c r="A177" s="109">
        <v>2022</v>
      </c>
      <c r="B177" s="106" t="s">
        <v>524</v>
      </c>
      <c r="C177" s="101">
        <v>27597</v>
      </c>
      <c r="D177" s="108">
        <v>29</v>
      </c>
      <c r="E177" s="114">
        <v>44763</v>
      </c>
      <c r="F177" s="106" t="s">
        <v>108</v>
      </c>
      <c r="G177" s="106" t="s">
        <v>46</v>
      </c>
      <c r="H177" s="106" t="s">
        <v>166</v>
      </c>
      <c r="I177" s="106" t="s">
        <v>59</v>
      </c>
      <c r="J177" s="106" t="s">
        <v>110</v>
      </c>
      <c r="K177" s="106" t="s">
        <v>111</v>
      </c>
      <c r="L177" s="106" t="s">
        <v>348</v>
      </c>
      <c r="M177" s="106" t="s">
        <v>112</v>
      </c>
      <c r="N177" s="109"/>
      <c r="O177" s="109">
        <v>9</v>
      </c>
      <c r="P177" s="109">
        <v>9</v>
      </c>
      <c r="Q177" s="108">
        <v>0</v>
      </c>
      <c r="R177" s="106" t="s">
        <v>197</v>
      </c>
      <c r="S177" s="106"/>
      <c r="T177" s="106" t="s">
        <v>181</v>
      </c>
      <c r="U177" s="106" t="s">
        <v>189</v>
      </c>
    </row>
    <row r="178" spans="1:22">
      <c r="A178" s="109">
        <v>2022</v>
      </c>
      <c r="B178" s="106" t="s">
        <v>525</v>
      </c>
      <c r="C178" s="101">
        <v>27598</v>
      </c>
      <c r="D178" s="108">
        <v>29</v>
      </c>
      <c r="E178" s="114">
        <v>44763</v>
      </c>
      <c r="F178" s="106" t="s">
        <v>108</v>
      </c>
      <c r="G178" s="106" t="s">
        <v>46</v>
      </c>
      <c r="H178" s="106" t="s">
        <v>166</v>
      </c>
      <c r="I178" s="106" t="s">
        <v>59</v>
      </c>
      <c r="J178" s="106" t="s">
        <v>110</v>
      </c>
      <c r="K178" s="106" t="s">
        <v>111</v>
      </c>
      <c r="L178" s="106" t="s">
        <v>195</v>
      </c>
      <c r="M178" s="106" t="s">
        <v>112</v>
      </c>
      <c r="N178" s="109"/>
      <c r="O178" s="109">
        <v>4</v>
      </c>
      <c r="P178" s="109">
        <v>4</v>
      </c>
      <c r="Q178" s="108">
        <v>0</v>
      </c>
      <c r="R178" s="106" t="s">
        <v>197</v>
      </c>
      <c r="S178" s="106"/>
      <c r="T178" s="106" t="s">
        <v>182</v>
      </c>
      <c r="U178" s="106" t="s">
        <v>190</v>
      </c>
    </row>
    <row r="179" spans="1:22">
      <c r="A179" s="109">
        <v>2022</v>
      </c>
      <c r="B179" s="106" t="s">
        <v>526</v>
      </c>
      <c r="C179" s="101">
        <v>27599</v>
      </c>
      <c r="D179" s="108">
        <v>29</v>
      </c>
      <c r="E179" s="114">
        <v>44763</v>
      </c>
      <c r="F179" s="106" t="s">
        <v>108</v>
      </c>
      <c r="G179" s="106" t="s">
        <v>46</v>
      </c>
      <c r="H179" s="106" t="s">
        <v>171</v>
      </c>
      <c r="I179" s="106" t="s">
        <v>60</v>
      </c>
      <c r="J179" s="106" t="s">
        <v>110</v>
      </c>
      <c r="K179" s="106" t="s">
        <v>111</v>
      </c>
      <c r="L179" s="106" t="s">
        <v>348</v>
      </c>
      <c r="M179" s="106" t="s">
        <v>112</v>
      </c>
      <c r="N179" s="109"/>
      <c r="O179" s="109">
        <v>26</v>
      </c>
      <c r="P179" s="109">
        <v>26</v>
      </c>
      <c r="Q179" s="108">
        <v>0</v>
      </c>
      <c r="R179" s="106" t="s">
        <v>197</v>
      </c>
      <c r="S179" s="106"/>
      <c r="T179" s="106" t="s">
        <v>181</v>
      </c>
      <c r="U179" s="106" t="s">
        <v>193</v>
      </c>
    </row>
    <row r="180" spans="1:22">
      <c r="A180" s="109">
        <v>2022</v>
      </c>
      <c r="B180" s="106" t="s">
        <v>527</v>
      </c>
      <c r="C180" s="101">
        <v>27600</v>
      </c>
      <c r="D180" s="108">
        <v>29</v>
      </c>
      <c r="E180" s="114">
        <v>44763</v>
      </c>
      <c r="F180" s="106" t="s">
        <v>108</v>
      </c>
      <c r="G180" s="106" t="s">
        <v>46</v>
      </c>
      <c r="H180" s="106" t="s">
        <v>168</v>
      </c>
      <c r="I180" s="106" t="s">
        <v>59</v>
      </c>
      <c r="J180" s="106" t="s">
        <v>118</v>
      </c>
      <c r="K180" s="106" t="s">
        <v>111</v>
      </c>
      <c r="L180" s="106" t="s">
        <v>195</v>
      </c>
      <c r="M180" s="106" t="s">
        <v>112</v>
      </c>
      <c r="N180" s="109">
        <v>50</v>
      </c>
      <c r="O180" s="109"/>
      <c r="P180" s="109">
        <v>50</v>
      </c>
      <c r="Q180" s="108">
        <v>0</v>
      </c>
      <c r="R180" s="106" t="s">
        <v>197</v>
      </c>
      <c r="S180" s="106"/>
      <c r="T180" s="106" t="s">
        <v>182</v>
      </c>
      <c r="U180" s="106" t="s">
        <v>190</v>
      </c>
    </row>
    <row r="181" spans="1:22">
      <c r="A181" s="109">
        <v>2022</v>
      </c>
      <c r="B181" s="106" t="s">
        <v>528</v>
      </c>
      <c r="C181" s="110">
        <v>27601</v>
      </c>
      <c r="D181" s="108">
        <v>29</v>
      </c>
      <c r="E181" s="114">
        <v>44763</v>
      </c>
      <c r="F181" s="106" t="s">
        <v>108</v>
      </c>
      <c r="G181" s="106" t="s">
        <v>46</v>
      </c>
      <c r="H181" s="106" t="s">
        <v>168</v>
      </c>
      <c r="I181" s="106" t="s">
        <v>59</v>
      </c>
      <c r="J181" s="106" t="s">
        <v>118</v>
      </c>
      <c r="K181" s="106" t="s">
        <v>111</v>
      </c>
      <c r="L181" s="106" t="s">
        <v>195</v>
      </c>
      <c r="M181" s="106" t="s">
        <v>112</v>
      </c>
      <c r="N181" s="109">
        <v>49</v>
      </c>
      <c r="O181" s="109"/>
      <c r="P181" s="109">
        <v>49</v>
      </c>
      <c r="Q181" s="108">
        <v>0</v>
      </c>
      <c r="R181" s="106" t="s">
        <v>197</v>
      </c>
      <c r="S181" s="106"/>
      <c r="T181" s="106" t="s">
        <v>182</v>
      </c>
      <c r="U181" s="106" t="s">
        <v>190</v>
      </c>
    </row>
    <row r="182" spans="1:22">
      <c r="A182" s="109">
        <v>2022</v>
      </c>
      <c r="B182" s="106" t="s">
        <v>529</v>
      </c>
      <c r="C182" s="110">
        <v>27602</v>
      </c>
      <c r="D182" s="108">
        <v>29</v>
      </c>
      <c r="E182" s="114">
        <v>44763</v>
      </c>
      <c r="F182" s="106" t="s">
        <v>108</v>
      </c>
      <c r="G182" s="106" t="s">
        <v>46</v>
      </c>
      <c r="H182" s="106" t="s">
        <v>169</v>
      </c>
      <c r="I182" s="106" t="s">
        <v>60</v>
      </c>
      <c r="J182" s="106" t="s">
        <v>110</v>
      </c>
      <c r="K182" s="106" t="s">
        <v>111</v>
      </c>
      <c r="L182" s="106" t="s">
        <v>348</v>
      </c>
      <c r="M182" s="106" t="s">
        <v>112</v>
      </c>
      <c r="N182" s="109"/>
      <c r="O182" s="109">
        <v>9</v>
      </c>
      <c r="P182" s="109">
        <v>9</v>
      </c>
      <c r="Q182" s="108">
        <v>0</v>
      </c>
      <c r="R182" s="106" t="s">
        <v>197</v>
      </c>
      <c r="S182" s="106"/>
      <c r="T182" s="106" t="s">
        <v>181</v>
      </c>
      <c r="U182" s="106" t="s">
        <v>193</v>
      </c>
    </row>
    <row r="183" spans="1:22">
      <c r="A183" s="109">
        <v>2022</v>
      </c>
      <c r="B183" s="106" t="s">
        <v>530</v>
      </c>
      <c r="C183" s="110">
        <v>27603</v>
      </c>
      <c r="D183" s="108">
        <v>29</v>
      </c>
      <c r="E183" s="114">
        <v>44763</v>
      </c>
      <c r="F183" s="106" t="s">
        <v>108</v>
      </c>
      <c r="G183" s="106" t="s">
        <v>46</v>
      </c>
      <c r="H183" s="106" t="s">
        <v>169</v>
      </c>
      <c r="I183" s="106" t="s">
        <v>60</v>
      </c>
      <c r="J183" s="106" t="s">
        <v>110</v>
      </c>
      <c r="K183" s="106" t="s">
        <v>111</v>
      </c>
      <c r="L183" s="106" t="s">
        <v>195</v>
      </c>
      <c r="M183" s="106" t="s">
        <v>112</v>
      </c>
      <c r="N183" s="109"/>
      <c r="O183" s="109">
        <v>5</v>
      </c>
      <c r="P183" s="109">
        <v>5</v>
      </c>
      <c r="Q183" s="108">
        <v>0</v>
      </c>
      <c r="R183" s="106" t="s">
        <v>197</v>
      </c>
      <c r="S183" s="106"/>
      <c r="T183" s="106" t="s">
        <v>182</v>
      </c>
      <c r="U183" s="106" t="s">
        <v>192</v>
      </c>
    </row>
    <row r="184" spans="1:22" s="89" customFormat="1">
      <c r="A184" s="109">
        <v>2022</v>
      </c>
      <c r="B184" s="106" t="s">
        <v>531</v>
      </c>
      <c r="C184" s="110">
        <v>27604</v>
      </c>
      <c r="D184" s="108">
        <v>29</v>
      </c>
      <c r="E184" s="114">
        <v>44763</v>
      </c>
      <c r="F184" s="106" t="s">
        <v>108</v>
      </c>
      <c r="G184" s="106" t="s">
        <v>46</v>
      </c>
      <c r="H184" s="106" t="s">
        <v>175</v>
      </c>
      <c r="I184" s="106" t="s">
        <v>60</v>
      </c>
      <c r="J184" s="106" t="s">
        <v>118</v>
      </c>
      <c r="K184" s="106" t="s">
        <v>111</v>
      </c>
      <c r="L184" s="106" t="s">
        <v>195</v>
      </c>
      <c r="M184" s="106" t="s">
        <v>112</v>
      </c>
      <c r="N184" s="109">
        <v>50</v>
      </c>
      <c r="O184" s="109"/>
      <c r="P184" s="109">
        <v>50</v>
      </c>
      <c r="Q184" s="108">
        <v>0</v>
      </c>
      <c r="R184" s="106" t="s">
        <v>197</v>
      </c>
      <c r="S184" s="106"/>
      <c r="T184" s="106" t="s">
        <v>182</v>
      </c>
      <c r="U184" s="106" t="s">
        <v>192</v>
      </c>
      <c r="V184" s="51"/>
    </row>
    <row r="185" spans="1:22">
      <c r="A185" s="109">
        <v>2022</v>
      </c>
      <c r="B185" s="106" t="s">
        <v>532</v>
      </c>
      <c r="C185" s="110">
        <v>27605</v>
      </c>
      <c r="D185" s="108">
        <v>29</v>
      </c>
      <c r="E185" s="114">
        <v>44763</v>
      </c>
      <c r="F185" s="106" t="s">
        <v>108</v>
      </c>
      <c r="G185" s="106" t="s">
        <v>46</v>
      </c>
      <c r="H185" s="106" t="s">
        <v>175</v>
      </c>
      <c r="I185" s="106" t="s">
        <v>60</v>
      </c>
      <c r="J185" s="106" t="s">
        <v>118</v>
      </c>
      <c r="K185" s="106" t="s">
        <v>111</v>
      </c>
      <c r="L185" s="106" t="s">
        <v>195</v>
      </c>
      <c r="M185" s="106" t="s">
        <v>112</v>
      </c>
      <c r="N185" s="109">
        <v>16</v>
      </c>
      <c r="O185" s="109"/>
      <c r="P185" s="109">
        <v>16</v>
      </c>
      <c r="Q185" s="108">
        <v>0</v>
      </c>
      <c r="R185" s="106" t="s">
        <v>197</v>
      </c>
      <c r="S185" s="106"/>
      <c r="T185" s="106" t="s">
        <v>182</v>
      </c>
      <c r="U185" s="106" t="s">
        <v>192</v>
      </c>
    </row>
    <row r="186" spans="1:22">
      <c r="A186" s="66">
        <v>2022</v>
      </c>
      <c r="B186" s="51" t="s">
        <v>533</v>
      </c>
      <c r="C186" s="55">
        <v>27606</v>
      </c>
      <c r="D186" s="57">
        <v>29</v>
      </c>
      <c r="E186" s="61">
        <v>44763</v>
      </c>
      <c r="F186" s="51" t="s">
        <v>108</v>
      </c>
      <c r="G186" s="51" t="s">
        <v>46</v>
      </c>
      <c r="H186" s="51" t="s">
        <v>172</v>
      </c>
      <c r="I186" s="51" t="s">
        <v>60</v>
      </c>
      <c r="J186" s="51" t="s">
        <v>110</v>
      </c>
      <c r="K186" s="51" t="s">
        <v>111</v>
      </c>
      <c r="L186" s="51" t="s">
        <v>348</v>
      </c>
      <c r="M186" s="51" t="s">
        <v>112</v>
      </c>
      <c r="N186" s="66"/>
      <c r="O186" s="66">
        <v>15</v>
      </c>
      <c r="P186" s="66">
        <v>15</v>
      </c>
      <c r="Q186" s="57">
        <v>0</v>
      </c>
      <c r="R186" s="51" t="s">
        <v>197</v>
      </c>
      <c r="S186" s="51"/>
      <c r="T186" s="51" t="s">
        <v>181</v>
      </c>
      <c r="U186" s="51" t="s">
        <v>193</v>
      </c>
    </row>
    <row r="187" spans="1:22">
      <c r="A187" s="66">
        <v>2022</v>
      </c>
      <c r="B187" s="51" t="s">
        <v>534</v>
      </c>
      <c r="C187" s="55">
        <v>27607</v>
      </c>
      <c r="D187" s="57">
        <v>29</v>
      </c>
      <c r="E187" s="61">
        <v>44763</v>
      </c>
      <c r="F187" s="51" t="s">
        <v>108</v>
      </c>
      <c r="G187" s="51" t="s">
        <v>46</v>
      </c>
      <c r="H187" s="51" t="s">
        <v>172</v>
      </c>
      <c r="I187" s="51" t="s">
        <v>60</v>
      </c>
      <c r="J187" s="51" t="s">
        <v>110</v>
      </c>
      <c r="K187" s="51" t="s">
        <v>111</v>
      </c>
      <c r="L187" s="51" t="s">
        <v>195</v>
      </c>
      <c r="M187" s="51" t="s">
        <v>112</v>
      </c>
      <c r="N187" s="66"/>
      <c r="O187" s="66">
        <v>2</v>
      </c>
      <c r="P187" s="66">
        <v>2</v>
      </c>
      <c r="Q187" s="57">
        <v>0</v>
      </c>
      <c r="R187" s="51" t="s">
        <v>197</v>
      </c>
      <c r="S187" s="51"/>
      <c r="T187" s="51" t="s">
        <v>182</v>
      </c>
      <c r="U187" s="51" t="s">
        <v>192</v>
      </c>
    </row>
    <row r="188" spans="1:22">
      <c r="A188" s="66">
        <v>2022</v>
      </c>
      <c r="B188" s="51" t="s">
        <v>535</v>
      </c>
      <c r="C188" s="55">
        <v>27608</v>
      </c>
      <c r="D188" s="57">
        <v>29</v>
      </c>
      <c r="E188" s="61">
        <v>44763</v>
      </c>
      <c r="F188" s="51" t="s">
        <v>108</v>
      </c>
      <c r="G188" s="51" t="s">
        <v>46</v>
      </c>
      <c r="H188" s="51" t="s">
        <v>173</v>
      </c>
      <c r="I188" s="51" t="s">
        <v>60</v>
      </c>
      <c r="J188" s="51" t="s">
        <v>110</v>
      </c>
      <c r="K188" s="51" t="s">
        <v>111</v>
      </c>
      <c r="L188" s="51" t="s">
        <v>348</v>
      </c>
      <c r="M188" s="51" t="s">
        <v>112</v>
      </c>
      <c r="N188" s="66"/>
      <c r="O188" s="66">
        <v>8</v>
      </c>
      <c r="P188" s="66">
        <v>8</v>
      </c>
      <c r="Q188" s="57">
        <v>0</v>
      </c>
      <c r="R188" s="51" t="s">
        <v>197</v>
      </c>
      <c r="S188" s="51"/>
      <c r="T188" s="51" t="s">
        <v>181</v>
      </c>
      <c r="U188" s="51" t="s">
        <v>193</v>
      </c>
    </row>
    <row r="189" spans="1:22">
      <c r="A189" s="66">
        <v>2022</v>
      </c>
      <c r="B189" s="51" t="s">
        <v>536</v>
      </c>
      <c r="C189" s="55">
        <v>27609</v>
      </c>
      <c r="D189" s="57">
        <v>29</v>
      </c>
      <c r="E189" s="61">
        <v>44763</v>
      </c>
      <c r="F189" s="51" t="s">
        <v>108</v>
      </c>
      <c r="G189" s="51" t="s">
        <v>46</v>
      </c>
      <c r="H189" s="51" t="s">
        <v>170</v>
      </c>
      <c r="I189" s="51" t="s">
        <v>60</v>
      </c>
      <c r="J189" s="51" t="s">
        <v>110</v>
      </c>
      <c r="K189" s="51" t="s">
        <v>111</v>
      </c>
      <c r="L189" s="51" t="s">
        <v>348</v>
      </c>
      <c r="M189" s="51" t="s">
        <v>112</v>
      </c>
      <c r="N189" s="66"/>
      <c r="O189" s="66">
        <v>50</v>
      </c>
      <c r="P189" s="66">
        <v>50</v>
      </c>
      <c r="Q189" s="57">
        <v>0</v>
      </c>
      <c r="R189" s="51" t="s">
        <v>197</v>
      </c>
      <c r="S189" s="51"/>
      <c r="T189" s="51" t="s">
        <v>181</v>
      </c>
      <c r="U189" s="51" t="s">
        <v>193</v>
      </c>
    </row>
    <row r="190" spans="1:22">
      <c r="A190" s="66">
        <v>2022</v>
      </c>
      <c r="B190" s="51" t="s">
        <v>537</v>
      </c>
      <c r="C190" s="55">
        <v>27610</v>
      </c>
      <c r="D190" s="57">
        <v>29</v>
      </c>
      <c r="E190" s="61">
        <v>44763</v>
      </c>
      <c r="F190" s="51" t="s">
        <v>108</v>
      </c>
      <c r="G190" s="51" t="s">
        <v>46</v>
      </c>
      <c r="H190" s="51" t="s">
        <v>170</v>
      </c>
      <c r="I190" s="51" t="s">
        <v>60</v>
      </c>
      <c r="J190" s="51" t="s">
        <v>110</v>
      </c>
      <c r="K190" s="51" t="s">
        <v>111</v>
      </c>
      <c r="L190" s="51" t="s">
        <v>348</v>
      </c>
      <c r="M190" s="51" t="s">
        <v>112</v>
      </c>
      <c r="N190" s="66"/>
      <c r="O190" s="66">
        <v>42</v>
      </c>
      <c r="P190" s="66">
        <v>42</v>
      </c>
      <c r="Q190" s="57">
        <v>0</v>
      </c>
      <c r="R190" s="51" t="s">
        <v>197</v>
      </c>
      <c r="S190" s="51"/>
      <c r="T190" s="51" t="s">
        <v>181</v>
      </c>
      <c r="U190" s="51" t="s">
        <v>193</v>
      </c>
    </row>
    <row r="191" spans="1:22">
      <c r="A191" s="66">
        <v>2022</v>
      </c>
      <c r="B191" s="51" t="s">
        <v>538</v>
      </c>
      <c r="C191" s="55">
        <v>27611</v>
      </c>
      <c r="D191" s="57">
        <v>29</v>
      </c>
      <c r="E191" s="61">
        <v>44763</v>
      </c>
      <c r="F191" s="51" t="s">
        <v>108</v>
      </c>
      <c r="G191" s="51" t="s">
        <v>46</v>
      </c>
      <c r="H191" s="51" t="s">
        <v>170</v>
      </c>
      <c r="I191" s="51" t="s">
        <v>60</v>
      </c>
      <c r="J191" s="51" t="s">
        <v>110</v>
      </c>
      <c r="K191" s="51" t="s">
        <v>111</v>
      </c>
      <c r="L191" s="51" t="s">
        <v>195</v>
      </c>
      <c r="M191" s="51" t="s">
        <v>112</v>
      </c>
      <c r="N191" s="66"/>
      <c r="O191" s="66">
        <v>3</v>
      </c>
      <c r="P191" s="66">
        <v>3</v>
      </c>
      <c r="Q191" s="57">
        <v>0</v>
      </c>
      <c r="R191" s="51" t="s">
        <v>197</v>
      </c>
      <c r="S191" s="51"/>
      <c r="T191" s="51" t="s">
        <v>182</v>
      </c>
      <c r="U191" s="51" t="s">
        <v>192</v>
      </c>
    </row>
    <row r="192" spans="1:22">
      <c r="A192" s="66">
        <v>2022</v>
      </c>
      <c r="B192" s="51" t="s">
        <v>539</v>
      </c>
      <c r="C192" s="55">
        <v>27612</v>
      </c>
      <c r="D192" s="57">
        <v>29</v>
      </c>
      <c r="E192" s="61">
        <v>44763</v>
      </c>
      <c r="F192" s="51" t="s">
        <v>108</v>
      </c>
      <c r="G192" s="51" t="s">
        <v>46</v>
      </c>
      <c r="H192" s="51" t="s">
        <v>174</v>
      </c>
      <c r="I192" s="51" t="s">
        <v>60</v>
      </c>
      <c r="J192" s="51" t="s">
        <v>110</v>
      </c>
      <c r="K192" s="51" t="s">
        <v>111</v>
      </c>
      <c r="L192" s="51" t="s">
        <v>348</v>
      </c>
      <c r="M192" s="51" t="s">
        <v>112</v>
      </c>
      <c r="N192" s="66"/>
      <c r="O192" s="66">
        <v>50</v>
      </c>
      <c r="P192" s="66">
        <v>50</v>
      </c>
      <c r="Q192" s="57">
        <v>0</v>
      </c>
      <c r="R192" s="51" t="s">
        <v>197</v>
      </c>
      <c r="S192" s="51"/>
      <c r="T192" s="51" t="s">
        <v>181</v>
      </c>
      <c r="U192" s="51" t="s">
        <v>193</v>
      </c>
    </row>
    <row r="193" spans="1:21">
      <c r="A193" s="66">
        <v>2022</v>
      </c>
      <c r="B193" s="51" t="s">
        <v>540</v>
      </c>
      <c r="C193" s="55">
        <v>27613</v>
      </c>
      <c r="D193" s="57">
        <v>29</v>
      </c>
      <c r="E193" s="61">
        <v>44763</v>
      </c>
      <c r="F193" s="51" t="s">
        <v>108</v>
      </c>
      <c r="G193" s="51" t="s">
        <v>46</v>
      </c>
      <c r="H193" s="51" t="s">
        <v>174</v>
      </c>
      <c r="I193" s="51" t="s">
        <v>60</v>
      </c>
      <c r="J193" s="51" t="s">
        <v>110</v>
      </c>
      <c r="K193" s="51" t="s">
        <v>111</v>
      </c>
      <c r="L193" s="51" t="s">
        <v>348</v>
      </c>
      <c r="M193" s="51" t="s">
        <v>112</v>
      </c>
      <c r="N193" s="66"/>
      <c r="O193" s="66">
        <v>50</v>
      </c>
      <c r="P193" s="66">
        <v>50</v>
      </c>
      <c r="Q193" s="57">
        <v>0</v>
      </c>
      <c r="R193" s="51" t="s">
        <v>197</v>
      </c>
      <c r="S193" s="51"/>
      <c r="T193" s="51" t="s">
        <v>181</v>
      </c>
      <c r="U193" s="51" t="s">
        <v>193</v>
      </c>
    </row>
    <row r="194" spans="1:21">
      <c r="A194" s="66">
        <v>2022</v>
      </c>
      <c r="B194" s="51" t="s">
        <v>541</v>
      </c>
      <c r="C194" s="55">
        <v>27614</v>
      </c>
      <c r="D194" s="57">
        <v>29</v>
      </c>
      <c r="E194" s="61">
        <v>44763</v>
      </c>
      <c r="F194" s="51" t="s">
        <v>108</v>
      </c>
      <c r="G194" s="51" t="s">
        <v>46</v>
      </c>
      <c r="H194" s="51" t="s">
        <v>174</v>
      </c>
      <c r="I194" s="51" t="s">
        <v>60</v>
      </c>
      <c r="J194" s="51" t="s">
        <v>110</v>
      </c>
      <c r="K194" s="51" t="s">
        <v>111</v>
      </c>
      <c r="L194" s="51" t="s">
        <v>348</v>
      </c>
      <c r="M194" s="51" t="s">
        <v>112</v>
      </c>
      <c r="N194" s="66"/>
      <c r="O194" s="66">
        <v>50</v>
      </c>
      <c r="P194" s="66">
        <v>50</v>
      </c>
      <c r="Q194" s="57">
        <v>0</v>
      </c>
      <c r="R194" s="51" t="s">
        <v>197</v>
      </c>
      <c r="S194" s="51"/>
      <c r="T194" s="51" t="s">
        <v>181</v>
      </c>
      <c r="U194" s="51" t="s">
        <v>193</v>
      </c>
    </row>
    <row r="195" spans="1:21">
      <c r="A195" s="66">
        <v>2022</v>
      </c>
      <c r="B195" s="51" t="s">
        <v>542</v>
      </c>
      <c r="C195" s="55">
        <v>27615</v>
      </c>
      <c r="D195" s="57">
        <v>29</v>
      </c>
      <c r="E195" s="61">
        <v>44763</v>
      </c>
      <c r="F195" s="51" t="s">
        <v>108</v>
      </c>
      <c r="G195" s="51" t="s">
        <v>46</v>
      </c>
      <c r="H195" s="51" t="s">
        <v>174</v>
      </c>
      <c r="I195" s="51" t="s">
        <v>60</v>
      </c>
      <c r="J195" s="51" t="s">
        <v>110</v>
      </c>
      <c r="K195" s="51" t="s">
        <v>111</v>
      </c>
      <c r="L195" s="51" t="s">
        <v>348</v>
      </c>
      <c r="M195" s="51" t="s">
        <v>112</v>
      </c>
      <c r="N195" s="66"/>
      <c r="O195" s="66">
        <v>50</v>
      </c>
      <c r="P195" s="66">
        <v>50</v>
      </c>
      <c r="Q195" s="57">
        <v>0</v>
      </c>
      <c r="R195" s="51" t="s">
        <v>197</v>
      </c>
      <c r="S195" s="51"/>
      <c r="T195" s="51" t="s">
        <v>181</v>
      </c>
      <c r="U195" s="51" t="s">
        <v>193</v>
      </c>
    </row>
    <row r="196" spans="1:21">
      <c r="A196" s="66">
        <v>2022</v>
      </c>
      <c r="B196" s="51" t="s">
        <v>543</v>
      </c>
      <c r="C196" s="55">
        <v>27616</v>
      </c>
      <c r="D196" s="57">
        <v>29</v>
      </c>
      <c r="E196" s="61">
        <v>44763</v>
      </c>
      <c r="F196" s="51" t="s">
        <v>108</v>
      </c>
      <c r="G196" s="51" t="s">
        <v>46</v>
      </c>
      <c r="H196" s="51" t="s">
        <v>174</v>
      </c>
      <c r="I196" s="51" t="s">
        <v>60</v>
      </c>
      <c r="J196" s="51" t="s">
        <v>110</v>
      </c>
      <c r="K196" s="51" t="s">
        <v>111</v>
      </c>
      <c r="L196" s="51" t="s">
        <v>348</v>
      </c>
      <c r="M196" s="51" t="s">
        <v>112</v>
      </c>
      <c r="N196" s="66"/>
      <c r="O196" s="66">
        <v>16</v>
      </c>
      <c r="P196" s="66">
        <v>16</v>
      </c>
      <c r="Q196" s="57">
        <v>0</v>
      </c>
      <c r="R196" s="51" t="s">
        <v>197</v>
      </c>
      <c r="S196" s="51"/>
      <c r="T196" s="51" t="s">
        <v>181</v>
      </c>
      <c r="U196" s="51" t="s">
        <v>193</v>
      </c>
    </row>
    <row r="197" spans="1:21">
      <c r="A197" s="66">
        <v>2022</v>
      </c>
      <c r="B197" s="51" t="s">
        <v>544</v>
      </c>
      <c r="C197" s="55">
        <v>27617</v>
      </c>
      <c r="D197" s="57">
        <v>29</v>
      </c>
      <c r="E197" s="61">
        <v>44763</v>
      </c>
      <c r="F197" s="51" t="s">
        <v>108</v>
      </c>
      <c r="G197" s="51" t="s">
        <v>46</v>
      </c>
      <c r="H197" s="51" t="s">
        <v>174</v>
      </c>
      <c r="I197" s="51" t="s">
        <v>60</v>
      </c>
      <c r="J197" s="51" t="s">
        <v>110</v>
      </c>
      <c r="K197" s="51" t="s">
        <v>111</v>
      </c>
      <c r="L197" s="51" t="s">
        <v>195</v>
      </c>
      <c r="M197" s="51" t="s">
        <v>112</v>
      </c>
      <c r="N197" s="66"/>
      <c r="O197" s="66">
        <v>8</v>
      </c>
      <c r="P197" s="66">
        <v>8</v>
      </c>
      <c r="Q197" s="57">
        <v>0</v>
      </c>
      <c r="R197" s="51" t="s">
        <v>197</v>
      </c>
      <c r="S197" s="51"/>
      <c r="T197" s="51" t="s">
        <v>182</v>
      </c>
      <c r="U197" s="51" t="s">
        <v>192</v>
      </c>
    </row>
    <row r="198" spans="1:21">
      <c r="A198" s="66">
        <v>2022</v>
      </c>
      <c r="B198" s="51" t="s">
        <v>545</v>
      </c>
      <c r="C198" s="55" t="s">
        <v>106</v>
      </c>
      <c r="D198" s="57">
        <v>29</v>
      </c>
      <c r="E198" s="61">
        <v>44760</v>
      </c>
      <c r="F198" s="51" t="s">
        <v>105</v>
      </c>
      <c r="G198" s="51" t="s">
        <v>105</v>
      </c>
      <c r="H198" s="51" t="s">
        <v>178</v>
      </c>
      <c r="I198" s="51" t="s">
        <v>105</v>
      </c>
      <c r="J198" s="51" t="s">
        <v>110</v>
      </c>
      <c r="K198" s="51" t="s">
        <v>111</v>
      </c>
      <c r="L198" s="51" t="s">
        <v>348</v>
      </c>
      <c r="M198" s="51" t="s">
        <v>112</v>
      </c>
      <c r="N198" s="66">
        <v>0</v>
      </c>
      <c r="O198" s="66">
        <v>21</v>
      </c>
      <c r="P198" s="66">
        <v>21</v>
      </c>
      <c r="Q198" s="57">
        <v>0</v>
      </c>
      <c r="R198" s="51" t="s">
        <v>197</v>
      </c>
      <c r="S198" s="51"/>
      <c r="T198" s="51" t="s">
        <v>185</v>
      </c>
      <c r="U198" s="51" t="s">
        <v>185</v>
      </c>
    </row>
    <row r="199" spans="1:21">
      <c r="A199" s="66">
        <v>2022</v>
      </c>
      <c r="B199" s="51" t="s">
        <v>546</v>
      </c>
      <c r="C199" s="56" t="s">
        <v>106</v>
      </c>
      <c r="D199" s="57">
        <v>29</v>
      </c>
      <c r="E199" s="61">
        <v>44760</v>
      </c>
      <c r="F199" s="51" t="s">
        <v>105</v>
      </c>
      <c r="G199" s="51" t="s">
        <v>105</v>
      </c>
      <c r="H199" s="51" t="s">
        <v>176</v>
      </c>
      <c r="I199" s="51" t="s">
        <v>105</v>
      </c>
      <c r="J199" s="51" t="s">
        <v>110</v>
      </c>
      <c r="K199" s="51" t="s">
        <v>111</v>
      </c>
      <c r="L199" s="51" t="s">
        <v>348</v>
      </c>
      <c r="M199" s="51" t="s">
        <v>112</v>
      </c>
      <c r="N199" s="66">
        <v>0</v>
      </c>
      <c r="O199" s="66">
        <v>49</v>
      </c>
      <c r="P199" s="66">
        <v>49</v>
      </c>
      <c r="Q199" s="57">
        <v>0</v>
      </c>
      <c r="R199" s="51" t="s">
        <v>197</v>
      </c>
      <c r="S199" s="51"/>
      <c r="T199" s="51" t="s">
        <v>185</v>
      </c>
      <c r="U199" s="51" t="s">
        <v>185</v>
      </c>
    </row>
    <row r="200" spans="1:21">
      <c r="A200" s="66">
        <v>2022</v>
      </c>
      <c r="B200" s="51" t="s">
        <v>547</v>
      </c>
      <c r="C200" s="56" t="s">
        <v>106</v>
      </c>
      <c r="D200" s="57">
        <v>29</v>
      </c>
      <c r="E200" s="61">
        <v>44760</v>
      </c>
      <c r="F200" s="51" t="s">
        <v>105</v>
      </c>
      <c r="G200" s="51" t="s">
        <v>105</v>
      </c>
      <c r="H200" s="51" t="s">
        <v>548</v>
      </c>
      <c r="I200" s="51" t="s">
        <v>105</v>
      </c>
      <c r="J200" s="51" t="s">
        <v>110</v>
      </c>
      <c r="K200" s="51" t="s">
        <v>111</v>
      </c>
      <c r="L200" s="51" t="s">
        <v>348</v>
      </c>
      <c r="M200" s="51" t="s">
        <v>112</v>
      </c>
      <c r="N200" s="66">
        <v>0</v>
      </c>
      <c r="O200" s="66">
        <v>49</v>
      </c>
      <c r="P200" s="66">
        <v>49</v>
      </c>
      <c r="Q200" s="57">
        <v>0</v>
      </c>
      <c r="R200" s="51" t="s">
        <v>197</v>
      </c>
      <c r="S200" s="51"/>
      <c r="T200" s="51" t="s">
        <v>185</v>
      </c>
      <c r="U200" s="51" t="s">
        <v>185</v>
      </c>
    </row>
    <row r="201" spans="1:21">
      <c r="A201" s="66">
        <v>2022</v>
      </c>
      <c r="B201" s="51" t="s">
        <v>549</v>
      </c>
      <c r="C201" s="56" t="s">
        <v>106</v>
      </c>
      <c r="D201" s="57">
        <v>29</v>
      </c>
      <c r="E201" s="61">
        <v>44760</v>
      </c>
      <c r="F201" s="51" t="s">
        <v>105</v>
      </c>
      <c r="G201" s="51" t="s">
        <v>105</v>
      </c>
      <c r="H201" s="51" t="s">
        <v>196</v>
      </c>
      <c r="I201" s="51" t="s">
        <v>105</v>
      </c>
      <c r="J201" s="51" t="s">
        <v>110</v>
      </c>
      <c r="K201" s="51" t="s">
        <v>111</v>
      </c>
      <c r="L201" s="51" t="s">
        <v>348</v>
      </c>
      <c r="M201" s="51" t="s">
        <v>112</v>
      </c>
      <c r="N201" s="66">
        <v>0</v>
      </c>
      <c r="O201" s="66">
        <v>37</v>
      </c>
      <c r="P201" s="66">
        <v>37</v>
      </c>
      <c r="Q201" s="57">
        <v>0</v>
      </c>
      <c r="R201" s="51" t="s">
        <v>197</v>
      </c>
      <c r="S201" s="51"/>
      <c r="T201" s="51" t="s">
        <v>185</v>
      </c>
      <c r="U201" s="51" t="s">
        <v>185</v>
      </c>
    </row>
    <row r="202" spans="1:21">
      <c r="A202" s="66">
        <v>2022</v>
      </c>
      <c r="B202" s="51" t="s">
        <v>550</v>
      </c>
      <c r="C202" s="56" t="s">
        <v>106</v>
      </c>
      <c r="D202" s="57">
        <v>29</v>
      </c>
      <c r="E202" s="61">
        <v>44760</v>
      </c>
      <c r="F202" s="51" t="s">
        <v>105</v>
      </c>
      <c r="G202" s="51" t="s">
        <v>105</v>
      </c>
      <c r="H202" s="51" t="s">
        <v>177</v>
      </c>
      <c r="I202" s="51" t="s">
        <v>105</v>
      </c>
      <c r="J202" s="51" t="s">
        <v>110</v>
      </c>
      <c r="K202" s="51" t="s">
        <v>111</v>
      </c>
      <c r="L202" s="51" t="s">
        <v>348</v>
      </c>
      <c r="M202" s="51" t="s">
        <v>112</v>
      </c>
      <c r="N202" s="66">
        <v>0</v>
      </c>
      <c r="O202" s="66">
        <v>13</v>
      </c>
      <c r="P202" s="66">
        <v>13</v>
      </c>
      <c r="Q202" s="57">
        <v>0</v>
      </c>
      <c r="R202" s="51" t="s">
        <v>197</v>
      </c>
      <c r="S202" s="51"/>
      <c r="T202" s="51" t="s">
        <v>185</v>
      </c>
      <c r="U202" s="51" t="s">
        <v>185</v>
      </c>
    </row>
    <row r="203" spans="1:21">
      <c r="A203" s="66"/>
      <c r="B203" s="51"/>
      <c r="C203" s="56"/>
      <c r="D203" s="57"/>
      <c r="E203" s="61"/>
      <c r="F203" s="51"/>
      <c r="G203" s="51"/>
      <c r="H203" s="51"/>
      <c r="I203" s="51"/>
      <c r="J203" s="51"/>
      <c r="K203" s="51"/>
      <c r="L203" s="51"/>
      <c r="M203" s="51"/>
      <c r="N203" s="66"/>
      <c r="O203" s="66"/>
      <c r="P203" s="66"/>
      <c r="Q203" s="57"/>
      <c r="R203" s="51"/>
      <c r="S203" s="51"/>
      <c r="T203" s="51"/>
      <c r="U203" s="51"/>
    </row>
    <row r="204" spans="1:21">
      <c r="A204" s="66"/>
      <c r="B204" s="51"/>
      <c r="C204" s="55"/>
      <c r="D204" s="57"/>
      <c r="E204" s="61"/>
      <c r="F204" s="51"/>
      <c r="G204" s="51"/>
      <c r="H204" s="51"/>
      <c r="I204" s="51"/>
      <c r="J204" s="51"/>
      <c r="K204" s="51"/>
      <c r="L204" s="51"/>
      <c r="M204" s="51"/>
      <c r="N204" s="66"/>
      <c r="O204" s="66"/>
      <c r="P204" s="66"/>
      <c r="Q204" s="57"/>
      <c r="R204" s="51"/>
      <c r="S204" s="51"/>
      <c r="T204" s="51"/>
      <c r="U204" s="51"/>
    </row>
    <row r="205" spans="1:21">
      <c r="A205" s="66"/>
      <c r="B205" s="51"/>
      <c r="C205" s="55"/>
      <c r="D205" s="57"/>
      <c r="E205" s="61"/>
      <c r="F205" s="51"/>
      <c r="G205" s="51"/>
      <c r="H205" s="51"/>
      <c r="I205" s="51"/>
      <c r="J205" s="51"/>
      <c r="K205" s="51"/>
      <c r="L205" s="51"/>
      <c r="M205" s="51"/>
      <c r="N205" s="66"/>
      <c r="O205" s="66"/>
      <c r="P205" s="66"/>
      <c r="Q205" s="57"/>
      <c r="R205" s="51"/>
      <c r="S205" s="51"/>
      <c r="T205" s="51"/>
      <c r="U205" s="51"/>
    </row>
    <row r="206" spans="1:21">
      <c r="A206" s="69"/>
      <c r="B206" s="51"/>
      <c r="C206" s="55"/>
      <c r="D206" s="57"/>
      <c r="E206" s="61"/>
      <c r="F206" s="51"/>
      <c r="G206" s="51"/>
      <c r="H206" s="51"/>
      <c r="I206" s="51"/>
      <c r="J206" s="51"/>
      <c r="K206" s="51"/>
      <c r="L206" s="51"/>
      <c r="M206" s="51"/>
      <c r="N206" s="66"/>
      <c r="O206" s="66"/>
      <c r="P206" s="66"/>
      <c r="Q206" s="57"/>
      <c r="R206" s="51"/>
      <c r="S206" s="51"/>
      <c r="T206" s="51"/>
      <c r="U206" s="51"/>
    </row>
    <row r="207" spans="1:21">
      <c r="A207" s="69"/>
      <c r="B207" s="51"/>
      <c r="C207" s="55"/>
      <c r="D207" s="57"/>
      <c r="E207" s="61"/>
      <c r="F207" s="51"/>
      <c r="G207" s="51"/>
      <c r="H207" s="51"/>
      <c r="I207" s="51"/>
      <c r="J207" s="51"/>
      <c r="K207" s="51"/>
      <c r="L207" s="51"/>
      <c r="M207" s="51"/>
      <c r="N207" s="66"/>
      <c r="O207" s="66"/>
      <c r="P207" s="66"/>
      <c r="Q207" s="57"/>
      <c r="R207" s="51"/>
      <c r="S207" s="51"/>
      <c r="T207" s="51"/>
      <c r="U207" s="51"/>
    </row>
    <row r="208" spans="1:21">
      <c r="A208" s="69"/>
      <c r="B208" s="51"/>
      <c r="C208" s="55"/>
      <c r="D208" s="57"/>
      <c r="E208" s="61"/>
      <c r="F208" s="51"/>
      <c r="G208" s="51"/>
      <c r="H208" s="51"/>
      <c r="I208" s="51"/>
      <c r="J208" s="51"/>
      <c r="K208" s="51"/>
      <c r="L208" s="51"/>
      <c r="M208" s="51"/>
      <c r="N208" s="66"/>
      <c r="O208" s="66"/>
      <c r="P208" s="66"/>
      <c r="Q208" s="57"/>
      <c r="R208" s="51"/>
      <c r="S208" s="51"/>
      <c r="T208" s="51"/>
      <c r="U208" s="51"/>
    </row>
    <row r="209" spans="1:21">
      <c r="A209" s="69"/>
      <c r="B209" s="51"/>
      <c r="C209" s="55"/>
      <c r="D209" s="57"/>
      <c r="E209" s="61"/>
      <c r="F209" s="51"/>
      <c r="G209" s="51"/>
      <c r="H209" s="51"/>
      <c r="I209" s="51"/>
      <c r="J209" s="51"/>
      <c r="K209" s="51"/>
      <c r="L209" s="51"/>
      <c r="M209" s="51"/>
      <c r="N209" s="66"/>
      <c r="O209" s="66"/>
      <c r="P209" s="66"/>
      <c r="Q209" s="57"/>
      <c r="R209" s="51"/>
      <c r="S209" s="51"/>
      <c r="T209" s="51"/>
      <c r="U209" s="51"/>
    </row>
    <row r="210" spans="1:21">
      <c r="A210" s="69"/>
      <c r="B210" s="51"/>
      <c r="C210" s="55"/>
      <c r="D210" s="57"/>
      <c r="E210" s="61"/>
      <c r="F210" s="51"/>
      <c r="G210" s="51"/>
      <c r="H210" s="51"/>
      <c r="I210" s="51"/>
      <c r="J210" s="51"/>
      <c r="K210" s="51"/>
      <c r="L210" s="51"/>
      <c r="M210" s="51"/>
      <c r="N210" s="66"/>
      <c r="O210" s="66"/>
      <c r="P210" s="66"/>
      <c r="Q210" s="57"/>
      <c r="R210" s="51"/>
      <c r="S210" s="51"/>
      <c r="T210" s="51"/>
      <c r="U210" s="51"/>
    </row>
    <row r="211" spans="1:21">
      <c r="A211" s="69"/>
      <c r="B211" s="51"/>
      <c r="C211" s="55"/>
      <c r="D211" s="57"/>
      <c r="E211" s="61"/>
      <c r="F211" s="51"/>
      <c r="G211" s="51"/>
      <c r="H211" s="51"/>
      <c r="I211" s="51"/>
      <c r="J211" s="51"/>
      <c r="K211" s="51"/>
      <c r="L211" s="51"/>
      <c r="M211" s="51"/>
      <c r="N211" s="66"/>
      <c r="O211" s="66"/>
      <c r="P211" s="66"/>
      <c r="Q211" s="57"/>
      <c r="R211" s="51"/>
      <c r="S211" s="51"/>
      <c r="T211" s="51"/>
      <c r="U211" s="51"/>
    </row>
    <row r="212" spans="1:21">
      <c r="A212" s="69"/>
      <c r="B212" s="51"/>
      <c r="C212" s="55"/>
      <c r="D212" s="57"/>
      <c r="E212" s="61"/>
      <c r="F212" s="51"/>
      <c r="G212" s="51"/>
      <c r="H212" s="51"/>
      <c r="I212" s="51"/>
      <c r="J212" s="51"/>
      <c r="K212" s="51"/>
      <c r="L212" s="51"/>
      <c r="M212" s="51"/>
      <c r="N212" s="66"/>
      <c r="O212" s="66"/>
      <c r="P212" s="66"/>
      <c r="Q212" s="57"/>
      <c r="R212" s="51"/>
      <c r="S212" s="51"/>
      <c r="T212" s="51"/>
      <c r="U212" s="51"/>
    </row>
    <row r="213" spans="1:21">
      <c r="A213" s="69"/>
      <c r="B213" s="51"/>
      <c r="C213" s="55"/>
      <c r="D213" s="57"/>
      <c r="E213" s="61"/>
      <c r="F213" s="51"/>
      <c r="G213" s="51"/>
      <c r="H213" s="51"/>
      <c r="I213" s="51"/>
      <c r="J213" s="51"/>
      <c r="K213" s="51"/>
      <c r="L213" s="51"/>
      <c r="M213" s="51"/>
      <c r="N213" s="66"/>
      <c r="O213" s="66"/>
      <c r="P213" s="66"/>
      <c r="Q213" s="57"/>
      <c r="R213" s="51"/>
      <c r="S213" s="51"/>
      <c r="T213" s="51"/>
      <c r="U213" s="51"/>
    </row>
    <row r="214" spans="1:21">
      <c r="A214" s="69"/>
      <c r="B214" s="51"/>
      <c r="C214" s="55"/>
      <c r="D214" s="57"/>
      <c r="E214" s="61"/>
      <c r="F214" s="51"/>
      <c r="G214" s="51"/>
      <c r="H214" s="51"/>
      <c r="I214" s="51"/>
      <c r="J214" s="51"/>
      <c r="K214" s="51"/>
      <c r="L214" s="51"/>
      <c r="M214" s="51"/>
      <c r="N214" s="66"/>
      <c r="O214" s="66"/>
      <c r="P214" s="66"/>
      <c r="Q214" s="57"/>
      <c r="R214" s="51"/>
      <c r="S214" s="51"/>
      <c r="T214" s="51"/>
      <c r="U214" s="51"/>
    </row>
    <row r="215" spans="1:21">
      <c r="A215" s="69"/>
      <c r="B215" s="51"/>
      <c r="C215" s="55"/>
      <c r="D215" s="57"/>
      <c r="E215" s="61"/>
      <c r="F215" s="51"/>
      <c r="G215" s="51"/>
      <c r="H215" s="51"/>
      <c r="I215" s="51"/>
      <c r="J215" s="51"/>
      <c r="K215" s="51"/>
      <c r="L215" s="51"/>
      <c r="M215" s="51"/>
      <c r="N215" s="66"/>
      <c r="O215" s="66"/>
      <c r="P215" s="66"/>
      <c r="Q215" s="57"/>
      <c r="R215" s="51"/>
      <c r="S215" s="51"/>
      <c r="T215" s="51"/>
      <c r="U215" s="51"/>
    </row>
    <row r="216" spans="1:21">
      <c r="A216" s="69"/>
      <c r="B216" s="51"/>
      <c r="C216" s="55"/>
      <c r="D216" s="57"/>
      <c r="E216" s="61"/>
      <c r="F216" s="51"/>
      <c r="G216" s="51"/>
      <c r="H216" s="51"/>
      <c r="I216" s="51"/>
      <c r="J216" s="51"/>
      <c r="K216" s="51"/>
      <c r="L216" s="51"/>
      <c r="M216" s="51"/>
      <c r="N216" s="66"/>
      <c r="O216" s="66"/>
      <c r="P216" s="66"/>
      <c r="Q216" s="57"/>
      <c r="R216" s="51"/>
      <c r="S216" s="51"/>
      <c r="T216" s="51"/>
      <c r="U216" s="51"/>
    </row>
    <row r="217" spans="1:21">
      <c r="A217" s="69"/>
      <c r="B217" s="51"/>
      <c r="C217" s="55"/>
      <c r="D217" s="57"/>
      <c r="E217" s="61"/>
      <c r="F217" s="51"/>
      <c r="G217" s="51"/>
      <c r="H217" s="51"/>
      <c r="I217" s="51"/>
      <c r="J217" s="51"/>
      <c r="K217" s="51"/>
      <c r="L217" s="51"/>
      <c r="M217" s="51"/>
      <c r="N217" s="66"/>
      <c r="O217" s="66"/>
      <c r="P217" s="66"/>
      <c r="Q217" s="57"/>
      <c r="R217" s="51"/>
      <c r="S217" s="51"/>
      <c r="T217" s="51"/>
      <c r="U217" s="51"/>
    </row>
    <row r="218" spans="1:21">
      <c r="A218" s="69"/>
      <c r="B218" s="51"/>
      <c r="C218" s="55"/>
      <c r="D218" s="57"/>
      <c r="E218" s="61"/>
      <c r="F218" s="51"/>
      <c r="G218" s="51"/>
      <c r="H218" s="51"/>
      <c r="I218" s="51"/>
      <c r="J218" s="51"/>
      <c r="K218" s="51"/>
      <c r="L218" s="51"/>
      <c r="M218" s="51"/>
      <c r="N218" s="66"/>
      <c r="O218" s="66"/>
      <c r="P218" s="66"/>
      <c r="Q218" s="57"/>
      <c r="R218" s="51"/>
      <c r="S218" s="51"/>
      <c r="T218" s="51"/>
      <c r="U218" s="51"/>
    </row>
    <row r="219" spans="1:21">
      <c r="A219" s="69"/>
      <c r="B219" s="51"/>
      <c r="C219" s="55"/>
      <c r="D219" s="57"/>
      <c r="E219" s="61"/>
      <c r="F219" s="51"/>
      <c r="G219" s="51"/>
      <c r="H219" s="51"/>
      <c r="I219" s="51"/>
      <c r="J219" s="51"/>
      <c r="K219" s="51"/>
      <c r="L219" s="51"/>
      <c r="M219" s="51"/>
      <c r="N219" s="66"/>
      <c r="O219" s="66"/>
      <c r="P219" s="66"/>
      <c r="Q219" s="57"/>
      <c r="R219" s="51"/>
      <c r="S219" s="51"/>
      <c r="T219" s="51"/>
      <c r="U219" s="51"/>
    </row>
    <row r="220" spans="1:21">
      <c r="A220" s="69"/>
      <c r="B220" s="51"/>
      <c r="C220" s="55"/>
      <c r="D220" s="57"/>
      <c r="E220" s="61"/>
      <c r="F220" s="51"/>
      <c r="G220" s="51"/>
      <c r="H220" s="51"/>
      <c r="I220" s="51"/>
      <c r="J220" s="51"/>
      <c r="K220" s="51"/>
      <c r="L220" s="51"/>
      <c r="M220" s="51"/>
      <c r="N220" s="66"/>
      <c r="O220" s="66"/>
      <c r="P220" s="66"/>
      <c r="Q220" s="57"/>
      <c r="R220" s="51"/>
      <c r="S220" s="51"/>
      <c r="T220" s="51"/>
      <c r="U220" s="51"/>
    </row>
    <row r="221" spans="1:21">
      <c r="A221" s="69"/>
      <c r="B221" s="51"/>
      <c r="C221" s="55"/>
      <c r="D221" s="57"/>
      <c r="E221" s="61"/>
      <c r="F221" s="51"/>
      <c r="G221" s="51"/>
      <c r="H221" s="51"/>
      <c r="I221" s="51"/>
      <c r="J221" s="51"/>
      <c r="K221" s="51"/>
      <c r="L221" s="51"/>
      <c r="M221" s="51"/>
      <c r="N221" s="66"/>
      <c r="O221" s="66"/>
      <c r="P221" s="66"/>
      <c r="Q221" s="57"/>
      <c r="R221" s="51"/>
      <c r="S221" s="51"/>
      <c r="T221" s="51"/>
      <c r="U221" s="51"/>
    </row>
    <row r="222" spans="1:21">
      <c r="A222" s="69"/>
      <c r="B222" s="51"/>
      <c r="C222" s="55"/>
      <c r="D222" s="57"/>
      <c r="E222" s="61"/>
      <c r="F222" s="51"/>
      <c r="G222" s="51"/>
      <c r="H222" s="51"/>
      <c r="I222" s="51"/>
      <c r="J222" s="51"/>
      <c r="K222" s="51"/>
      <c r="L222" s="51"/>
      <c r="M222" s="51"/>
      <c r="N222" s="66"/>
      <c r="O222" s="66"/>
      <c r="P222" s="66"/>
      <c r="Q222" s="57"/>
      <c r="R222" s="51"/>
      <c r="S222" s="51"/>
      <c r="T222" s="51"/>
      <c r="U222" s="51"/>
    </row>
    <row r="223" spans="1:21">
      <c r="A223" s="69"/>
      <c r="B223" s="51"/>
      <c r="C223" s="55"/>
      <c r="D223" s="57"/>
      <c r="E223" s="61"/>
      <c r="F223" s="51"/>
      <c r="G223" s="51"/>
      <c r="H223" s="51"/>
      <c r="I223" s="51"/>
      <c r="J223" s="51"/>
      <c r="K223" s="51"/>
      <c r="L223" s="51"/>
      <c r="M223" s="51"/>
      <c r="N223" s="66"/>
      <c r="O223" s="66"/>
      <c r="P223" s="66"/>
      <c r="Q223" s="57"/>
      <c r="R223" s="51"/>
      <c r="S223" s="51"/>
      <c r="T223" s="51"/>
      <c r="U223" s="51"/>
    </row>
    <row r="224" spans="1:21">
      <c r="A224" s="69"/>
      <c r="B224" s="51"/>
      <c r="C224" s="55"/>
      <c r="D224" s="57"/>
      <c r="E224" s="61"/>
      <c r="F224" s="51"/>
      <c r="G224" s="51"/>
      <c r="H224" s="51"/>
      <c r="I224" s="51"/>
      <c r="J224" s="51"/>
      <c r="K224" s="51"/>
      <c r="L224" s="51"/>
      <c r="M224" s="51"/>
      <c r="N224" s="66"/>
      <c r="O224" s="66"/>
      <c r="P224" s="66"/>
      <c r="Q224" s="57"/>
      <c r="R224" s="51"/>
      <c r="S224" s="51"/>
      <c r="T224" s="51"/>
      <c r="U224" s="51"/>
    </row>
    <row r="225" spans="1:21">
      <c r="A225" s="69"/>
      <c r="B225" s="51"/>
      <c r="C225" s="55"/>
      <c r="D225" s="57"/>
      <c r="E225" s="61"/>
      <c r="F225" s="51"/>
      <c r="G225" s="51"/>
      <c r="H225" s="51"/>
      <c r="I225" s="51"/>
      <c r="J225" s="51"/>
      <c r="K225" s="51"/>
      <c r="L225" s="51"/>
      <c r="M225" s="51"/>
      <c r="N225" s="66"/>
      <c r="O225" s="66"/>
      <c r="P225" s="66"/>
      <c r="Q225" s="57"/>
      <c r="R225" s="51"/>
      <c r="S225" s="51"/>
      <c r="T225" s="51"/>
      <c r="U225" s="51"/>
    </row>
    <row r="226" spans="1:21">
      <c r="A226" s="69"/>
      <c r="B226" s="51"/>
      <c r="C226" s="55"/>
      <c r="D226" s="57"/>
      <c r="E226" s="61"/>
      <c r="F226" s="51"/>
      <c r="G226" s="51"/>
      <c r="H226" s="51"/>
      <c r="I226" s="51"/>
      <c r="J226" s="51"/>
      <c r="K226" s="51"/>
      <c r="L226" s="51"/>
      <c r="M226" s="51"/>
      <c r="N226" s="66"/>
      <c r="O226" s="66"/>
      <c r="P226" s="66"/>
      <c r="Q226" s="57"/>
      <c r="R226" s="51"/>
      <c r="S226" s="51"/>
      <c r="T226" s="51"/>
      <c r="U226" s="51"/>
    </row>
    <row r="227" spans="1:21">
      <c r="A227" s="69"/>
      <c r="B227" s="51"/>
      <c r="C227" s="55"/>
      <c r="D227" s="57"/>
      <c r="E227" s="61"/>
      <c r="F227" s="51"/>
      <c r="G227" s="51"/>
      <c r="H227" s="51"/>
      <c r="I227" s="51"/>
      <c r="J227" s="51"/>
      <c r="K227" s="51"/>
      <c r="L227" s="51"/>
      <c r="M227" s="51"/>
      <c r="N227" s="66"/>
      <c r="O227" s="66"/>
      <c r="P227" s="66"/>
      <c r="Q227" s="57"/>
      <c r="R227" s="51"/>
      <c r="S227" s="51"/>
      <c r="T227" s="51"/>
      <c r="U227" s="51"/>
    </row>
    <row r="228" spans="1:21">
      <c r="A228" s="69"/>
      <c r="B228" s="51"/>
      <c r="C228" s="55"/>
      <c r="D228" s="57"/>
      <c r="E228" s="61"/>
      <c r="F228" s="51"/>
      <c r="G228" s="51"/>
      <c r="H228" s="51"/>
      <c r="I228" s="51"/>
      <c r="J228" s="51"/>
      <c r="K228" s="51"/>
      <c r="L228" s="51"/>
      <c r="M228" s="51"/>
      <c r="N228" s="66"/>
      <c r="O228" s="66"/>
      <c r="P228" s="66"/>
      <c r="Q228" s="57"/>
      <c r="R228" s="51"/>
      <c r="S228" s="51"/>
      <c r="T228" s="51"/>
      <c r="U228" s="51"/>
    </row>
    <row r="229" spans="1:21">
      <c r="A229" s="69"/>
      <c r="B229" s="51"/>
      <c r="C229" s="55"/>
      <c r="D229" s="57"/>
      <c r="E229" s="61"/>
      <c r="F229" s="51"/>
      <c r="G229" s="51"/>
      <c r="H229" s="51"/>
      <c r="I229" s="51"/>
      <c r="J229" s="51"/>
      <c r="K229" s="51"/>
      <c r="L229" s="51"/>
      <c r="M229" s="51"/>
      <c r="N229" s="66"/>
      <c r="O229" s="66"/>
      <c r="P229" s="66"/>
      <c r="Q229" s="57"/>
      <c r="R229" s="51"/>
      <c r="S229" s="51"/>
      <c r="T229" s="51"/>
      <c r="U229" s="51"/>
    </row>
    <row r="230" spans="1:21">
      <c r="A230" s="69"/>
      <c r="B230" s="51"/>
      <c r="C230" s="55"/>
      <c r="D230" s="57"/>
      <c r="E230" s="61"/>
      <c r="F230" s="51"/>
      <c r="G230" s="51"/>
      <c r="H230" s="51"/>
      <c r="I230" s="51"/>
      <c r="J230" s="51"/>
      <c r="K230" s="51"/>
      <c r="L230" s="51"/>
      <c r="M230" s="51"/>
      <c r="N230" s="66"/>
      <c r="O230" s="66"/>
      <c r="P230" s="66"/>
      <c r="Q230" s="57"/>
      <c r="R230" s="51"/>
      <c r="S230" s="51"/>
      <c r="T230" s="51"/>
      <c r="U230" s="51"/>
    </row>
    <row r="231" spans="1:21">
      <c r="A231" s="69"/>
      <c r="B231" s="51"/>
      <c r="C231" s="55"/>
      <c r="D231" s="57"/>
      <c r="E231" s="61"/>
      <c r="F231" s="51"/>
      <c r="G231" s="51"/>
      <c r="H231" s="51"/>
      <c r="I231" s="51"/>
      <c r="J231" s="51"/>
      <c r="K231" s="51"/>
      <c r="L231" s="51"/>
      <c r="M231" s="51"/>
      <c r="N231" s="66"/>
      <c r="O231" s="66"/>
      <c r="P231" s="66"/>
      <c r="Q231" s="57"/>
      <c r="R231" s="51"/>
      <c r="S231" s="51"/>
      <c r="T231" s="51"/>
      <c r="U231" s="51"/>
    </row>
    <row r="232" spans="1:21">
      <c r="A232" s="69"/>
      <c r="B232" s="51"/>
      <c r="C232" s="55"/>
      <c r="D232" s="57"/>
      <c r="E232" s="61"/>
      <c r="F232" s="51"/>
      <c r="G232" s="51"/>
      <c r="H232" s="51"/>
      <c r="I232" s="51"/>
      <c r="J232" s="51"/>
      <c r="K232" s="51"/>
      <c r="L232" s="51"/>
      <c r="M232" s="51"/>
      <c r="N232" s="66"/>
      <c r="O232" s="66"/>
      <c r="P232" s="66"/>
      <c r="Q232" s="57"/>
      <c r="R232" s="51"/>
      <c r="S232" s="51"/>
      <c r="T232" s="51"/>
      <c r="U232" s="51"/>
    </row>
    <row r="233" spans="1:21">
      <c r="A233" s="69"/>
      <c r="B233" s="51"/>
      <c r="C233" s="55"/>
      <c r="D233" s="57"/>
      <c r="E233" s="61"/>
      <c r="F233" s="51"/>
      <c r="G233" s="51"/>
      <c r="H233" s="51"/>
      <c r="I233" s="51"/>
      <c r="J233" s="51"/>
      <c r="K233" s="51"/>
      <c r="L233" s="51"/>
      <c r="M233" s="51"/>
      <c r="N233" s="66"/>
      <c r="O233" s="66"/>
      <c r="P233" s="66"/>
      <c r="Q233" s="57"/>
      <c r="R233" s="51"/>
      <c r="S233" s="51"/>
      <c r="T233" s="51"/>
      <c r="U233" s="51"/>
    </row>
    <row r="234" spans="1:21">
      <c r="A234" s="69"/>
      <c r="B234" s="51"/>
      <c r="C234" s="55"/>
      <c r="D234" s="57"/>
      <c r="E234" s="61"/>
      <c r="F234" s="51"/>
      <c r="G234" s="51"/>
      <c r="H234" s="51"/>
      <c r="I234" s="51"/>
      <c r="J234" s="51"/>
      <c r="K234" s="51"/>
      <c r="L234" s="51"/>
      <c r="M234" s="51"/>
      <c r="N234" s="66"/>
      <c r="O234" s="66"/>
      <c r="P234" s="66"/>
      <c r="Q234" s="57"/>
      <c r="R234" s="51"/>
      <c r="S234" s="51"/>
      <c r="T234" s="51"/>
      <c r="U234" s="51"/>
    </row>
    <row r="235" spans="1:21">
      <c r="A235" s="69"/>
      <c r="B235" s="51"/>
      <c r="C235" s="55"/>
      <c r="D235" s="57"/>
      <c r="E235" s="61"/>
      <c r="F235" s="51"/>
      <c r="G235" s="51"/>
      <c r="H235" s="51"/>
      <c r="I235" s="51"/>
      <c r="J235" s="51"/>
      <c r="K235" s="51"/>
      <c r="L235" s="51"/>
      <c r="M235" s="51"/>
      <c r="N235" s="66"/>
      <c r="O235" s="66"/>
      <c r="P235" s="66"/>
      <c r="Q235" s="57"/>
      <c r="R235" s="51"/>
      <c r="S235" s="51"/>
      <c r="T235" s="51"/>
      <c r="U235" s="51"/>
    </row>
    <row r="236" spans="1:21">
      <c r="A236" s="69"/>
      <c r="B236" s="51"/>
      <c r="C236" s="55"/>
      <c r="D236" s="57"/>
      <c r="E236" s="61"/>
      <c r="F236" s="51"/>
      <c r="G236" s="51"/>
      <c r="H236" s="51"/>
      <c r="I236" s="51"/>
      <c r="J236" s="51"/>
      <c r="K236" s="51"/>
      <c r="L236" s="51"/>
      <c r="M236" s="51"/>
      <c r="N236" s="66"/>
      <c r="O236" s="66"/>
      <c r="P236" s="66"/>
      <c r="Q236" s="57"/>
      <c r="R236" s="51"/>
      <c r="S236" s="51"/>
      <c r="T236" s="51"/>
      <c r="U236" s="51"/>
    </row>
    <row r="237" spans="1:21">
      <c r="A237" s="69"/>
      <c r="B237" s="51"/>
      <c r="C237" s="55"/>
      <c r="D237" s="57"/>
      <c r="E237" s="61"/>
      <c r="F237" s="51"/>
      <c r="G237" s="51"/>
      <c r="H237" s="51"/>
      <c r="I237" s="51"/>
      <c r="J237" s="51"/>
      <c r="K237" s="51"/>
      <c r="L237" s="51"/>
      <c r="M237" s="51"/>
      <c r="N237" s="66"/>
      <c r="O237" s="66"/>
      <c r="P237" s="66"/>
      <c r="Q237" s="57"/>
      <c r="R237" s="51"/>
      <c r="S237" s="51"/>
      <c r="T237" s="51"/>
      <c r="U237" s="51"/>
    </row>
    <row r="238" spans="1:21">
      <c r="A238" s="69"/>
      <c r="B238" s="51"/>
      <c r="C238" s="55"/>
      <c r="D238" s="57"/>
      <c r="E238" s="61"/>
      <c r="F238" s="51"/>
      <c r="G238" s="51"/>
      <c r="H238" s="51"/>
      <c r="I238" s="51"/>
      <c r="J238" s="51"/>
      <c r="K238" s="51"/>
      <c r="L238" s="51"/>
      <c r="M238" s="51"/>
      <c r="N238" s="66"/>
      <c r="O238" s="66"/>
      <c r="P238" s="66"/>
      <c r="Q238" s="57"/>
      <c r="R238" s="51"/>
      <c r="S238" s="51"/>
      <c r="T238" s="51"/>
      <c r="U238" s="51"/>
    </row>
    <row r="239" spans="1:21">
      <c r="A239" s="69"/>
      <c r="B239" s="51"/>
      <c r="C239" s="55"/>
      <c r="D239" s="57"/>
      <c r="E239" s="61"/>
      <c r="F239" s="51"/>
      <c r="G239" s="51"/>
      <c r="H239" s="51"/>
      <c r="I239" s="51"/>
      <c r="J239" s="51"/>
      <c r="K239" s="51"/>
      <c r="L239" s="51"/>
      <c r="M239" s="51"/>
      <c r="N239" s="66"/>
      <c r="O239" s="66"/>
      <c r="P239" s="66"/>
      <c r="Q239" s="57"/>
      <c r="R239" s="51"/>
      <c r="S239" s="51"/>
      <c r="T239" s="51"/>
      <c r="U239" s="51"/>
    </row>
    <row r="240" spans="1:21">
      <c r="A240" s="69"/>
      <c r="B240" s="51"/>
      <c r="C240" s="55"/>
      <c r="D240" s="57"/>
      <c r="E240" s="61"/>
      <c r="F240" s="51"/>
      <c r="G240" s="51"/>
      <c r="H240" s="51"/>
      <c r="I240" s="51"/>
      <c r="J240" s="51"/>
      <c r="K240" s="51"/>
      <c r="L240" s="51"/>
      <c r="M240" s="51"/>
      <c r="N240" s="66"/>
      <c r="O240" s="66"/>
      <c r="P240" s="66"/>
      <c r="Q240" s="57"/>
      <c r="R240" s="51"/>
      <c r="S240" s="51"/>
      <c r="T240" s="51"/>
      <c r="U240" s="51"/>
    </row>
    <row r="241" spans="1:21">
      <c r="A241" s="69"/>
      <c r="B241" s="51"/>
      <c r="C241" s="55"/>
      <c r="D241" s="57"/>
      <c r="E241" s="61"/>
      <c r="F241" s="51"/>
      <c r="G241" s="51"/>
      <c r="H241" s="51"/>
      <c r="I241" s="51"/>
      <c r="J241" s="51"/>
      <c r="K241" s="51"/>
      <c r="L241" s="51"/>
      <c r="M241" s="51"/>
      <c r="N241" s="66"/>
      <c r="O241" s="66"/>
      <c r="P241" s="66"/>
      <c r="Q241" s="57"/>
      <c r="R241" s="51"/>
      <c r="S241" s="51"/>
      <c r="T241" s="51"/>
      <c r="U241" s="51"/>
    </row>
    <row r="242" spans="1:21">
      <c r="A242" s="69"/>
      <c r="B242" s="51"/>
      <c r="C242" s="55"/>
      <c r="D242" s="57"/>
      <c r="E242" s="61"/>
      <c r="F242" s="51"/>
      <c r="G242" s="51"/>
      <c r="H242" s="51"/>
      <c r="I242" s="51"/>
      <c r="J242" s="51"/>
      <c r="K242" s="51"/>
      <c r="L242" s="51"/>
      <c r="M242" s="51"/>
      <c r="N242" s="66"/>
      <c r="O242" s="66"/>
      <c r="P242" s="66"/>
      <c r="Q242" s="57"/>
      <c r="R242" s="51"/>
      <c r="S242" s="51"/>
      <c r="T242" s="51"/>
      <c r="U242" s="51"/>
    </row>
    <row r="243" spans="1:21">
      <c r="A243" s="69"/>
      <c r="B243" s="51"/>
      <c r="C243" s="55"/>
      <c r="D243" s="57"/>
      <c r="E243" s="61"/>
      <c r="F243" s="51"/>
      <c r="G243" s="51"/>
      <c r="H243" s="51"/>
      <c r="I243" s="51"/>
      <c r="J243" s="51"/>
      <c r="K243" s="51"/>
      <c r="L243" s="51"/>
      <c r="M243" s="51"/>
      <c r="N243" s="66"/>
      <c r="O243" s="66"/>
      <c r="P243" s="66"/>
      <c r="Q243" s="57"/>
      <c r="R243" s="51"/>
      <c r="S243" s="51"/>
      <c r="T243" s="51"/>
      <c r="U243" s="51"/>
    </row>
    <row r="244" spans="1:21">
      <c r="A244" s="69"/>
      <c r="B244" s="51"/>
      <c r="C244" s="55"/>
      <c r="D244" s="57"/>
      <c r="E244" s="61"/>
      <c r="F244" s="51"/>
      <c r="G244" s="51"/>
      <c r="H244" s="51"/>
      <c r="I244" s="51"/>
      <c r="J244" s="51"/>
      <c r="K244" s="51"/>
      <c r="L244" s="51"/>
      <c r="M244" s="51"/>
      <c r="N244" s="66"/>
      <c r="O244" s="66"/>
      <c r="P244" s="66"/>
      <c r="Q244" s="57"/>
      <c r="R244" s="51"/>
      <c r="S244" s="51"/>
      <c r="T244" s="51"/>
      <c r="U244" s="51"/>
    </row>
    <row r="245" spans="1:21">
      <c r="A245" s="69"/>
      <c r="B245" s="51"/>
      <c r="C245" s="55"/>
      <c r="D245" s="57"/>
      <c r="E245" s="61"/>
      <c r="F245" s="51"/>
      <c r="G245" s="51"/>
      <c r="H245" s="51"/>
      <c r="I245" s="51"/>
      <c r="J245" s="51"/>
      <c r="K245" s="51"/>
      <c r="L245" s="51"/>
      <c r="M245" s="51"/>
      <c r="N245" s="66"/>
      <c r="O245" s="66"/>
      <c r="P245" s="66"/>
      <c r="Q245" s="57"/>
      <c r="R245" s="51"/>
      <c r="S245" s="51"/>
      <c r="T245" s="51"/>
      <c r="U245" s="51"/>
    </row>
  </sheetData>
  <sortState xmlns:xlrd2="http://schemas.microsoft.com/office/spreadsheetml/2017/richdata2" ref="A2:XFA245">
    <sortCondition ref="B2:B24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ADAD7-C19C-4CFD-9809-BC4F4A1E0BD9}">
  <dimension ref="A1:J5"/>
  <sheetViews>
    <sheetView workbookViewId="0">
      <selection sqref="A1:B5"/>
    </sheetView>
  </sheetViews>
  <sheetFormatPr defaultRowHeight="15"/>
  <cols>
    <col min="1" max="1" width="8.140625" style="86"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0" t="s">
        <v>40</v>
      </c>
      <c r="B1" s="59" t="s">
        <v>194</v>
      </c>
      <c r="C1" s="59" t="s">
        <v>335</v>
      </c>
      <c r="D1" s="59" t="s">
        <v>336</v>
      </c>
      <c r="E1" s="50" t="s">
        <v>337</v>
      </c>
      <c r="F1" s="50" t="s">
        <v>338</v>
      </c>
      <c r="G1" s="50" t="s">
        <v>339</v>
      </c>
      <c r="H1" s="50" t="s">
        <v>340</v>
      </c>
      <c r="I1" s="50" t="s">
        <v>341</v>
      </c>
      <c r="J1" s="50" t="s">
        <v>342</v>
      </c>
    </row>
    <row r="2" spans="1:10">
      <c r="A2" s="86" t="s">
        <v>105</v>
      </c>
      <c r="B2" s="31">
        <v>0</v>
      </c>
      <c r="C2" s="31">
        <v>0</v>
      </c>
      <c r="D2" s="31">
        <v>16.076546489621748</v>
      </c>
      <c r="E2" s="95">
        <v>1000</v>
      </c>
      <c r="F2" s="96" t="s">
        <v>61</v>
      </c>
      <c r="G2" s="96" t="s">
        <v>345</v>
      </c>
      <c r="H2">
        <v>5</v>
      </c>
      <c r="I2">
        <v>0</v>
      </c>
      <c r="J2">
        <v>169</v>
      </c>
    </row>
    <row r="3" spans="1:10">
      <c r="A3" s="86" t="s">
        <v>100</v>
      </c>
      <c r="B3" s="31">
        <v>0</v>
      </c>
      <c r="C3" s="31">
        <v>0</v>
      </c>
      <c r="D3" s="31">
        <v>6.8515980583308576</v>
      </c>
      <c r="E3" s="95">
        <v>1000</v>
      </c>
      <c r="F3" s="96" t="s">
        <v>61</v>
      </c>
      <c r="G3" s="96" t="s">
        <v>345</v>
      </c>
      <c r="H3">
        <v>14</v>
      </c>
      <c r="I3">
        <v>0</v>
      </c>
      <c r="J3">
        <v>479</v>
      </c>
    </row>
    <row r="4" spans="1:10">
      <c r="A4" s="86" t="s">
        <v>46</v>
      </c>
      <c r="B4" s="31">
        <v>1.0148697371909978</v>
      </c>
      <c r="C4" s="31">
        <v>0.37802527690267823</v>
      </c>
      <c r="D4" s="31">
        <v>2.2420086813688642</v>
      </c>
      <c r="E4" s="95">
        <v>1000</v>
      </c>
      <c r="F4" s="96" t="s">
        <v>343</v>
      </c>
      <c r="G4" s="96" t="s">
        <v>344</v>
      </c>
      <c r="H4">
        <v>158</v>
      </c>
      <c r="I4">
        <v>5</v>
      </c>
      <c r="J4">
        <v>5002</v>
      </c>
    </row>
    <row r="5" spans="1:10">
      <c r="A5" s="86" t="s">
        <v>9</v>
      </c>
      <c r="B5" s="31">
        <v>2.254395112018309</v>
      </c>
      <c r="C5" s="31">
        <v>0.40622468300613546</v>
      </c>
      <c r="D5" s="31">
        <v>7.4784048888838432</v>
      </c>
      <c r="E5" s="95">
        <v>1000</v>
      </c>
      <c r="F5" s="96" t="s">
        <v>343</v>
      </c>
      <c r="G5" s="96" t="s">
        <v>344</v>
      </c>
      <c r="H5">
        <v>24</v>
      </c>
      <c r="I5">
        <v>2</v>
      </c>
      <c r="J5">
        <v>914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12222-2F31-4319-884A-44FB4CFFB2EE}">
  <dimension ref="A1:J8"/>
  <sheetViews>
    <sheetView workbookViewId="0">
      <selection sqref="A1:B8"/>
    </sheetView>
  </sheetViews>
  <sheetFormatPr defaultRowHeight="15"/>
  <cols>
    <col min="1" max="1" width="5.42578125" style="86"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0" t="s">
        <v>45</v>
      </c>
      <c r="B1" s="59" t="s">
        <v>194</v>
      </c>
      <c r="C1" s="59" t="s">
        <v>335</v>
      </c>
      <c r="D1" s="59" t="s">
        <v>336</v>
      </c>
      <c r="E1" s="50" t="s">
        <v>337</v>
      </c>
      <c r="F1" s="50" t="s">
        <v>338</v>
      </c>
      <c r="G1" s="50" t="s">
        <v>339</v>
      </c>
      <c r="H1" s="50" t="s">
        <v>340</v>
      </c>
      <c r="I1" s="50" t="s">
        <v>341</v>
      </c>
      <c r="J1" s="50" t="s">
        <v>342</v>
      </c>
    </row>
    <row r="2" spans="1:10">
      <c r="A2" s="86" t="s">
        <v>105</v>
      </c>
      <c r="B2" s="31">
        <v>0</v>
      </c>
      <c r="C2" s="31">
        <v>0</v>
      </c>
      <c r="D2" s="31">
        <v>16.076546489621748</v>
      </c>
      <c r="E2" s="95">
        <v>1000</v>
      </c>
      <c r="F2" s="96" t="s">
        <v>61</v>
      </c>
      <c r="G2" s="96" t="s">
        <v>345</v>
      </c>
      <c r="H2">
        <v>5</v>
      </c>
      <c r="I2">
        <v>0</v>
      </c>
      <c r="J2">
        <v>169</v>
      </c>
    </row>
    <row r="3" spans="1:10">
      <c r="A3" s="86" t="s">
        <v>100</v>
      </c>
      <c r="B3" s="31">
        <v>0</v>
      </c>
      <c r="C3" s="31">
        <v>0</v>
      </c>
      <c r="D3" s="31">
        <v>6.8515980583308576</v>
      </c>
      <c r="E3" s="95">
        <v>1000</v>
      </c>
      <c r="F3" s="96" t="s">
        <v>61</v>
      </c>
      <c r="G3" s="96" t="s">
        <v>345</v>
      </c>
      <c r="H3">
        <v>14</v>
      </c>
      <c r="I3">
        <v>0</v>
      </c>
      <c r="J3">
        <v>479</v>
      </c>
    </row>
    <row r="4" spans="1:10">
      <c r="A4" s="86" t="s">
        <v>9</v>
      </c>
      <c r="B4" s="31">
        <v>2.254395112018309</v>
      </c>
      <c r="C4" s="31">
        <v>0.40622468300613546</v>
      </c>
      <c r="D4" s="31">
        <v>7.4784048888838432</v>
      </c>
      <c r="E4" s="95">
        <v>1000</v>
      </c>
      <c r="F4" s="96" t="s">
        <v>343</v>
      </c>
      <c r="G4" s="96" t="s">
        <v>344</v>
      </c>
      <c r="H4">
        <v>24</v>
      </c>
      <c r="I4">
        <v>2</v>
      </c>
      <c r="J4">
        <v>914</v>
      </c>
    </row>
    <row r="5" spans="1:10">
      <c r="A5" s="86" t="s">
        <v>58</v>
      </c>
      <c r="B5" s="31">
        <v>0</v>
      </c>
      <c r="C5" s="31">
        <v>0</v>
      </c>
      <c r="D5" s="31">
        <v>1.9377226573259398</v>
      </c>
      <c r="E5" s="95">
        <v>1000</v>
      </c>
      <c r="F5" s="96" t="s">
        <v>61</v>
      </c>
      <c r="G5" s="96" t="s">
        <v>345</v>
      </c>
      <c r="H5">
        <v>51</v>
      </c>
      <c r="I5">
        <v>0</v>
      </c>
      <c r="J5">
        <v>1894</v>
      </c>
    </row>
    <row r="6" spans="1:10">
      <c r="A6" s="86" t="s">
        <v>57</v>
      </c>
      <c r="B6" s="31">
        <v>1.6862033469409377</v>
      </c>
      <c r="C6" s="31">
        <v>9.9224800593391893E-2</v>
      </c>
      <c r="D6" s="31">
        <v>8.1888040484797955</v>
      </c>
      <c r="E6" s="95">
        <v>1000</v>
      </c>
      <c r="F6" s="96" t="s">
        <v>343</v>
      </c>
      <c r="G6" s="96" t="s">
        <v>344</v>
      </c>
      <c r="H6">
        <v>23</v>
      </c>
      <c r="I6">
        <v>1</v>
      </c>
      <c r="J6">
        <v>586</v>
      </c>
    </row>
    <row r="7" spans="1:10">
      <c r="A7" s="86" t="s">
        <v>59</v>
      </c>
      <c r="B7" s="31">
        <v>2.1591237205314067</v>
      </c>
      <c r="C7" s="31">
        <v>0.70440671081991624</v>
      </c>
      <c r="D7" s="31">
        <v>5.2033390280163543</v>
      </c>
      <c r="E7" s="95">
        <v>1000</v>
      </c>
      <c r="F7" s="96" t="s">
        <v>343</v>
      </c>
      <c r="G7" s="96" t="s">
        <v>344</v>
      </c>
      <c r="H7">
        <v>59</v>
      </c>
      <c r="I7">
        <v>4</v>
      </c>
      <c r="J7">
        <v>1916</v>
      </c>
    </row>
    <row r="8" spans="1:10">
      <c r="A8" s="86" t="s">
        <v>60</v>
      </c>
      <c r="B8" s="31">
        <v>0</v>
      </c>
      <c r="C8" s="31">
        <v>0</v>
      </c>
      <c r="D8" s="31">
        <v>5.6328910660154419</v>
      </c>
      <c r="E8" s="95">
        <v>1000</v>
      </c>
      <c r="F8" s="96" t="s">
        <v>61</v>
      </c>
      <c r="G8" s="96" t="s">
        <v>345</v>
      </c>
      <c r="H8">
        <v>25</v>
      </c>
      <c r="I8">
        <v>0</v>
      </c>
      <c r="J8">
        <v>606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3006D-26D8-41E4-B565-78ADCB352445}">
  <dimension ref="A1:J9"/>
  <sheetViews>
    <sheetView workbookViewId="0">
      <selection activeCell="B13" sqref="B13"/>
    </sheetView>
  </sheetViews>
  <sheetFormatPr defaultRowHeight="15"/>
  <cols>
    <col min="1" max="1" width="9" style="86"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0" t="s">
        <v>87</v>
      </c>
      <c r="B1" s="59" t="s">
        <v>194</v>
      </c>
      <c r="C1" s="59" t="s">
        <v>335</v>
      </c>
      <c r="D1" s="59" t="s">
        <v>336</v>
      </c>
      <c r="E1" s="50" t="s">
        <v>337</v>
      </c>
      <c r="F1" s="50" t="s">
        <v>338</v>
      </c>
      <c r="G1" s="50" t="s">
        <v>339</v>
      </c>
      <c r="H1" s="50" t="s">
        <v>340</v>
      </c>
      <c r="I1" s="50" t="s">
        <v>341</v>
      </c>
      <c r="J1" s="50" t="s">
        <v>342</v>
      </c>
    </row>
    <row r="2" spans="1:10">
      <c r="A2" s="86" t="s">
        <v>187</v>
      </c>
      <c r="B2" s="31">
        <v>0</v>
      </c>
      <c r="C2" s="31">
        <v>0</v>
      </c>
      <c r="D2" s="31">
        <v>6.32190840772566</v>
      </c>
      <c r="E2" s="95">
        <v>1000</v>
      </c>
      <c r="F2" s="96" t="s">
        <v>61</v>
      </c>
      <c r="G2" s="96" t="s">
        <v>345</v>
      </c>
      <c r="H2">
        <v>19</v>
      </c>
      <c r="I2">
        <v>0</v>
      </c>
      <c r="J2">
        <v>530</v>
      </c>
    </row>
    <row r="3" spans="1:10">
      <c r="A3" s="86" t="s">
        <v>186</v>
      </c>
      <c r="B3" s="31">
        <v>0</v>
      </c>
      <c r="C3" s="31">
        <v>0</v>
      </c>
      <c r="D3" s="31">
        <v>2.6399895217557767</v>
      </c>
      <c r="E3" s="95">
        <v>1000</v>
      </c>
      <c r="F3" s="96" t="s">
        <v>61</v>
      </c>
      <c r="G3" s="96" t="s">
        <v>345</v>
      </c>
      <c r="H3">
        <v>32</v>
      </c>
      <c r="I3">
        <v>0</v>
      </c>
      <c r="J3">
        <v>1364</v>
      </c>
    </row>
    <row r="4" spans="1:10">
      <c r="A4" s="86" t="s">
        <v>191</v>
      </c>
      <c r="B4" s="31">
        <v>0</v>
      </c>
      <c r="C4" s="31">
        <v>0</v>
      </c>
      <c r="D4" s="31">
        <v>13.038049453251503</v>
      </c>
      <c r="E4" s="95">
        <v>1000</v>
      </c>
      <c r="F4" s="96" t="s">
        <v>61</v>
      </c>
      <c r="G4" s="96" t="s">
        <v>345</v>
      </c>
      <c r="H4">
        <v>10</v>
      </c>
      <c r="I4">
        <v>0</v>
      </c>
      <c r="J4">
        <v>228</v>
      </c>
    </row>
    <row r="5" spans="1:10">
      <c r="A5" s="86" t="s">
        <v>188</v>
      </c>
      <c r="B5" s="31">
        <v>2.7345544387201959</v>
      </c>
      <c r="C5" s="31">
        <v>0.16400604429536308</v>
      </c>
      <c r="D5" s="31">
        <v>13.3442060678122</v>
      </c>
      <c r="E5" s="95">
        <v>1000</v>
      </c>
      <c r="F5" s="96" t="s">
        <v>343</v>
      </c>
      <c r="G5" s="96" t="s">
        <v>344</v>
      </c>
      <c r="H5">
        <v>13</v>
      </c>
      <c r="I5">
        <v>1</v>
      </c>
      <c r="J5">
        <v>358</v>
      </c>
    </row>
    <row r="6" spans="1:10">
      <c r="A6" s="86" t="s">
        <v>190</v>
      </c>
      <c r="B6" s="31">
        <v>0</v>
      </c>
      <c r="C6" s="31">
        <v>0</v>
      </c>
      <c r="D6" s="31">
        <v>9.5599283556829846</v>
      </c>
      <c r="E6" s="95">
        <v>1000</v>
      </c>
      <c r="F6" s="96" t="s">
        <v>61</v>
      </c>
      <c r="G6" s="96" t="s">
        <v>345</v>
      </c>
      <c r="H6">
        <v>18</v>
      </c>
      <c r="I6">
        <v>0</v>
      </c>
      <c r="J6">
        <v>331</v>
      </c>
    </row>
    <row r="7" spans="1:10">
      <c r="A7" s="86" t="s">
        <v>189</v>
      </c>
      <c r="B7" s="31">
        <v>2.6280318677468588</v>
      </c>
      <c r="C7" s="31">
        <v>0.85960113686652384</v>
      </c>
      <c r="D7" s="31">
        <v>6.3380419678111313</v>
      </c>
      <c r="E7" s="95">
        <v>1000</v>
      </c>
      <c r="F7" s="96" t="s">
        <v>343</v>
      </c>
      <c r="G7" s="96" t="s">
        <v>344</v>
      </c>
      <c r="H7">
        <v>41</v>
      </c>
      <c r="I7">
        <v>4</v>
      </c>
      <c r="J7">
        <v>1585</v>
      </c>
    </row>
    <row r="8" spans="1:10">
      <c r="A8" s="86" t="s">
        <v>192</v>
      </c>
      <c r="B8" s="31">
        <v>0</v>
      </c>
      <c r="C8" s="31">
        <v>0</v>
      </c>
      <c r="D8" s="31">
        <v>24.798596921584984</v>
      </c>
      <c r="E8" s="95">
        <v>1000</v>
      </c>
      <c r="F8" s="96" t="s">
        <v>61</v>
      </c>
      <c r="G8" s="96" t="s">
        <v>345</v>
      </c>
      <c r="H8">
        <v>9</v>
      </c>
      <c r="I8">
        <v>0</v>
      </c>
      <c r="J8">
        <v>106</v>
      </c>
    </row>
    <row r="9" spans="1:10">
      <c r="A9" s="86" t="s">
        <v>193</v>
      </c>
      <c r="B9" s="31">
        <v>0</v>
      </c>
      <c r="C9" s="31">
        <v>0</v>
      </c>
      <c r="D9" s="31">
        <v>6.629438788376933</v>
      </c>
      <c r="E9" s="95">
        <v>1000</v>
      </c>
      <c r="F9" s="96" t="s">
        <v>61</v>
      </c>
      <c r="G9" s="96" t="s">
        <v>345</v>
      </c>
      <c r="H9">
        <v>16</v>
      </c>
      <c r="I9">
        <v>0</v>
      </c>
      <c r="J9">
        <v>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73CB7-5CB6-4E9E-AA39-334136C0CDE4}">
  <dimension ref="A1:J8"/>
  <sheetViews>
    <sheetView workbookViewId="0">
      <selection sqref="A1:B8"/>
    </sheetView>
  </sheetViews>
  <sheetFormatPr defaultRowHeight="15"/>
  <cols>
    <col min="1" max="1" width="8" style="86"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c r="A1" s="50" t="s">
        <v>86</v>
      </c>
      <c r="B1" s="59" t="s">
        <v>194</v>
      </c>
      <c r="C1" s="59" t="s">
        <v>335</v>
      </c>
      <c r="D1" s="59" t="s">
        <v>336</v>
      </c>
      <c r="E1" s="50" t="s">
        <v>337</v>
      </c>
      <c r="F1" s="50" t="s">
        <v>338</v>
      </c>
      <c r="G1" s="50" t="s">
        <v>339</v>
      </c>
      <c r="H1" s="50" t="s">
        <v>340</v>
      </c>
      <c r="I1" s="50" t="s">
        <v>341</v>
      </c>
      <c r="J1" s="50" t="s">
        <v>342</v>
      </c>
    </row>
    <row r="2" spans="1:10">
      <c r="A2" s="86" t="s">
        <v>185</v>
      </c>
      <c r="B2" s="31">
        <v>0</v>
      </c>
      <c r="C2" s="31">
        <v>0</v>
      </c>
      <c r="D2" s="31">
        <v>16.076546489621748</v>
      </c>
      <c r="E2" s="95">
        <v>1000</v>
      </c>
      <c r="F2" s="96" t="s">
        <v>61</v>
      </c>
      <c r="G2" s="96" t="s">
        <v>345</v>
      </c>
      <c r="H2">
        <v>5</v>
      </c>
      <c r="I2">
        <v>0</v>
      </c>
      <c r="J2">
        <v>169</v>
      </c>
    </row>
    <row r="3" spans="1:10">
      <c r="A3" s="86" t="s">
        <v>184</v>
      </c>
      <c r="B3" s="31">
        <v>0</v>
      </c>
      <c r="C3" s="31">
        <v>0</v>
      </c>
      <c r="D3" s="31">
        <v>173.00331253026712</v>
      </c>
      <c r="E3" s="95">
        <v>1000</v>
      </c>
      <c r="F3" s="96" t="s">
        <v>61</v>
      </c>
      <c r="G3" s="96" t="s">
        <v>345</v>
      </c>
      <c r="H3">
        <v>3</v>
      </c>
      <c r="I3">
        <v>0</v>
      </c>
      <c r="J3">
        <v>12</v>
      </c>
    </row>
    <row r="4" spans="1:10">
      <c r="A4" s="86" t="s">
        <v>183</v>
      </c>
      <c r="B4" s="31">
        <v>0</v>
      </c>
      <c r="C4" s="31">
        <v>0</v>
      </c>
      <c r="D4" s="31">
        <v>6.9796925750821179</v>
      </c>
      <c r="E4" s="95">
        <v>1000</v>
      </c>
      <c r="F4" s="96" t="s">
        <v>61</v>
      </c>
      <c r="G4" s="96" t="s">
        <v>345</v>
      </c>
      <c r="H4">
        <v>11</v>
      </c>
      <c r="I4">
        <v>0</v>
      </c>
      <c r="J4">
        <v>467</v>
      </c>
    </row>
    <row r="5" spans="1:10">
      <c r="A5" s="86" t="s">
        <v>182</v>
      </c>
      <c r="B5" s="31">
        <v>0</v>
      </c>
      <c r="C5" s="31">
        <v>0</v>
      </c>
      <c r="D5" s="31">
        <v>3.0251656656455443</v>
      </c>
      <c r="E5" s="95">
        <v>1000</v>
      </c>
      <c r="F5" s="96" t="s">
        <v>61</v>
      </c>
      <c r="G5" s="96" t="s">
        <v>345</v>
      </c>
      <c r="H5">
        <v>56</v>
      </c>
      <c r="I5">
        <v>0</v>
      </c>
      <c r="J5">
        <v>1195</v>
      </c>
    </row>
    <row r="6" spans="1:10">
      <c r="A6" s="86" t="s">
        <v>181</v>
      </c>
      <c r="B6" s="31">
        <v>1.3396363028528271</v>
      </c>
      <c r="C6" s="31">
        <v>0.49980753213461859</v>
      </c>
      <c r="D6" s="31">
        <v>2.9594159728264775</v>
      </c>
      <c r="E6" s="95">
        <v>1000</v>
      </c>
      <c r="F6" s="96" t="s">
        <v>343</v>
      </c>
      <c r="G6" s="96" t="s">
        <v>344</v>
      </c>
      <c r="H6">
        <v>102</v>
      </c>
      <c r="I6">
        <v>5</v>
      </c>
      <c r="J6">
        <v>3807</v>
      </c>
    </row>
    <row r="7" spans="1:10">
      <c r="A7" s="86" t="s">
        <v>180</v>
      </c>
      <c r="B7" s="31">
        <v>0</v>
      </c>
      <c r="C7" s="31">
        <v>0</v>
      </c>
      <c r="D7" s="31">
        <v>50.012037175406533</v>
      </c>
      <c r="E7" s="95">
        <v>1000</v>
      </c>
      <c r="F7" s="96" t="s">
        <v>61</v>
      </c>
      <c r="G7" s="96" t="s">
        <v>345</v>
      </c>
      <c r="H7">
        <v>4</v>
      </c>
      <c r="I7">
        <v>0</v>
      </c>
      <c r="J7">
        <v>48</v>
      </c>
    </row>
    <row r="8" spans="1:10">
      <c r="A8" s="86" t="s">
        <v>179</v>
      </c>
      <c r="B8" s="31">
        <v>2.3807344486126936</v>
      </c>
      <c r="C8" s="31">
        <v>0.43008009171012307</v>
      </c>
      <c r="D8" s="31">
        <v>7.9020907151232196</v>
      </c>
      <c r="E8" s="95">
        <v>1000</v>
      </c>
      <c r="F8" s="96" t="s">
        <v>343</v>
      </c>
      <c r="G8" s="96" t="s">
        <v>344</v>
      </c>
      <c r="H8">
        <v>20</v>
      </c>
      <c r="I8">
        <v>2</v>
      </c>
      <c r="J8">
        <v>866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190"/>
  <sheetViews>
    <sheetView zoomScale="70" zoomScaleNormal="70" workbookViewId="0">
      <selection activeCell="J190" sqref="J190"/>
    </sheetView>
  </sheetViews>
  <sheetFormatPr defaultColWidth="8.85546875" defaultRowHeight="15"/>
  <cols>
    <col min="2" max="2" width="12.42578125" style="72" customWidth="1"/>
    <col min="3" max="3" width="12.7109375" customWidth="1"/>
    <col min="4" max="4" width="47.42578125" customWidth="1"/>
    <col min="5" max="5" width="9.42578125" customWidth="1"/>
    <col min="6" max="6" width="17.140625" customWidth="1"/>
    <col min="8" max="8" width="15.28515625" customWidth="1"/>
    <col min="9" max="9" width="14.42578125" customWidth="1"/>
    <col min="10" max="10" width="17.140625" customWidth="1"/>
    <col min="11" max="11" width="16.85546875" customWidth="1"/>
    <col min="16" max="16" width="13.28515625" customWidth="1"/>
    <col min="17" max="17" width="14" customWidth="1"/>
  </cols>
  <sheetData>
    <row r="1" spans="1:28">
      <c r="A1" s="74" t="s">
        <v>8</v>
      </c>
      <c r="B1" s="75" t="s">
        <v>0</v>
      </c>
      <c r="C1" s="40" t="s">
        <v>102</v>
      </c>
      <c r="D1" s="40" t="s">
        <v>104</v>
      </c>
      <c r="E1" s="40" t="s">
        <v>45</v>
      </c>
      <c r="F1" s="40" t="s">
        <v>101</v>
      </c>
      <c r="G1" s="40" t="s">
        <v>68</v>
      </c>
      <c r="H1" s="40" t="s">
        <v>103</v>
      </c>
      <c r="I1" s="40" t="s">
        <v>65</v>
      </c>
      <c r="J1" s="74" t="s">
        <v>66</v>
      </c>
      <c r="K1" s="74" t="s">
        <v>67</v>
      </c>
    </row>
    <row r="2" spans="1:28" s="58" customFormat="1">
      <c r="A2">
        <v>29</v>
      </c>
      <c r="B2" s="87">
        <v>44761</v>
      </c>
      <c r="C2" s="86" t="s">
        <v>199</v>
      </c>
      <c r="D2" s="86" t="s">
        <v>200</v>
      </c>
      <c r="E2" s="86" t="s">
        <v>100</v>
      </c>
      <c r="F2" s="86" t="s">
        <v>201</v>
      </c>
      <c r="G2" s="86">
        <v>130</v>
      </c>
      <c r="H2" s="86" t="s">
        <v>202</v>
      </c>
      <c r="I2" s="86" t="s">
        <v>203</v>
      </c>
      <c r="J2">
        <f t="shared" ref="J2:J33" si="0">IF(F2="Culex tarsalis",G2,0)</f>
        <v>130</v>
      </c>
      <c r="K2">
        <f t="shared" ref="K2:K33" si="1">IF(F2="Culex pipiens",G2,0)</f>
        <v>0</v>
      </c>
      <c r="L2"/>
      <c r="M2"/>
      <c r="N2"/>
      <c r="O2"/>
      <c r="P2"/>
      <c r="Q2"/>
      <c r="R2"/>
      <c r="S2"/>
      <c r="T2"/>
      <c r="U2"/>
      <c r="V2"/>
      <c r="W2"/>
      <c r="X2"/>
      <c r="Y2"/>
      <c r="Z2"/>
      <c r="AA2"/>
      <c r="AB2"/>
    </row>
    <row r="3" spans="1:28">
      <c r="A3" s="86">
        <v>29</v>
      </c>
      <c r="B3" s="87">
        <v>44761</v>
      </c>
      <c r="C3" s="86" t="s">
        <v>199</v>
      </c>
      <c r="D3" s="86" t="s">
        <v>200</v>
      </c>
      <c r="E3" s="86" t="s">
        <v>100</v>
      </c>
      <c r="F3" s="86" t="s">
        <v>204</v>
      </c>
      <c r="G3" s="86">
        <v>5</v>
      </c>
      <c r="H3" s="86" t="s">
        <v>202</v>
      </c>
      <c r="I3" s="86" t="s">
        <v>203</v>
      </c>
      <c r="J3">
        <f t="shared" si="0"/>
        <v>0</v>
      </c>
      <c r="K3">
        <f t="shared" si="1"/>
        <v>5</v>
      </c>
      <c r="L3" s="86"/>
      <c r="M3" s="84"/>
      <c r="N3" s="85"/>
    </row>
    <row r="4" spans="1:28">
      <c r="A4" s="86">
        <v>29</v>
      </c>
      <c r="B4" s="87">
        <v>44761</v>
      </c>
      <c r="C4" s="86" t="s">
        <v>199</v>
      </c>
      <c r="D4" s="86" t="s">
        <v>205</v>
      </c>
      <c r="E4" s="86" t="s">
        <v>100</v>
      </c>
      <c r="F4" s="86" t="s">
        <v>201</v>
      </c>
      <c r="G4" s="86">
        <v>144</v>
      </c>
      <c r="H4" s="86" t="s">
        <v>202</v>
      </c>
      <c r="I4" s="86" t="s">
        <v>206</v>
      </c>
      <c r="J4">
        <f t="shared" si="0"/>
        <v>144</v>
      </c>
      <c r="K4">
        <f t="shared" si="1"/>
        <v>0</v>
      </c>
      <c r="L4" s="86"/>
      <c r="M4" s="84"/>
      <c r="N4" s="85"/>
    </row>
    <row r="5" spans="1:28">
      <c r="A5" s="86">
        <v>29</v>
      </c>
      <c r="B5" s="87">
        <v>44761</v>
      </c>
      <c r="C5" s="86" t="s">
        <v>199</v>
      </c>
      <c r="D5" s="86" t="s">
        <v>207</v>
      </c>
      <c r="E5" s="86" t="s">
        <v>100</v>
      </c>
      <c r="F5" s="86" t="s">
        <v>201</v>
      </c>
      <c r="G5" s="86">
        <v>87</v>
      </c>
      <c r="H5" s="86" t="s">
        <v>202</v>
      </c>
      <c r="I5" s="86" t="s">
        <v>208</v>
      </c>
      <c r="J5">
        <f t="shared" si="0"/>
        <v>87</v>
      </c>
      <c r="K5">
        <f t="shared" si="1"/>
        <v>0</v>
      </c>
      <c r="L5" s="86"/>
      <c r="M5" s="84"/>
      <c r="N5" s="85"/>
    </row>
    <row r="6" spans="1:28">
      <c r="A6" s="86">
        <v>29</v>
      </c>
      <c r="B6" s="87">
        <v>44761</v>
      </c>
      <c r="C6" s="86" t="s">
        <v>199</v>
      </c>
      <c r="D6" s="86" t="s">
        <v>207</v>
      </c>
      <c r="E6" s="86" t="s">
        <v>100</v>
      </c>
      <c r="F6" s="86" t="s">
        <v>204</v>
      </c>
      <c r="G6" s="86">
        <v>6</v>
      </c>
      <c r="H6" s="86" t="s">
        <v>202</v>
      </c>
      <c r="I6" s="86" t="s">
        <v>208</v>
      </c>
      <c r="J6">
        <f t="shared" si="0"/>
        <v>0</v>
      </c>
      <c r="K6">
        <f t="shared" si="1"/>
        <v>6</v>
      </c>
      <c r="L6" s="86"/>
      <c r="M6" s="84"/>
      <c r="N6" s="85"/>
    </row>
    <row r="7" spans="1:28">
      <c r="A7" s="86">
        <v>29</v>
      </c>
      <c r="B7" s="87">
        <v>44761</v>
      </c>
      <c r="C7" s="86" t="s">
        <v>199</v>
      </c>
      <c r="D7" s="86" t="s">
        <v>551</v>
      </c>
      <c r="E7" s="86" t="s">
        <v>100</v>
      </c>
      <c r="F7" s="86" t="s">
        <v>201</v>
      </c>
      <c r="G7" s="86">
        <v>87</v>
      </c>
      <c r="H7" s="86" t="s">
        <v>202</v>
      </c>
      <c r="I7" s="86" t="s">
        <v>552</v>
      </c>
      <c r="J7">
        <f t="shared" si="0"/>
        <v>87</v>
      </c>
      <c r="K7">
        <f t="shared" si="1"/>
        <v>0</v>
      </c>
      <c r="L7" s="86"/>
      <c r="M7" s="84"/>
      <c r="N7" s="85"/>
    </row>
    <row r="8" spans="1:28">
      <c r="A8" s="86">
        <v>29</v>
      </c>
      <c r="B8" s="87">
        <v>44761</v>
      </c>
      <c r="C8" s="86" t="s">
        <v>199</v>
      </c>
      <c r="D8" s="86" t="s">
        <v>551</v>
      </c>
      <c r="E8" s="86" t="s">
        <v>100</v>
      </c>
      <c r="F8" s="86" t="s">
        <v>204</v>
      </c>
      <c r="G8" s="86">
        <v>1</v>
      </c>
      <c r="H8" s="86" t="s">
        <v>202</v>
      </c>
      <c r="I8" s="86" t="s">
        <v>552</v>
      </c>
      <c r="J8">
        <f t="shared" si="0"/>
        <v>0</v>
      </c>
      <c r="K8">
        <f t="shared" si="1"/>
        <v>1</v>
      </c>
      <c r="L8" s="86"/>
      <c r="M8" s="84"/>
      <c r="N8" s="85"/>
    </row>
    <row r="9" spans="1:28">
      <c r="A9" s="86">
        <v>29</v>
      </c>
      <c r="B9" s="87">
        <v>44761</v>
      </c>
      <c r="C9" s="86" t="s">
        <v>199</v>
      </c>
      <c r="D9" s="86" t="s">
        <v>317</v>
      </c>
      <c r="E9" s="86" t="s">
        <v>100</v>
      </c>
      <c r="F9" s="86" t="s">
        <v>201</v>
      </c>
      <c r="G9" s="86">
        <v>19</v>
      </c>
      <c r="H9" s="86" t="s">
        <v>202</v>
      </c>
      <c r="I9" s="86" t="s">
        <v>134</v>
      </c>
      <c r="J9">
        <f t="shared" si="0"/>
        <v>19</v>
      </c>
      <c r="K9">
        <f t="shared" si="1"/>
        <v>0</v>
      </c>
      <c r="L9" s="86"/>
      <c r="M9" s="84"/>
      <c r="N9" s="85"/>
    </row>
    <row r="10" spans="1:28" s="58" customFormat="1">
      <c r="A10" s="86">
        <v>29</v>
      </c>
      <c r="B10" s="87">
        <v>44759</v>
      </c>
      <c r="C10" s="86" t="s">
        <v>209</v>
      </c>
      <c r="D10" s="86" t="s">
        <v>318</v>
      </c>
      <c r="E10" s="86" t="s">
        <v>58</v>
      </c>
      <c r="F10" s="86" t="s">
        <v>201</v>
      </c>
      <c r="G10" s="86">
        <v>57</v>
      </c>
      <c r="H10" s="86" t="s">
        <v>202</v>
      </c>
      <c r="I10" s="86" t="s">
        <v>122</v>
      </c>
      <c r="J10">
        <f t="shared" si="0"/>
        <v>57</v>
      </c>
      <c r="K10">
        <f t="shared" si="1"/>
        <v>0</v>
      </c>
      <c r="L10" s="86"/>
      <c r="M10" s="84"/>
      <c r="N10" s="85"/>
      <c r="O10"/>
      <c r="P10"/>
      <c r="Q10"/>
      <c r="R10"/>
      <c r="S10"/>
      <c r="T10"/>
      <c r="U10"/>
      <c r="V10"/>
      <c r="W10"/>
      <c r="X10"/>
      <c r="Y10"/>
      <c r="Z10"/>
      <c r="AA10"/>
      <c r="AB10"/>
    </row>
    <row r="11" spans="1:28">
      <c r="A11" s="86">
        <v>29</v>
      </c>
      <c r="B11" s="87">
        <v>44759</v>
      </c>
      <c r="C11" s="86" t="s">
        <v>209</v>
      </c>
      <c r="D11" s="86" t="s">
        <v>210</v>
      </c>
      <c r="E11" s="86" t="s">
        <v>58</v>
      </c>
      <c r="F11" s="86" t="s">
        <v>204</v>
      </c>
      <c r="G11" s="86">
        <v>130</v>
      </c>
      <c r="H11" s="86" t="s">
        <v>202</v>
      </c>
      <c r="I11" s="86" t="s">
        <v>128</v>
      </c>
      <c r="J11">
        <f t="shared" si="0"/>
        <v>0</v>
      </c>
      <c r="K11">
        <f t="shared" si="1"/>
        <v>130</v>
      </c>
      <c r="L11" s="86"/>
      <c r="M11" s="84"/>
      <c r="N11" s="85"/>
    </row>
    <row r="12" spans="1:28">
      <c r="A12" s="86">
        <v>29</v>
      </c>
      <c r="B12" s="87">
        <v>44759</v>
      </c>
      <c r="C12" s="86" t="s">
        <v>209</v>
      </c>
      <c r="D12" s="86" t="s">
        <v>210</v>
      </c>
      <c r="E12" s="86" t="s">
        <v>58</v>
      </c>
      <c r="F12" s="86" t="s">
        <v>201</v>
      </c>
      <c r="G12" s="86">
        <v>150</v>
      </c>
      <c r="H12" s="86" t="s">
        <v>202</v>
      </c>
      <c r="I12" s="86" t="s">
        <v>128</v>
      </c>
      <c r="J12">
        <f t="shared" si="0"/>
        <v>150</v>
      </c>
      <c r="K12">
        <f t="shared" si="1"/>
        <v>0</v>
      </c>
      <c r="L12" s="86"/>
      <c r="M12" s="84"/>
      <c r="N12" s="85"/>
    </row>
    <row r="13" spans="1:28">
      <c r="A13" s="86">
        <v>29</v>
      </c>
      <c r="B13" s="87">
        <v>44759</v>
      </c>
      <c r="C13" s="86" t="s">
        <v>209</v>
      </c>
      <c r="D13" s="86" t="s">
        <v>211</v>
      </c>
      <c r="E13" s="86" t="s">
        <v>58</v>
      </c>
      <c r="F13" s="86" t="s">
        <v>204</v>
      </c>
      <c r="G13" s="86">
        <v>8</v>
      </c>
      <c r="H13" s="86" t="s">
        <v>202</v>
      </c>
      <c r="I13" s="86" t="s">
        <v>127</v>
      </c>
      <c r="J13">
        <f t="shared" si="0"/>
        <v>0</v>
      </c>
      <c r="K13">
        <f t="shared" si="1"/>
        <v>8</v>
      </c>
      <c r="L13" s="86"/>
      <c r="M13" s="84"/>
      <c r="N13" s="85"/>
    </row>
    <row r="14" spans="1:28" s="58" customFormat="1">
      <c r="A14" s="86">
        <v>29</v>
      </c>
      <c r="B14" s="87">
        <v>44759</v>
      </c>
      <c r="C14" s="86" t="s">
        <v>209</v>
      </c>
      <c r="D14" s="86" t="s">
        <v>211</v>
      </c>
      <c r="E14" s="86" t="s">
        <v>58</v>
      </c>
      <c r="F14" s="86" t="s">
        <v>201</v>
      </c>
      <c r="G14" s="86">
        <v>115</v>
      </c>
      <c r="H14" s="86" t="s">
        <v>202</v>
      </c>
      <c r="I14" s="86" t="s">
        <v>127</v>
      </c>
      <c r="J14">
        <f t="shared" si="0"/>
        <v>115</v>
      </c>
      <c r="K14">
        <f t="shared" si="1"/>
        <v>0</v>
      </c>
      <c r="L14" s="86"/>
      <c r="M14" s="84"/>
      <c r="N14" s="85"/>
      <c r="O14"/>
      <c r="P14"/>
      <c r="Q14"/>
      <c r="R14"/>
      <c r="S14"/>
      <c r="T14"/>
      <c r="U14"/>
      <c r="V14"/>
      <c r="W14"/>
      <c r="X14"/>
      <c r="Y14"/>
      <c r="Z14"/>
      <c r="AA14"/>
      <c r="AB14"/>
    </row>
    <row r="15" spans="1:28" s="58" customFormat="1">
      <c r="A15" s="86">
        <v>29</v>
      </c>
      <c r="B15" s="87">
        <v>44759</v>
      </c>
      <c r="C15" s="86" t="s">
        <v>209</v>
      </c>
      <c r="D15" s="86" t="s">
        <v>212</v>
      </c>
      <c r="E15" s="86" t="s">
        <v>58</v>
      </c>
      <c r="F15" s="86" t="s">
        <v>201</v>
      </c>
      <c r="G15" s="86">
        <v>290</v>
      </c>
      <c r="H15" s="86" t="s">
        <v>202</v>
      </c>
      <c r="I15" s="86" t="s">
        <v>116</v>
      </c>
      <c r="J15">
        <f t="shared" si="0"/>
        <v>290</v>
      </c>
      <c r="K15">
        <f t="shared" si="1"/>
        <v>0</v>
      </c>
      <c r="L15" s="86"/>
      <c r="M15" s="84"/>
      <c r="N15" s="85"/>
      <c r="O15"/>
      <c r="P15"/>
      <c r="Q15"/>
      <c r="R15"/>
      <c r="S15"/>
      <c r="T15"/>
      <c r="U15"/>
      <c r="V15"/>
      <c r="W15"/>
      <c r="X15"/>
      <c r="Y15"/>
      <c r="Z15"/>
      <c r="AA15"/>
      <c r="AB15"/>
    </row>
    <row r="16" spans="1:28">
      <c r="A16" s="86">
        <v>29</v>
      </c>
      <c r="B16" s="87">
        <v>44759</v>
      </c>
      <c r="C16" s="86" t="s">
        <v>209</v>
      </c>
      <c r="D16" s="86" t="s">
        <v>213</v>
      </c>
      <c r="E16" s="86" t="s">
        <v>57</v>
      </c>
      <c r="F16" s="86" t="s">
        <v>201</v>
      </c>
      <c r="G16" s="86">
        <v>11</v>
      </c>
      <c r="H16" s="86" t="s">
        <v>202</v>
      </c>
      <c r="I16" s="86" t="s">
        <v>214</v>
      </c>
      <c r="J16">
        <f t="shared" si="0"/>
        <v>11</v>
      </c>
      <c r="K16">
        <f t="shared" si="1"/>
        <v>0</v>
      </c>
      <c r="L16" s="86"/>
      <c r="M16" s="84"/>
      <c r="N16" s="85"/>
    </row>
    <row r="17" spans="1:25">
      <c r="A17" s="86">
        <v>29</v>
      </c>
      <c r="B17" s="87">
        <v>44759</v>
      </c>
      <c r="C17" s="86" t="s">
        <v>209</v>
      </c>
      <c r="D17" s="86" t="s">
        <v>215</v>
      </c>
      <c r="E17" s="86" t="s">
        <v>58</v>
      </c>
      <c r="F17" s="86" t="s">
        <v>201</v>
      </c>
      <c r="G17" s="86">
        <v>60</v>
      </c>
      <c r="H17" s="86" t="s">
        <v>202</v>
      </c>
      <c r="I17" s="86" t="s">
        <v>114</v>
      </c>
      <c r="J17">
        <f t="shared" si="0"/>
        <v>60</v>
      </c>
      <c r="K17">
        <f t="shared" si="1"/>
        <v>0</v>
      </c>
      <c r="L17" s="86"/>
      <c r="M17" s="84"/>
      <c r="N17" s="85"/>
    </row>
    <row r="18" spans="1:25">
      <c r="A18" s="86">
        <v>29</v>
      </c>
      <c r="B18" s="87">
        <v>44759</v>
      </c>
      <c r="C18" s="86" t="s">
        <v>209</v>
      </c>
      <c r="D18" s="86" t="s">
        <v>215</v>
      </c>
      <c r="E18" s="86" t="s">
        <v>58</v>
      </c>
      <c r="F18" s="86" t="s">
        <v>204</v>
      </c>
      <c r="G18" s="86">
        <v>1</v>
      </c>
      <c r="H18" s="86" t="s">
        <v>202</v>
      </c>
      <c r="I18" s="86" t="s">
        <v>114</v>
      </c>
      <c r="J18">
        <f t="shared" si="0"/>
        <v>0</v>
      </c>
      <c r="K18">
        <f t="shared" si="1"/>
        <v>1</v>
      </c>
      <c r="L18" s="86"/>
      <c r="M18" s="84"/>
      <c r="N18" s="85"/>
    </row>
    <row r="19" spans="1:25">
      <c r="A19" s="86">
        <v>29</v>
      </c>
      <c r="B19" s="87">
        <v>44759</v>
      </c>
      <c r="C19" s="86" t="s">
        <v>209</v>
      </c>
      <c r="D19" s="86" t="s">
        <v>216</v>
      </c>
      <c r="E19" s="86" t="s">
        <v>58</v>
      </c>
      <c r="F19" s="86" t="s">
        <v>201</v>
      </c>
      <c r="G19" s="86">
        <v>67</v>
      </c>
      <c r="H19" s="86" t="s">
        <v>202</v>
      </c>
      <c r="I19" s="86" t="s">
        <v>119</v>
      </c>
      <c r="J19">
        <f t="shared" si="0"/>
        <v>67</v>
      </c>
      <c r="K19">
        <f t="shared" si="1"/>
        <v>0</v>
      </c>
      <c r="L19" s="86"/>
      <c r="M19" s="84"/>
      <c r="N19" s="85"/>
    </row>
    <row r="20" spans="1:25">
      <c r="A20" s="86">
        <v>29</v>
      </c>
      <c r="B20" s="87">
        <v>44759</v>
      </c>
      <c r="C20" s="86" t="s">
        <v>209</v>
      </c>
      <c r="D20" s="86" t="s">
        <v>216</v>
      </c>
      <c r="E20" s="86" t="s">
        <v>58</v>
      </c>
      <c r="F20" s="86" t="s">
        <v>204</v>
      </c>
      <c r="G20" s="86">
        <v>21</v>
      </c>
      <c r="H20" s="86" t="s">
        <v>202</v>
      </c>
      <c r="I20" s="86" t="s">
        <v>119</v>
      </c>
      <c r="J20">
        <f t="shared" si="0"/>
        <v>0</v>
      </c>
      <c r="K20">
        <f t="shared" si="1"/>
        <v>21</v>
      </c>
      <c r="L20" s="86"/>
      <c r="M20" s="84"/>
      <c r="N20" s="85"/>
    </row>
    <row r="21" spans="1:25">
      <c r="A21" s="86">
        <v>29</v>
      </c>
      <c r="B21" s="87">
        <v>44759</v>
      </c>
      <c r="C21" s="86" t="s">
        <v>209</v>
      </c>
      <c r="D21" s="86" t="s">
        <v>217</v>
      </c>
      <c r="E21" s="86" t="s">
        <v>58</v>
      </c>
      <c r="F21" s="86" t="s">
        <v>204</v>
      </c>
      <c r="G21" s="86">
        <v>210</v>
      </c>
      <c r="H21" s="86" t="s">
        <v>202</v>
      </c>
      <c r="I21" s="86" t="s">
        <v>129</v>
      </c>
      <c r="J21">
        <f t="shared" si="0"/>
        <v>0</v>
      </c>
      <c r="K21">
        <f t="shared" si="1"/>
        <v>210</v>
      </c>
      <c r="L21" s="86"/>
      <c r="M21" s="84"/>
      <c r="N21" s="85"/>
    </row>
    <row r="22" spans="1:25">
      <c r="A22" s="86">
        <v>29</v>
      </c>
      <c r="B22" s="87">
        <v>44759</v>
      </c>
      <c r="C22" s="86" t="s">
        <v>209</v>
      </c>
      <c r="D22" s="86" t="s">
        <v>217</v>
      </c>
      <c r="E22" s="86" t="s">
        <v>58</v>
      </c>
      <c r="F22" s="86" t="s">
        <v>201</v>
      </c>
      <c r="G22" s="86">
        <v>206</v>
      </c>
      <c r="H22" s="86" t="s">
        <v>202</v>
      </c>
      <c r="I22" s="86" t="s">
        <v>129</v>
      </c>
      <c r="J22">
        <f t="shared" si="0"/>
        <v>206</v>
      </c>
      <c r="K22">
        <f t="shared" si="1"/>
        <v>0</v>
      </c>
      <c r="L22" s="86"/>
      <c r="M22" s="84"/>
      <c r="N22" s="85"/>
    </row>
    <row r="23" spans="1:25">
      <c r="A23" s="86">
        <v>29</v>
      </c>
      <c r="B23" s="87">
        <v>44759</v>
      </c>
      <c r="C23" s="86" t="s">
        <v>209</v>
      </c>
      <c r="D23" s="86" t="s">
        <v>218</v>
      </c>
      <c r="E23" s="86" t="s">
        <v>58</v>
      </c>
      <c r="F23" s="86" t="s">
        <v>204</v>
      </c>
      <c r="G23" s="86">
        <v>13</v>
      </c>
      <c r="H23" s="86" t="s">
        <v>202</v>
      </c>
      <c r="I23" s="86" t="s">
        <v>125</v>
      </c>
      <c r="J23">
        <f t="shared" si="0"/>
        <v>0</v>
      </c>
      <c r="K23">
        <f t="shared" si="1"/>
        <v>13</v>
      </c>
      <c r="L23" s="86"/>
      <c r="M23" s="84"/>
      <c r="N23" s="85"/>
    </row>
    <row r="24" spans="1:25">
      <c r="A24" s="86">
        <v>29</v>
      </c>
      <c r="B24" s="87">
        <v>44759</v>
      </c>
      <c r="C24" s="86" t="s">
        <v>209</v>
      </c>
      <c r="D24" s="86" t="s">
        <v>218</v>
      </c>
      <c r="E24" s="86" t="s">
        <v>58</v>
      </c>
      <c r="F24" s="86" t="s">
        <v>201</v>
      </c>
      <c r="G24" s="86">
        <v>178</v>
      </c>
      <c r="H24" s="86" t="s">
        <v>202</v>
      </c>
      <c r="I24" s="86" t="s">
        <v>125</v>
      </c>
      <c r="J24">
        <f t="shared" si="0"/>
        <v>178</v>
      </c>
      <c r="K24">
        <f t="shared" si="1"/>
        <v>0</v>
      </c>
      <c r="L24" s="86"/>
      <c r="M24" s="84"/>
      <c r="N24" s="85"/>
    </row>
    <row r="25" spans="1:25">
      <c r="A25" s="86">
        <v>29</v>
      </c>
      <c r="B25" s="87">
        <v>44759</v>
      </c>
      <c r="C25" s="86" t="s">
        <v>209</v>
      </c>
      <c r="D25" s="86" t="s">
        <v>219</v>
      </c>
      <c r="E25" s="86" t="s">
        <v>58</v>
      </c>
      <c r="F25" s="86" t="s">
        <v>204</v>
      </c>
      <c r="G25" s="86">
        <v>4</v>
      </c>
      <c r="H25" s="86" t="s">
        <v>202</v>
      </c>
      <c r="I25" s="86" t="s">
        <v>115</v>
      </c>
      <c r="J25">
        <f t="shared" si="0"/>
        <v>0</v>
      </c>
      <c r="K25">
        <f t="shared" si="1"/>
        <v>4</v>
      </c>
      <c r="L25" s="86"/>
      <c r="M25" s="84"/>
      <c r="N25" s="85"/>
    </row>
    <row r="26" spans="1:25">
      <c r="A26" s="86">
        <v>29</v>
      </c>
      <c r="B26" s="87">
        <v>44759</v>
      </c>
      <c r="C26" s="86" t="s">
        <v>209</v>
      </c>
      <c r="D26" s="86" t="s">
        <v>219</v>
      </c>
      <c r="E26" s="86" t="s">
        <v>58</v>
      </c>
      <c r="F26" s="86" t="s">
        <v>201</v>
      </c>
      <c r="G26" s="86">
        <v>95</v>
      </c>
      <c r="H26" s="86" t="s">
        <v>202</v>
      </c>
      <c r="I26" s="86" t="s">
        <v>115</v>
      </c>
      <c r="J26">
        <f t="shared" si="0"/>
        <v>95</v>
      </c>
      <c r="K26">
        <f t="shared" si="1"/>
        <v>0</v>
      </c>
      <c r="L26" s="86"/>
      <c r="M26" s="84"/>
      <c r="N26" s="85"/>
      <c r="Y26" s="58"/>
    </row>
    <row r="27" spans="1:25">
      <c r="A27" s="86">
        <v>29</v>
      </c>
      <c r="B27" s="87">
        <v>44759</v>
      </c>
      <c r="C27" s="86" t="s">
        <v>209</v>
      </c>
      <c r="D27" s="86" t="s">
        <v>220</v>
      </c>
      <c r="E27" s="86" t="s">
        <v>58</v>
      </c>
      <c r="F27" s="86" t="s">
        <v>201</v>
      </c>
      <c r="G27" s="86">
        <v>146</v>
      </c>
      <c r="H27" s="86" t="s">
        <v>202</v>
      </c>
      <c r="I27" s="86" t="s">
        <v>124</v>
      </c>
      <c r="J27">
        <f t="shared" si="0"/>
        <v>146</v>
      </c>
      <c r="K27">
        <f t="shared" si="1"/>
        <v>0</v>
      </c>
      <c r="L27" s="86"/>
      <c r="M27" s="84"/>
      <c r="N27" s="85"/>
    </row>
    <row r="28" spans="1:25">
      <c r="A28" s="86">
        <v>29</v>
      </c>
      <c r="B28" s="87">
        <v>44759</v>
      </c>
      <c r="C28" s="86" t="s">
        <v>209</v>
      </c>
      <c r="D28" s="86" t="s">
        <v>220</v>
      </c>
      <c r="E28" s="86" t="s">
        <v>58</v>
      </c>
      <c r="F28" s="86" t="s">
        <v>204</v>
      </c>
      <c r="G28" s="86">
        <v>2</v>
      </c>
      <c r="H28" s="86" t="s">
        <v>202</v>
      </c>
      <c r="I28" s="86" t="s">
        <v>124</v>
      </c>
      <c r="J28">
        <f t="shared" si="0"/>
        <v>0</v>
      </c>
      <c r="K28">
        <f t="shared" si="1"/>
        <v>2</v>
      </c>
      <c r="L28" s="86"/>
      <c r="M28" s="84"/>
      <c r="N28" s="85"/>
    </row>
    <row r="29" spans="1:25">
      <c r="A29" s="86">
        <v>29</v>
      </c>
      <c r="B29" s="87">
        <v>44760</v>
      </c>
      <c r="C29" s="86" t="s">
        <v>209</v>
      </c>
      <c r="D29" s="86" t="s">
        <v>221</v>
      </c>
      <c r="E29" s="86" t="s">
        <v>59</v>
      </c>
      <c r="F29" s="86" t="s">
        <v>204</v>
      </c>
      <c r="G29" s="86">
        <v>5</v>
      </c>
      <c r="H29" s="86" t="s">
        <v>202</v>
      </c>
      <c r="I29" s="86" t="s">
        <v>140</v>
      </c>
      <c r="J29">
        <f t="shared" si="0"/>
        <v>0</v>
      </c>
      <c r="K29">
        <f t="shared" si="1"/>
        <v>5</v>
      </c>
      <c r="L29" s="86"/>
      <c r="M29" s="84"/>
      <c r="N29" s="85"/>
      <c r="Y29" s="85"/>
    </row>
    <row r="30" spans="1:25">
      <c r="A30" s="86">
        <v>29</v>
      </c>
      <c r="B30" s="87">
        <v>44760</v>
      </c>
      <c r="C30" s="86" t="s">
        <v>209</v>
      </c>
      <c r="D30" s="86" t="s">
        <v>221</v>
      </c>
      <c r="E30" s="86" t="s">
        <v>59</v>
      </c>
      <c r="F30" s="86" t="s">
        <v>201</v>
      </c>
      <c r="G30" s="86">
        <v>121</v>
      </c>
      <c r="H30" s="86" t="s">
        <v>202</v>
      </c>
      <c r="I30" s="86" t="s">
        <v>140</v>
      </c>
      <c r="J30">
        <f t="shared" si="0"/>
        <v>121</v>
      </c>
      <c r="K30">
        <f t="shared" si="1"/>
        <v>0</v>
      </c>
      <c r="L30" s="86"/>
      <c r="M30" s="84"/>
      <c r="N30" s="85"/>
    </row>
    <row r="31" spans="1:25">
      <c r="A31" s="86">
        <v>29</v>
      </c>
      <c r="B31" s="87">
        <v>44760</v>
      </c>
      <c r="C31" s="86" t="s">
        <v>209</v>
      </c>
      <c r="D31" s="86" t="s">
        <v>222</v>
      </c>
      <c r="E31" s="86" t="s">
        <v>59</v>
      </c>
      <c r="F31" s="86" t="s">
        <v>201</v>
      </c>
      <c r="G31" s="86">
        <v>37</v>
      </c>
      <c r="H31" s="86" t="s">
        <v>202</v>
      </c>
      <c r="I31" s="86" t="s">
        <v>146</v>
      </c>
      <c r="J31">
        <f t="shared" si="0"/>
        <v>37</v>
      </c>
      <c r="K31">
        <f t="shared" si="1"/>
        <v>0</v>
      </c>
      <c r="L31" s="86"/>
      <c r="M31" s="84"/>
      <c r="N31" s="85"/>
    </row>
    <row r="32" spans="1:25">
      <c r="A32" s="86">
        <v>29</v>
      </c>
      <c r="B32" s="87">
        <v>44760</v>
      </c>
      <c r="C32" s="86" t="s">
        <v>209</v>
      </c>
      <c r="D32" s="86" t="s">
        <v>223</v>
      </c>
      <c r="E32" s="86" t="s">
        <v>59</v>
      </c>
      <c r="F32" s="86" t="s">
        <v>204</v>
      </c>
      <c r="G32" s="86">
        <v>11</v>
      </c>
      <c r="H32" s="86" t="s">
        <v>202</v>
      </c>
      <c r="I32" s="86" t="s">
        <v>148</v>
      </c>
      <c r="J32">
        <f t="shared" si="0"/>
        <v>0</v>
      </c>
      <c r="K32">
        <f t="shared" si="1"/>
        <v>11</v>
      </c>
      <c r="L32" s="86"/>
      <c r="M32" s="84"/>
      <c r="N32" s="85"/>
    </row>
    <row r="33" spans="1:25">
      <c r="A33" s="86">
        <v>29</v>
      </c>
      <c r="B33" s="87">
        <v>44760</v>
      </c>
      <c r="C33" s="86" t="s">
        <v>209</v>
      </c>
      <c r="D33" s="86" t="s">
        <v>223</v>
      </c>
      <c r="E33" s="86" t="s">
        <v>59</v>
      </c>
      <c r="F33" s="86" t="s">
        <v>201</v>
      </c>
      <c r="G33" s="86">
        <v>100</v>
      </c>
      <c r="H33" s="86" t="s">
        <v>202</v>
      </c>
      <c r="I33" s="86" t="s">
        <v>148</v>
      </c>
      <c r="J33">
        <f t="shared" si="0"/>
        <v>100</v>
      </c>
      <c r="K33">
        <f t="shared" si="1"/>
        <v>0</v>
      </c>
      <c r="L33" s="86"/>
      <c r="M33" s="84"/>
      <c r="N33" s="85"/>
    </row>
    <row r="34" spans="1:25">
      <c r="A34" s="86">
        <v>29</v>
      </c>
      <c r="B34" s="87">
        <v>44760</v>
      </c>
      <c r="C34" s="86" t="s">
        <v>209</v>
      </c>
      <c r="D34" s="86" t="s">
        <v>224</v>
      </c>
      <c r="E34" s="86" t="s">
        <v>59</v>
      </c>
      <c r="F34" s="86" t="s">
        <v>201</v>
      </c>
      <c r="G34" s="86">
        <v>94</v>
      </c>
      <c r="H34" s="86" t="s">
        <v>202</v>
      </c>
      <c r="I34" s="86" t="s">
        <v>145</v>
      </c>
      <c r="J34">
        <f t="shared" ref="J34:J65" si="2">IF(F34="Culex tarsalis",G34,0)</f>
        <v>94</v>
      </c>
      <c r="K34">
        <f t="shared" ref="K34:K65" si="3">IF(F34="Culex pipiens",G34,0)</f>
        <v>0</v>
      </c>
      <c r="L34" s="86"/>
      <c r="M34" s="84"/>
      <c r="N34" s="85"/>
    </row>
    <row r="35" spans="1:25">
      <c r="A35" s="86">
        <v>29</v>
      </c>
      <c r="B35" s="87">
        <v>44760</v>
      </c>
      <c r="C35" s="86" t="s">
        <v>209</v>
      </c>
      <c r="D35" s="86" t="s">
        <v>224</v>
      </c>
      <c r="E35" s="86" t="s">
        <v>59</v>
      </c>
      <c r="F35" s="86" t="s">
        <v>204</v>
      </c>
      <c r="G35" s="86">
        <v>4</v>
      </c>
      <c r="H35" s="86" t="s">
        <v>202</v>
      </c>
      <c r="I35" s="86" t="s">
        <v>145</v>
      </c>
      <c r="J35">
        <f t="shared" si="2"/>
        <v>0</v>
      </c>
      <c r="K35">
        <f t="shared" si="3"/>
        <v>4</v>
      </c>
      <c r="L35" s="86"/>
      <c r="M35" s="84"/>
      <c r="N35" s="85"/>
      <c r="Y35" s="84"/>
    </row>
    <row r="36" spans="1:25">
      <c r="A36" s="86">
        <v>29</v>
      </c>
      <c r="B36" s="87">
        <v>44760</v>
      </c>
      <c r="C36" s="86" t="s">
        <v>209</v>
      </c>
      <c r="D36" s="86" t="s">
        <v>225</v>
      </c>
      <c r="E36" s="86" t="s">
        <v>59</v>
      </c>
      <c r="F36" s="86" t="s">
        <v>201</v>
      </c>
      <c r="G36" s="86">
        <v>35</v>
      </c>
      <c r="H36" s="86" t="s">
        <v>202</v>
      </c>
      <c r="I36" s="86" t="s">
        <v>142</v>
      </c>
      <c r="J36">
        <f t="shared" si="2"/>
        <v>35</v>
      </c>
      <c r="K36">
        <f t="shared" si="3"/>
        <v>0</v>
      </c>
      <c r="L36" s="86"/>
      <c r="M36" s="84"/>
      <c r="N36" s="85"/>
      <c r="Y36" s="82"/>
    </row>
    <row r="37" spans="1:25">
      <c r="A37" s="86">
        <v>29</v>
      </c>
      <c r="B37" s="87">
        <v>44760</v>
      </c>
      <c r="C37" s="86" t="s">
        <v>209</v>
      </c>
      <c r="D37" s="86" t="s">
        <v>226</v>
      </c>
      <c r="E37" s="86" t="s">
        <v>59</v>
      </c>
      <c r="F37" s="86" t="s">
        <v>201</v>
      </c>
      <c r="G37" s="86">
        <v>111</v>
      </c>
      <c r="H37" s="86" t="s">
        <v>202</v>
      </c>
      <c r="I37" s="86" t="s">
        <v>150</v>
      </c>
      <c r="J37">
        <f t="shared" si="2"/>
        <v>111</v>
      </c>
      <c r="K37">
        <f t="shared" si="3"/>
        <v>0</v>
      </c>
      <c r="L37" s="86"/>
      <c r="M37" s="84"/>
      <c r="N37" s="85"/>
      <c r="Y37" s="82"/>
    </row>
    <row r="38" spans="1:25">
      <c r="A38" s="86">
        <v>29</v>
      </c>
      <c r="B38" s="87">
        <v>44760</v>
      </c>
      <c r="C38" s="86" t="s">
        <v>209</v>
      </c>
      <c r="D38" s="86" t="s">
        <v>227</v>
      </c>
      <c r="E38" s="86" t="s">
        <v>59</v>
      </c>
      <c r="F38" s="86" t="s">
        <v>201</v>
      </c>
      <c r="G38" s="86">
        <v>27</v>
      </c>
      <c r="H38" s="86" t="s">
        <v>202</v>
      </c>
      <c r="I38" s="86" t="s">
        <v>138</v>
      </c>
      <c r="J38">
        <f t="shared" si="2"/>
        <v>27</v>
      </c>
      <c r="K38">
        <f t="shared" si="3"/>
        <v>0</v>
      </c>
      <c r="L38" s="86"/>
      <c r="M38" s="84"/>
      <c r="N38" s="85"/>
    </row>
    <row r="39" spans="1:25">
      <c r="A39" s="86">
        <v>29</v>
      </c>
      <c r="B39" s="87">
        <v>44760</v>
      </c>
      <c r="C39" s="86" t="s">
        <v>209</v>
      </c>
      <c r="D39" s="86" t="s">
        <v>227</v>
      </c>
      <c r="E39" s="86" t="s">
        <v>59</v>
      </c>
      <c r="F39" s="86" t="s">
        <v>204</v>
      </c>
      <c r="G39" s="86">
        <v>3</v>
      </c>
      <c r="H39" s="86" t="s">
        <v>202</v>
      </c>
      <c r="I39" s="86" t="s">
        <v>138</v>
      </c>
      <c r="J39">
        <f t="shared" si="2"/>
        <v>0</v>
      </c>
      <c r="K39">
        <f t="shared" si="3"/>
        <v>3</v>
      </c>
      <c r="L39" s="86"/>
      <c r="M39" s="84"/>
      <c r="N39" s="85"/>
    </row>
    <row r="40" spans="1:25">
      <c r="A40" s="86">
        <v>29</v>
      </c>
      <c r="B40" s="87">
        <v>44760</v>
      </c>
      <c r="C40" s="86" t="s">
        <v>209</v>
      </c>
      <c r="D40" s="86" t="s">
        <v>228</v>
      </c>
      <c r="E40" s="86" t="s">
        <v>59</v>
      </c>
      <c r="F40" s="86" t="s">
        <v>204</v>
      </c>
      <c r="G40" s="86">
        <v>3</v>
      </c>
      <c r="H40" s="86" t="s">
        <v>202</v>
      </c>
      <c r="I40" s="86" t="s">
        <v>147</v>
      </c>
      <c r="J40">
        <f t="shared" si="2"/>
        <v>0</v>
      </c>
      <c r="K40">
        <f t="shared" si="3"/>
        <v>3</v>
      </c>
      <c r="L40" s="86"/>
      <c r="M40" s="84"/>
      <c r="N40" s="85"/>
      <c r="Y40" s="82"/>
    </row>
    <row r="41" spans="1:25">
      <c r="A41" s="86">
        <v>29</v>
      </c>
      <c r="B41" s="87">
        <v>44760</v>
      </c>
      <c r="C41" s="86" t="s">
        <v>209</v>
      </c>
      <c r="D41" s="86" t="s">
        <v>228</v>
      </c>
      <c r="E41" s="86" t="s">
        <v>59</v>
      </c>
      <c r="F41" s="86" t="s">
        <v>201</v>
      </c>
      <c r="G41" s="86">
        <v>69</v>
      </c>
      <c r="H41" s="86" t="s">
        <v>202</v>
      </c>
      <c r="I41" s="86" t="s">
        <v>147</v>
      </c>
      <c r="J41">
        <f t="shared" si="2"/>
        <v>69</v>
      </c>
      <c r="K41">
        <f t="shared" si="3"/>
        <v>0</v>
      </c>
      <c r="L41" s="86"/>
      <c r="M41" s="84"/>
      <c r="N41" s="85"/>
    </row>
    <row r="42" spans="1:25">
      <c r="A42" s="86">
        <v>29</v>
      </c>
      <c r="B42" s="87">
        <v>44760</v>
      </c>
      <c r="C42" s="86" t="s">
        <v>209</v>
      </c>
      <c r="D42" s="86" t="s">
        <v>229</v>
      </c>
      <c r="E42" s="86" t="s">
        <v>59</v>
      </c>
      <c r="F42" s="86" t="s">
        <v>204</v>
      </c>
      <c r="G42" s="86">
        <v>1</v>
      </c>
      <c r="H42" s="86" t="s">
        <v>202</v>
      </c>
      <c r="I42" s="86" t="s">
        <v>149</v>
      </c>
      <c r="J42">
        <f t="shared" si="2"/>
        <v>0</v>
      </c>
      <c r="K42">
        <f t="shared" si="3"/>
        <v>1</v>
      </c>
      <c r="L42" s="86"/>
      <c r="M42" s="84"/>
      <c r="N42" s="85"/>
      <c r="Y42" s="82"/>
    </row>
    <row r="43" spans="1:25">
      <c r="A43" s="86">
        <v>29</v>
      </c>
      <c r="B43" s="87">
        <v>44760</v>
      </c>
      <c r="C43" s="86" t="s">
        <v>209</v>
      </c>
      <c r="D43" s="86" t="s">
        <v>229</v>
      </c>
      <c r="E43" s="86" t="s">
        <v>59</v>
      </c>
      <c r="F43" s="86" t="s">
        <v>201</v>
      </c>
      <c r="G43" s="86">
        <v>123</v>
      </c>
      <c r="H43" s="86" t="s">
        <v>202</v>
      </c>
      <c r="I43" s="86" t="s">
        <v>149</v>
      </c>
      <c r="J43">
        <f t="shared" si="2"/>
        <v>123</v>
      </c>
      <c r="K43">
        <f t="shared" si="3"/>
        <v>0</v>
      </c>
      <c r="L43" s="86"/>
      <c r="M43" s="84"/>
      <c r="N43" s="85"/>
    </row>
    <row r="44" spans="1:25">
      <c r="A44" s="86">
        <v>29</v>
      </c>
      <c r="B44" s="87">
        <v>44760</v>
      </c>
      <c r="C44" s="86" t="s">
        <v>209</v>
      </c>
      <c r="D44" s="86" t="s">
        <v>230</v>
      </c>
      <c r="E44" s="86" t="s">
        <v>59</v>
      </c>
      <c r="F44" s="86" t="s">
        <v>201</v>
      </c>
      <c r="G44" s="86">
        <v>104</v>
      </c>
      <c r="H44" s="86" t="s">
        <v>202</v>
      </c>
      <c r="I44" s="86" t="s">
        <v>139</v>
      </c>
      <c r="J44">
        <f t="shared" si="2"/>
        <v>104</v>
      </c>
      <c r="K44">
        <f t="shared" si="3"/>
        <v>0</v>
      </c>
      <c r="L44" s="86"/>
      <c r="M44" s="84"/>
      <c r="N44" s="85"/>
    </row>
    <row r="45" spans="1:25">
      <c r="A45" s="86">
        <v>29</v>
      </c>
      <c r="B45" s="87">
        <v>44760</v>
      </c>
      <c r="C45" s="86" t="s">
        <v>209</v>
      </c>
      <c r="D45" s="86" t="s">
        <v>230</v>
      </c>
      <c r="E45" s="86" t="s">
        <v>59</v>
      </c>
      <c r="F45" s="86" t="s">
        <v>204</v>
      </c>
      <c r="G45" s="86">
        <v>11</v>
      </c>
      <c r="H45" s="86" t="s">
        <v>202</v>
      </c>
      <c r="I45" s="86" t="s">
        <v>139</v>
      </c>
      <c r="J45">
        <f t="shared" si="2"/>
        <v>0</v>
      </c>
      <c r="K45">
        <f t="shared" si="3"/>
        <v>11</v>
      </c>
      <c r="L45" s="86"/>
      <c r="M45" s="84"/>
      <c r="N45" s="85"/>
    </row>
    <row r="46" spans="1:25">
      <c r="A46" s="86">
        <v>29</v>
      </c>
      <c r="B46" s="87">
        <v>44760</v>
      </c>
      <c r="C46" s="86" t="s">
        <v>209</v>
      </c>
      <c r="D46" s="86" t="s">
        <v>231</v>
      </c>
      <c r="E46" s="86" t="s">
        <v>59</v>
      </c>
      <c r="F46" s="86" t="s">
        <v>204</v>
      </c>
      <c r="G46" s="86">
        <v>2</v>
      </c>
      <c r="H46" s="86" t="s">
        <v>202</v>
      </c>
      <c r="I46" s="86" t="s">
        <v>143</v>
      </c>
      <c r="J46">
        <f t="shared" si="2"/>
        <v>0</v>
      </c>
      <c r="K46">
        <f t="shared" si="3"/>
        <v>2</v>
      </c>
      <c r="L46" s="86"/>
      <c r="M46" s="84"/>
      <c r="N46" s="85"/>
    </row>
    <row r="47" spans="1:25">
      <c r="A47" s="86">
        <v>29</v>
      </c>
      <c r="B47" s="87">
        <v>44760</v>
      </c>
      <c r="C47" s="86" t="s">
        <v>209</v>
      </c>
      <c r="D47" s="86" t="s">
        <v>231</v>
      </c>
      <c r="E47" s="86" t="s">
        <v>59</v>
      </c>
      <c r="F47" s="86" t="s">
        <v>201</v>
      </c>
      <c r="G47" s="86">
        <v>83</v>
      </c>
      <c r="H47" s="86" t="s">
        <v>202</v>
      </c>
      <c r="I47" s="86" t="s">
        <v>143</v>
      </c>
      <c r="J47">
        <f t="shared" si="2"/>
        <v>83</v>
      </c>
      <c r="K47">
        <f t="shared" si="3"/>
        <v>0</v>
      </c>
      <c r="L47" s="86"/>
      <c r="M47" s="84"/>
      <c r="N47" s="85"/>
      <c r="Y47" s="84"/>
    </row>
    <row r="48" spans="1:25">
      <c r="A48" s="86">
        <v>29</v>
      </c>
      <c r="B48" s="87">
        <v>44760</v>
      </c>
      <c r="C48" s="86" t="s">
        <v>209</v>
      </c>
      <c r="D48" s="86" t="s">
        <v>319</v>
      </c>
      <c r="E48" s="86" t="s">
        <v>59</v>
      </c>
      <c r="F48" s="86" t="s">
        <v>204</v>
      </c>
      <c r="G48" s="86">
        <v>20</v>
      </c>
      <c r="H48" s="86" t="s">
        <v>202</v>
      </c>
      <c r="I48" s="86" t="s">
        <v>141</v>
      </c>
      <c r="J48">
        <f t="shared" si="2"/>
        <v>0</v>
      </c>
      <c r="K48">
        <f t="shared" si="3"/>
        <v>20</v>
      </c>
      <c r="L48" s="86"/>
      <c r="M48" s="84"/>
      <c r="N48" s="85"/>
    </row>
    <row r="49" spans="1:25">
      <c r="A49" s="86">
        <v>29</v>
      </c>
      <c r="B49" s="87">
        <v>44760</v>
      </c>
      <c r="C49" s="86" t="s">
        <v>209</v>
      </c>
      <c r="D49" s="86" t="s">
        <v>319</v>
      </c>
      <c r="E49" s="86" t="s">
        <v>59</v>
      </c>
      <c r="F49" s="86" t="s">
        <v>201</v>
      </c>
      <c r="G49" s="86">
        <v>492</v>
      </c>
      <c r="H49" s="86" t="s">
        <v>202</v>
      </c>
      <c r="I49" s="86" t="s">
        <v>141</v>
      </c>
      <c r="J49">
        <f t="shared" si="2"/>
        <v>492</v>
      </c>
      <c r="K49">
        <f t="shared" si="3"/>
        <v>0</v>
      </c>
      <c r="L49" s="86"/>
      <c r="M49" s="84"/>
      <c r="N49" s="85"/>
    </row>
    <row r="50" spans="1:25">
      <c r="A50" s="86">
        <v>29</v>
      </c>
      <c r="B50" s="87">
        <v>44760</v>
      </c>
      <c r="C50" s="86" t="s">
        <v>209</v>
      </c>
      <c r="D50" s="86" t="s">
        <v>232</v>
      </c>
      <c r="E50" s="86" t="s">
        <v>59</v>
      </c>
      <c r="F50" s="86" t="s">
        <v>201</v>
      </c>
      <c r="G50" s="86">
        <v>22</v>
      </c>
      <c r="H50" s="86" t="s">
        <v>202</v>
      </c>
      <c r="I50" s="86" t="s">
        <v>144</v>
      </c>
      <c r="J50">
        <f t="shared" si="2"/>
        <v>22</v>
      </c>
      <c r="K50">
        <f t="shared" si="3"/>
        <v>0</v>
      </c>
      <c r="L50" s="86"/>
      <c r="M50" s="84"/>
      <c r="N50" s="85"/>
    </row>
    <row r="51" spans="1:25">
      <c r="A51" s="86">
        <v>29</v>
      </c>
      <c r="B51" s="87">
        <v>44760</v>
      </c>
      <c r="C51" s="86" t="s">
        <v>209</v>
      </c>
      <c r="D51" s="86" t="s">
        <v>232</v>
      </c>
      <c r="E51" s="86" t="s">
        <v>59</v>
      </c>
      <c r="F51" s="86" t="s">
        <v>204</v>
      </c>
      <c r="G51" s="86">
        <v>4</v>
      </c>
      <c r="H51" s="86" t="s">
        <v>202</v>
      </c>
      <c r="I51" s="86" t="s">
        <v>144</v>
      </c>
      <c r="J51">
        <f t="shared" si="2"/>
        <v>0</v>
      </c>
      <c r="K51">
        <f t="shared" si="3"/>
        <v>4</v>
      </c>
      <c r="L51" s="86"/>
      <c r="M51" s="84"/>
      <c r="N51" s="85"/>
      <c r="Y51" s="82"/>
    </row>
    <row r="52" spans="1:25">
      <c r="A52" s="86">
        <v>29</v>
      </c>
      <c r="B52" s="87">
        <v>44761</v>
      </c>
      <c r="C52" s="86" t="s">
        <v>209</v>
      </c>
      <c r="D52" s="86" t="s">
        <v>233</v>
      </c>
      <c r="E52" s="86" t="s">
        <v>57</v>
      </c>
      <c r="F52" s="86" t="s">
        <v>201</v>
      </c>
      <c r="G52" s="86">
        <v>13</v>
      </c>
      <c r="H52" s="86" t="s">
        <v>202</v>
      </c>
      <c r="I52" s="86" t="s">
        <v>160</v>
      </c>
      <c r="J52">
        <f t="shared" si="2"/>
        <v>13</v>
      </c>
      <c r="K52">
        <f t="shared" si="3"/>
        <v>0</v>
      </c>
      <c r="L52" s="86"/>
      <c r="M52" s="84"/>
      <c r="N52" s="85"/>
    </row>
    <row r="53" spans="1:25">
      <c r="A53" s="86">
        <v>29</v>
      </c>
      <c r="B53" s="87">
        <v>44761</v>
      </c>
      <c r="C53" s="86" t="s">
        <v>209</v>
      </c>
      <c r="D53" s="86" t="s">
        <v>233</v>
      </c>
      <c r="E53" s="86" t="s">
        <v>57</v>
      </c>
      <c r="F53" s="86" t="s">
        <v>204</v>
      </c>
      <c r="G53" s="86">
        <v>15</v>
      </c>
      <c r="H53" s="86" t="s">
        <v>202</v>
      </c>
      <c r="I53" s="86" t="s">
        <v>160</v>
      </c>
      <c r="J53">
        <f t="shared" si="2"/>
        <v>0</v>
      </c>
      <c r="K53">
        <f t="shared" si="3"/>
        <v>15</v>
      </c>
      <c r="L53" s="86"/>
      <c r="M53" s="84"/>
      <c r="N53" s="85"/>
    </row>
    <row r="54" spans="1:25">
      <c r="A54" s="86">
        <v>29</v>
      </c>
      <c r="B54" s="87">
        <v>44761</v>
      </c>
      <c r="C54" s="86" t="s">
        <v>209</v>
      </c>
      <c r="D54" s="86" t="s">
        <v>320</v>
      </c>
      <c r="E54" s="86" t="s">
        <v>57</v>
      </c>
      <c r="F54" s="86" t="s">
        <v>204</v>
      </c>
      <c r="G54" s="86">
        <v>3</v>
      </c>
      <c r="H54" s="86" t="s">
        <v>202</v>
      </c>
      <c r="I54" s="86" t="s">
        <v>164</v>
      </c>
      <c r="J54">
        <f t="shared" si="2"/>
        <v>0</v>
      </c>
      <c r="K54">
        <f t="shared" si="3"/>
        <v>3</v>
      </c>
      <c r="L54" s="86"/>
      <c r="M54" s="84"/>
      <c r="N54" s="85"/>
      <c r="Y54" s="82"/>
    </row>
    <row r="55" spans="1:25">
      <c r="A55" s="86">
        <v>29</v>
      </c>
      <c r="B55" s="87">
        <v>44761</v>
      </c>
      <c r="C55" s="86" t="s">
        <v>209</v>
      </c>
      <c r="D55" s="86" t="s">
        <v>320</v>
      </c>
      <c r="E55" s="86" t="s">
        <v>57</v>
      </c>
      <c r="F55" s="86" t="s">
        <v>201</v>
      </c>
      <c r="G55" s="86">
        <v>7</v>
      </c>
      <c r="H55" s="86" t="s">
        <v>202</v>
      </c>
      <c r="I55" s="86" t="s">
        <v>164</v>
      </c>
      <c r="J55">
        <f t="shared" si="2"/>
        <v>7</v>
      </c>
      <c r="K55">
        <f t="shared" si="3"/>
        <v>0</v>
      </c>
      <c r="L55" s="86"/>
      <c r="M55" s="84"/>
      <c r="N55" s="85"/>
    </row>
    <row r="56" spans="1:25">
      <c r="A56" s="86">
        <v>29</v>
      </c>
      <c r="B56" s="87">
        <v>44761</v>
      </c>
      <c r="C56" s="86" t="s">
        <v>209</v>
      </c>
      <c r="D56" s="86" t="s">
        <v>234</v>
      </c>
      <c r="E56" s="86" t="s">
        <v>57</v>
      </c>
      <c r="F56" s="86" t="s">
        <v>201</v>
      </c>
      <c r="G56" s="86">
        <v>125</v>
      </c>
      <c r="H56" s="86" t="s">
        <v>202</v>
      </c>
      <c r="I56" s="86" t="s">
        <v>157</v>
      </c>
      <c r="J56">
        <f t="shared" si="2"/>
        <v>125</v>
      </c>
      <c r="K56">
        <f t="shared" si="3"/>
        <v>0</v>
      </c>
      <c r="L56" s="86"/>
      <c r="M56" s="84"/>
      <c r="N56" s="85"/>
      <c r="Y56" s="84"/>
    </row>
    <row r="57" spans="1:25">
      <c r="A57" s="86">
        <v>29</v>
      </c>
      <c r="B57" s="87">
        <v>44761</v>
      </c>
      <c r="C57" s="86" t="s">
        <v>209</v>
      </c>
      <c r="D57" s="86" t="s">
        <v>234</v>
      </c>
      <c r="E57" s="86" t="s">
        <v>57</v>
      </c>
      <c r="F57" s="86" t="s">
        <v>204</v>
      </c>
      <c r="G57" s="86">
        <v>10</v>
      </c>
      <c r="H57" s="86" t="s">
        <v>202</v>
      </c>
      <c r="I57" s="86" t="s">
        <v>157</v>
      </c>
      <c r="J57">
        <f t="shared" si="2"/>
        <v>0</v>
      </c>
      <c r="K57">
        <f t="shared" si="3"/>
        <v>10</v>
      </c>
      <c r="L57" s="86"/>
      <c r="M57" s="84"/>
      <c r="N57" s="85"/>
    </row>
    <row r="58" spans="1:25">
      <c r="A58" s="86">
        <v>29</v>
      </c>
      <c r="B58" s="87">
        <v>44761</v>
      </c>
      <c r="C58" s="86" t="s">
        <v>209</v>
      </c>
      <c r="D58" s="86" t="s">
        <v>235</v>
      </c>
      <c r="E58" s="86" t="s">
        <v>60</v>
      </c>
      <c r="F58" s="86" t="s">
        <v>201</v>
      </c>
      <c r="G58" s="86">
        <v>76</v>
      </c>
      <c r="H58" s="86" t="s">
        <v>202</v>
      </c>
      <c r="I58" s="86" t="s">
        <v>163</v>
      </c>
      <c r="J58">
        <f t="shared" si="2"/>
        <v>76</v>
      </c>
      <c r="K58">
        <f t="shared" si="3"/>
        <v>0</v>
      </c>
      <c r="L58" s="86"/>
      <c r="M58" s="84"/>
      <c r="N58" s="85"/>
      <c r="Y58" s="80"/>
    </row>
    <row r="59" spans="1:25">
      <c r="A59" s="86">
        <v>29</v>
      </c>
      <c r="B59" s="87">
        <v>44761</v>
      </c>
      <c r="C59" s="86" t="s">
        <v>209</v>
      </c>
      <c r="D59" s="86" t="s">
        <v>235</v>
      </c>
      <c r="E59" s="86" t="s">
        <v>60</v>
      </c>
      <c r="F59" s="86" t="s">
        <v>204</v>
      </c>
      <c r="G59" s="86">
        <v>5</v>
      </c>
      <c r="H59" s="86" t="s">
        <v>202</v>
      </c>
      <c r="I59" s="86" t="s">
        <v>163</v>
      </c>
      <c r="J59">
        <f t="shared" si="2"/>
        <v>0</v>
      </c>
      <c r="K59">
        <f t="shared" si="3"/>
        <v>5</v>
      </c>
      <c r="L59" s="86"/>
      <c r="M59" s="84"/>
      <c r="N59" s="85"/>
    </row>
    <row r="60" spans="1:25">
      <c r="A60" s="86">
        <v>29</v>
      </c>
      <c r="B60" s="87">
        <v>44761</v>
      </c>
      <c r="C60" s="86" t="s">
        <v>209</v>
      </c>
      <c r="D60" s="86" t="s">
        <v>321</v>
      </c>
      <c r="E60" s="86" t="s">
        <v>57</v>
      </c>
      <c r="F60" s="86" t="s">
        <v>201</v>
      </c>
      <c r="G60" s="86">
        <v>20</v>
      </c>
      <c r="H60" s="86" t="s">
        <v>202</v>
      </c>
      <c r="I60" s="86" t="s">
        <v>154</v>
      </c>
      <c r="J60">
        <f t="shared" si="2"/>
        <v>20</v>
      </c>
      <c r="K60">
        <f t="shared" si="3"/>
        <v>0</v>
      </c>
      <c r="L60" s="86"/>
      <c r="M60" s="84"/>
      <c r="N60" s="85"/>
    </row>
    <row r="61" spans="1:25">
      <c r="A61" s="86">
        <v>29</v>
      </c>
      <c r="B61" s="87">
        <v>44761</v>
      </c>
      <c r="C61" s="86" t="s">
        <v>209</v>
      </c>
      <c r="D61" s="86" t="s">
        <v>322</v>
      </c>
      <c r="E61" s="86" t="s">
        <v>60</v>
      </c>
      <c r="F61" s="86" t="s">
        <v>204</v>
      </c>
      <c r="G61" s="86">
        <v>1</v>
      </c>
      <c r="H61" s="86" t="s">
        <v>202</v>
      </c>
      <c r="I61" s="86" t="s">
        <v>162</v>
      </c>
      <c r="J61">
        <f t="shared" si="2"/>
        <v>0</v>
      </c>
      <c r="K61">
        <f t="shared" si="3"/>
        <v>1</v>
      </c>
      <c r="L61" s="86"/>
      <c r="M61" s="84"/>
      <c r="N61" s="85"/>
    </row>
    <row r="62" spans="1:25">
      <c r="A62" s="86">
        <v>29</v>
      </c>
      <c r="B62" s="87">
        <v>44761</v>
      </c>
      <c r="C62" s="86" t="s">
        <v>209</v>
      </c>
      <c r="D62" s="86" t="s">
        <v>322</v>
      </c>
      <c r="E62" s="86" t="s">
        <v>60</v>
      </c>
      <c r="F62" s="86" t="s">
        <v>201</v>
      </c>
      <c r="G62" s="86">
        <v>2</v>
      </c>
      <c r="H62" s="86" t="s">
        <v>202</v>
      </c>
      <c r="I62" s="86" t="s">
        <v>162</v>
      </c>
      <c r="J62">
        <f t="shared" si="2"/>
        <v>2</v>
      </c>
      <c r="K62">
        <f t="shared" si="3"/>
        <v>0</v>
      </c>
      <c r="L62" s="86"/>
      <c r="M62" s="84"/>
      <c r="N62" s="85"/>
    </row>
    <row r="63" spans="1:25">
      <c r="A63" s="86">
        <v>29</v>
      </c>
      <c r="B63" s="87">
        <v>44761</v>
      </c>
      <c r="C63" s="86" t="s">
        <v>209</v>
      </c>
      <c r="D63" s="86" t="s">
        <v>323</v>
      </c>
      <c r="E63" s="86" t="s">
        <v>57</v>
      </c>
      <c r="F63" s="86" t="s">
        <v>201</v>
      </c>
      <c r="G63" s="86">
        <v>7</v>
      </c>
      <c r="H63" s="86" t="s">
        <v>202</v>
      </c>
      <c r="I63" s="86" t="s">
        <v>158</v>
      </c>
      <c r="J63">
        <f t="shared" si="2"/>
        <v>7</v>
      </c>
      <c r="K63">
        <f t="shared" si="3"/>
        <v>0</v>
      </c>
      <c r="L63" s="86"/>
      <c r="M63" s="84"/>
      <c r="N63" s="85"/>
    </row>
    <row r="64" spans="1:25">
      <c r="A64" s="86">
        <v>29</v>
      </c>
      <c r="B64" s="87">
        <v>44761</v>
      </c>
      <c r="C64" s="86" t="s">
        <v>209</v>
      </c>
      <c r="D64" s="86" t="s">
        <v>236</v>
      </c>
      <c r="E64" s="86" t="s">
        <v>57</v>
      </c>
      <c r="F64" s="86" t="s">
        <v>201</v>
      </c>
      <c r="G64" s="86">
        <v>89</v>
      </c>
      <c r="H64" s="86" t="s">
        <v>202</v>
      </c>
      <c r="I64" s="86" t="s">
        <v>153</v>
      </c>
      <c r="J64">
        <f t="shared" si="2"/>
        <v>89</v>
      </c>
      <c r="K64">
        <f t="shared" si="3"/>
        <v>0</v>
      </c>
      <c r="L64" s="86"/>
      <c r="M64" s="84"/>
      <c r="N64" s="85"/>
    </row>
    <row r="65" spans="1:25">
      <c r="A65" s="86">
        <v>29</v>
      </c>
      <c r="B65" s="87">
        <v>44761</v>
      </c>
      <c r="C65" s="86" t="s">
        <v>209</v>
      </c>
      <c r="D65" s="86" t="s">
        <v>236</v>
      </c>
      <c r="E65" s="86" t="s">
        <v>57</v>
      </c>
      <c r="F65" s="86" t="s">
        <v>204</v>
      </c>
      <c r="G65" s="86">
        <v>10</v>
      </c>
      <c r="H65" s="86" t="s">
        <v>202</v>
      </c>
      <c r="I65" s="86" t="s">
        <v>153</v>
      </c>
      <c r="J65">
        <f t="shared" si="2"/>
        <v>0</v>
      </c>
      <c r="K65">
        <f t="shared" si="3"/>
        <v>10</v>
      </c>
      <c r="L65" s="86"/>
      <c r="M65" s="84"/>
      <c r="N65" s="85"/>
      <c r="Y65" s="80"/>
    </row>
    <row r="66" spans="1:25">
      <c r="A66" s="86">
        <v>29</v>
      </c>
      <c r="B66" s="87">
        <v>44761</v>
      </c>
      <c r="C66" s="86" t="s">
        <v>209</v>
      </c>
      <c r="D66" s="86" t="s">
        <v>324</v>
      </c>
      <c r="E66" s="86" t="s">
        <v>57</v>
      </c>
      <c r="F66" s="86" t="s">
        <v>201</v>
      </c>
      <c r="G66" s="86">
        <v>24</v>
      </c>
      <c r="H66" s="86" t="s">
        <v>202</v>
      </c>
      <c r="I66" s="86" t="s">
        <v>161</v>
      </c>
      <c r="J66">
        <f t="shared" ref="J66:J97" si="4">IF(F66="Culex tarsalis",G66,0)</f>
        <v>24</v>
      </c>
      <c r="K66">
        <f t="shared" ref="K66:K97" si="5">IF(F66="Culex pipiens",G66,0)</f>
        <v>0</v>
      </c>
      <c r="L66" s="86"/>
      <c r="M66" s="84"/>
      <c r="N66" s="85"/>
    </row>
    <row r="67" spans="1:25">
      <c r="A67" s="86">
        <v>29</v>
      </c>
      <c r="B67" s="87">
        <v>44761</v>
      </c>
      <c r="C67" s="86" t="s">
        <v>209</v>
      </c>
      <c r="D67" s="86" t="s">
        <v>237</v>
      </c>
      <c r="E67" s="86" t="s">
        <v>57</v>
      </c>
      <c r="F67" s="86" t="s">
        <v>204</v>
      </c>
      <c r="G67" s="86">
        <v>7</v>
      </c>
      <c r="H67" s="86" t="s">
        <v>202</v>
      </c>
      <c r="I67" s="86" t="s">
        <v>155</v>
      </c>
      <c r="J67">
        <f t="shared" si="4"/>
        <v>0</v>
      </c>
      <c r="K67">
        <f t="shared" si="5"/>
        <v>7</v>
      </c>
      <c r="L67" s="86"/>
      <c r="M67" s="84"/>
      <c r="N67" s="85"/>
    </row>
    <row r="68" spans="1:25">
      <c r="A68" s="86">
        <v>29</v>
      </c>
      <c r="B68" s="87">
        <v>44761</v>
      </c>
      <c r="C68" s="86" t="s">
        <v>209</v>
      </c>
      <c r="D68" s="86" t="s">
        <v>237</v>
      </c>
      <c r="E68" s="86" t="s">
        <v>57</v>
      </c>
      <c r="F68" s="86" t="s">
        <v>201</v>
      </c>
      <c r="G68" s="86">
        <v>62</v>
      </c>
      <c r="H68" s="86" t="s">
        <v>202</v>
      </c>
      <c r="I68" s="86" t="s">
        <v>155</v>
      </c>
      <c r="J68">
        <f t="shared" si="4"/>
        <v>62</v>
      </c>
      <c r="K68">
        <f t="shared" si="5"/>
        <v>0</v>
      </c>
      <c r="L68" s="86"/>
      <c r="M68" s="84"/>
      <c r="N68" s="85"/>
    </row>
    <row r="69" spans="1:25">
      <c r="A69" s="86">
        <v>29</v>
      </c>
      <c r="B69" s="87">
        <v>44762</v>
      </c>
      <c r="C69" s="86" t="s">
        <v>209</v>
      </c>
      <c r="D69" s="86" t="s">
        <v>238</v>
      </c>
      <c r="E69" s="86" t="s">
        <v>60</v>
      </c>
      <c r="F69" s="86" t="s">
        <v>201</v>
      </c>
      <c r="G69" s="86">
        <v>56</v>
      </c>
      <c r="H69" s="86" t="s">
        <v>202</v>
      </c>
      <c r="I69" s="86" t="s">
        <v>165</v>
      </c>
      <c r="J69">
        <f t="shared" si="4"/>
        <v>56</v>
      </c>
      <c r="K69">
        <f t="shared" si="5"/>
        <v>0</v>
      </c>
      <c r="L69" s="86"/>
      <c r="M69" s="84"/>
      <c r="N69" s="85"/>
    </row>
    <row r="70" spans="1:25">
      <c r="A70" s="86">
        <v>29</v>
      </c>
      <c r="B70" s="87">
        <v>44762</v>
      </c>
      <c r="C70" s="86" t="s">
        <v>209</v>
      </c>
      <c r="D70" s="86" t="s">
        <v>238</v>
      </c>
      <c r="E70" s="86" t="s">
        <v>60</v>
      </c>
      <c r="F70" s="86" t="s">
        <v>204</v>
      </c>
      <c r="G70" s="86">
        <v>16</v>
      </c>
      <c r="H70" s="86" t="s">
        <v>202</v>
      </c>
      <c r="I70" s="86" t="s">
        <v>165</v>
      </c>
      <c r="J70">
        <f t="shared" si="4"/>
        <v>0</v>
      </c>
      <c r="K70">
        <f t="shared" si="5"/>
        <v>16</v>
      </c>
      <c r="L70" s="86"/>
      <c r="M70" s="84"/>
      <c r="N70" s="85"/>
    </row>
    <row r="71" spans="1:25">
      <c r="A71" s="86">
        <v>29</v>
      </c>
      <c r="B71" s="87">
        <v>44762</v>
      </c>
      <c r="C71" s="86" t="s">
        <v>209</v>
      </c>
      <c r="D71" s="86" t="s">
        <v>239</v>
      </c>
      <c r="E71" s="86" t="s">
        <v>59</v>
      </c>
      <c r="F71" s="86" t="s">
        <v>201</v>
      </c>
      <c r="G71" s="86">
        <v>109</v>
      </c>
      <c r="H71" s="86" t="s">
        <v>202</v>
      </c>
      <c r="I71" s="86" t="s">
        <v>166</v>
      </c>
      <c r="J71">
        <f t="shared" si="4"/>
        <v>109</v>
      </c>
      <c r="K71">
        <f t="shared" si="5"/>
        <v>0</v>
      </c>
      <c r="L71" s="86"/>
      <c r="M71" s="84"/>
      <c r="N71" s="85"/>
    </row>
    <row r="72" spans="1:25">
      <c r="A72" s="86">
        <v>29</v>
      </c>
      <c r="B72" s="87">
        <v>44762</v>
      </c>
      <c r="C72" s="86" t="s">
        <v>209</v>
      </c>
      <c r="D72" s="86" t="s">
        <v>239</v>
      </c>
      <c r="E72" s="86" t="s">
        <v>59</v>
      </c>
      <c r="F72" s="86" t="s">
        <v>204</v>
      </c>
      <c r="G72" s="86">
        <v>4</v>
      </c>
      <c r="H72" s="86" t="s">
        <v>202</v>
      </c>
      <c r="I72" s="86" t="s">
        <v>166</v>
      </c>
      <c r="J72">
        <f t="shared" si="4"/>
        <v>0</v>
      </c>
      <c r="K72">
        <f t="shared" si="5"/>
        <v>4</v>
      </c>
      <c r="L72" s="86"/>
      <c r="M72" s="84"/>
      <c r="N72" s="85"/>
    </row>
    <row r="73" spans="1:25">
      <c r="A73" s="86">
        <v>29</v>
      </c>
      <c r="B73" s="87">
        <v>44762</v>
      </c>
      <c r="C73" s="86" t="s">
        <v>209</v>
      </c>
      <c r="D73" s="86" t="s">
        <v>240</v>
      </c>
      <c r="E73" s="86" t="s">
        <v>60</v>
      </c>
      <c r="F73" s="86" t="s">
        <v>201</v>
      </c>
      <c r="G73" s="86">
        <v>216</v>
      </c>
      <c r="H73" s="86" t="s">
        <v>202</v>
      </c>
      <c r="I73" s="86" t="s">
        <v>174</v>
      </c>
      <c r="J73">
        <f t="shared" si="4"/>
        <v>216</v>
      </c>
      <c r="K73">
        <f t="shared" si="5"/>
        <v>0</v>
      </c>
      <c r="L73" s="86"/>
      <c r="M73" s="84"/>
      <c r="N73" s="85"/>
    </row>
    <row r="74" spans="1:25">
      <c r="A74" s="86">
        <v>29</v>
      </c>
      <c r="B74" s="87">
        <v>44762</v>
      </c>
      <c r="C74" s="86" t="s">
        <v>209</v>
      </c>
      <c r="D74" s="86" t="s">
        <v>240</v>
      </c>
      <c r="E74" s="86" t="s">
        <v>60</v>
      </c>
      <c r="F74" s="86" t="s">
        <v>204</v>
      </c>
      <c r="G74" s="86">
        <v>8</v>
      </c>
      <c r="H74" s="86" t="s">
        <v>202</v>
      </c>
      <c r="I74" s="86" t="s">
        <v>174</v>
      </c>
      <c r="J74">
        <f t="shared" si="4"/>
        <v>0</v>
      </c>
      <c r="K74">
        <f t="shared" si="5"/>
        <v>8</v>
      </c>
      <c r="L74" s="86"/>
      <c r="M74" s="84"/>
      <c r="N74" s="85"/>
    </row>
    <row r="75" spans="1:25">
      <c r="A75" s="86">
        <v>29</v>
      </c>
      <c r="B75" s="87">
        <v>44762</v>
      </c>
      <c r="C75" s="86" t="s">
        <v>209</v>
      </c>
      <c r="D75" s="86" t="s">
        <v>241</v>
      </c>
      <c r="E75" s="86" t="s">
        <v>59</v>
      </c>
      <c r="F75" s="86" t="s">
        <v>201</v>
      </c>
      <c r="G75" s="86">
        <v>51</v>
      </c>
      <c r="H75" s="86" t="s">
        <v>202</v>
      </c>
      <c r="I75" s="86" t="s">
        <v>167</v>
      </c>
      <c r="J75">
        <f t="shared" si="4"/>
        <v>51</v>
      </c>
      <c r="K75">
        <f t="shared" si="5"/>
        <v>0</v>
      </c>
      <c r="L75" s="86"/>
      <c r="M75" s="84"/>
      <c r="N75" s="85"/>
    </row>
    <row r="76" spans="1:25">
      <c r="A76" s="86">
        <v>29</v>
      </c>
      <c r="B76" s="87">
        <v>44762</v>
      </c>
      <c r="C76" s="86" t="s">
        <v>209</v>
      </c>
      <c r="D76" s="86" t="s">
        <v>241</v>
      </c>
      <c r="E76" s="86" t="s">
        <v>59</v>
      </c>
      <c r="F76" s="86" t="s">
        <v>204</v>
      </c>
      <c r="G76" s="86">
        <v>1</v>
      </c>
      <c r="H76" s="86" t="s">
        <v>202</v>
      </c>
      <c r="I76" s="86" t="s">
        <v>167</v>
      </c>
      <c r="J76">
        <f t="shared" si="4"/>
        <v>0</v>
      </c>
      <c r="K76">
        <f t="shared" si="5"/>
        <v>1</v>
      </c>
      <c r="L76" s="86"/>
      <c r="M76" s="84"/>
      <c r="N76" s="85"/>
    </row>
    <row r="77" spans="1:25">
      <c r="A77" s="86">
        <v>29</v>
      </c>
      <c r="B77" s="87">
        <v>44762</v>
      </c>
      <c r="C77" s="86" t="s">
        <v>209</v>
      </c>
      <c r="D77" s="86" t="s">
        <v>242</v>
      </c>
      <c r="E77" s="86" t="s">
        <v>60</v>
      </c>
      <c r="F77" s="86" t="s">
        <v>201</v>
      </c>
      <c r="G77" s="86">
        <v>8</v>
      </c>
      <c r="H77" s="86" t="s">
        <v>202</v>
      </c>
      <c r="I77" s="86" t="s">
        <v>173</v>
      </c>
      <c r="J77">
        <f t="shared" si="4"/>
        <v>8</v>
      </c>
      <c r="K77">
        <f t="shared" si="5"/>
        <v>0</v>
      </c>
      <c r="L77" s="86"/>
      <c r="M77" s="84"/>
      <c r="N77" s="85"/>
    </row>
    <row r="78" spans="1:25">
      <c r="A78" s="86">
        <v>29</v>
      </c>
      <c r="B78" s="87">
        <v>44762</v>
      </c>
      <c r="C78" s="86" t="s">
        <v>209</v>
      </c>
      <c r="D78" s="86" t="s">
        <v>325</v>
      </c>
      <c r="E78" s="86" t="s">
        <v>60</v>
      </c>
      <c r="F78" s="86" t="s">
        <v>201</v>
      </c>
      <c r="G78" s="86">
        <v>9</v>
      </c>
      <c r="H78" s="86" t="s">
        <v>202</v>
      </c>
      <c r="I78" s="86" t="s">
        <v>169</v>
      </c>
      <c r="J78">
        <f t="shared" si="4"/>
        <v>9</v>
      </c>
      <c r="K78">
        <f t="shared" si="5"/>
        <v>0</v>
      </c>
      <c r="L78" s="86"/>
      <c r="M78" s="84"/>
      <c r="N78" s="85"/>
    </row>
    <row r="79" spans="1:25">
      <c r="A79" s="86">
        <v>29</v>
      </c>
      <c r="B79" s="87">
        <v>44762</v>
      </c>
      <c r="C79" s="86" t="s">
        <v>209</v>
      </c>
      <c r="D79" s="86" t="s">
        <v>325</v>
      </c>
      <c r="E79" s="86" t="s">
        <v>60</v>
      </c>
      <c r="F79" s="86" t="s">
        <v>204</v>
      </c>
      <c r="G79" s="86">
        <v>5</v>
      </c>
      <c r="H79" s="86" t="s">
        <v>202</v>
      </c>
      <c r="I79" s="86" t="s">
        <v>169</v>
      </c>
      <c r="J79">
        <f t="shared" si="4"/>
        <v>0</v>
      </c>
      <c r="K79">
        <f t="shared" si="5"/>
        <v>5</v>
      </c>
      <c r="L79" s="86"/>
      <c r="M79" s="84"/>
      <c r="N79" s="85"/>
    </row>
    <row r="80" spans="1:25">
      <c r="A80" s="86">
        <v>29</v>
      </c>
      <c r="B80" s="87">
        <v>44762</v>
      </c>
      <c r="C80" s="86" t="s">
        <v>209</v>
      </c>
      <c r="D80" s="86" t="s">
        <v>243</v>
      </c>
      <c r="E80" s="86" t="s">
        <v>60</v>
      </c>
      <c r="F80" s="86" t="s">
        <v>201</v>
      </c>
      <c r="G80" s="86">
        <v>26</v>
      </c>
      <c r="H80" s="86" t="s">
        <v>202</v>
      </c>
      <c r="I80" s="86" t="s">
        <v>171</v>
      </c>
      <c r="J80">
        <f t="shared" si="4"/>
        <v>26</v>
      </c>
      <c r="K80">
        <f t="shared" si="5"/>
        <v>0</v>
      </c>
      <c r="L80" s="86"/>
      <c r="M80" s="84"/>
      <c r="N80" s="85"/>
    </row>
    <row r="81" spans="1:14">
      <c r="A81" s="86">
        <v>29</v>
      </c>
      <c r="B81" s="87">
        <v>44762</v>
      </c>
      <c r="C81" s="86" t="s">
        <v>209</v>
      </c>
      <c r="D81" s="86" t="s">
        <v>244</v>
      </c>
      <c r="E81" s="86" t="s">
        <v>60</v>
      </c>
      <c r="F81" s="86" t="s">
        <v>201</v>
      </c>
      <c r="G81" s="86">
        <v>15</v>
      </c>
      <c r="H81" s="86" t="s">
        <v>202</v>
      </c>
      <c r="I81" s="86" t="s">
        <v>172</v>
      </c>
      <c r="J81">
        <f t="shared" si="4"/>
        <v>15</v>
      </c>
      <c r="K81">
        <f t="shared" si="5"/>
        <v>0</v>
      </c>
      <c r="L81" s="86"/>
      <c r="M81" s="84"/>
      <c r="N81" s="85"/>
    </row>
    <row r="82" spans="1:14">
      <c r="A82" s="86">
        <v>29</v>
      </c>
      <c r="B82" s="72">
        <v>44762</v>
      </c>
      <c r="C82" s="86" t="s">
        <v>209</v>
      </c>
      <c r="D82" s="86" t="s">
        <v>244</v>
      </c>
      <c r="E82" s="86" t="s">
        <v>60</v>
      </c>
      <c r="F82" s="86" t="s">
        <v>204</v>
      </c>
      <c r="G82" s="86">
        <v>2</v>
      </c>
      <c r="H82" s="86" t="s">
        <v>202</v>
      </c>
      <c r="I82" s="86" t="s">
        <v>172</v>
      </c>
      <c r="J82">
        <f t="shared" si="4"/>
        <v>0</v>
      </c>
      <c r="K82">
        <f t="shared" si="5"/>
        <v>2</v>
      </c>
      <c r="L82" s="86"/>
      <c r="M82" s="84"/>
      <c r="N82" s="85"/>
    </row>
    <row r="83" spans="1:14">
      <c r="A83" s="86">
        <v>29</v>
      </c>
      <c r="B83" s="72">
        <v>44762</v>
      </c>
      <c r="C83" s="86" t="s">
        <v>209</v>
      </c>
      <c r="D83" s="86" t="s">
        <v>245</v>
      </c>
      <c r="E83" s="86" t="s">
        <v>60</v>
      </c>
      <c r="F83" s="86" t="s">
        <v>204</v>
      </c>
      <c r="G83" s="86">
        <v>3</v>
      </c>
      <c r="H83" s="86" t="s">
        <v>202</v>
      </c>
      <c r="I83" s="86" t="s">
        <v>170</v>
      </c>
      <c r="J83">
        <f t="shared" si="4"/>
        <v>0</v>
      </c>
      <c r="K83">
        <f t="shared" si="5"/>
        <v>3</v>
      </c>
      <c r="L83" s="86"/>
      <c r="M83" s="84"/>
      <c r="N83" s="85"/>
    </row>
    <row r="84" spans="1:14">
      <c r="A84" s="86">
        <v>29</v>
      </c>
      <c r="B84" s="72">
        <v>44762</v>
      </c>
      <c r="C84" s="86" t="s">
        <v>209</v>
      </c>
      <c r="D84" s="86" t="s">
        <v>245</v>
      </c>
      <c r="E84" s="86" t="s">
        <v>60</v>
      </c>
      <c r="F84" s="86" t="s">
        <v>201</v>
      </c>
      <c r="G84" s="86">
        <v>92</v>
      </c>
      <c r="H84" s="86" t="s">
        <v>202</v>
      </c>
      <c r="I84" s="86" t="s">
        <v>170</v>
      </c>
      <c r="J84">
        <f t="shared" si="4"/>
        <v>92</v>
      </c>
      <c r="K84">
        <f t="shared" si="5"/>
        <v>0</v>
      </c>
      <c r="L84" s="86"/>
      <c r="M84" s="84"/>
      <c r="N84" s="85"/>
    </row>
    <row r="85" spans="1:14">
      <c r="A85" s="86">
        <v>29</v>
      </c>
      <c r="B85" s="87">
        <v>44759</v>
      </c>
      <c r="C85" s="86" t="s">
        <v>246</v>
      </c>
      <c r="D85" s="86" t="s">
        <v>247</v>
      </c>
      <c r="E85" s="86" t="s">
        <v>9</v>
      </c>
      <c r="F85" s="86" t="s">
        <v>204</v>
      </c>
      <c r="G85" s="86">
        <v>5</v>
      </c>
      <c r="H85" s="86" t="s">
        <v>202</v>
      </c>
      <c r="I85" s="86" t="s">
        <v>248</v>
      </c>
      <c r="J85">
        <f t="shared" si="4"/>
        <v>0</v>
      </c>
      <c r="K85">
        <f t="shared" si="5"/>
        <v>5</v>
      </c>
      <c r="L85" s="86"/>
      <c r="M85" s="84"/>
      <c r="N85" s="85"/>
    </row>
    <row r="86" spans="1:14">
      <c r="A86" s="86">
        <v>29</v>
      </c>
      <c r="B86" s="72">
        <v>44759</v>
      </c>
      <c r="C86" s="86" t="s">
        <v>246</v>
      </c>
      <c r="D86" s="86" t="s">
        <v>247</v>
      </c>
      <c r="E86" s="86" t="s">
        <v>9</v>
      </c>
      <c r="F86" s="86" t="s">
        <v>201</v>
      </c>
      <c r="G86" s="86">
        <v>234</v>
      </c>
      <c r="H86" s="86" t="s">
        <v>202</v>
      </c>
      <c r="I86" s="86" t="s">
        <v>248</v>
      </c>
      <c r="J86">
        <f t="shared" si="4"/>
        <v>234</v>
      </c>
      <c r="K86">
        <f t="shared" si="5"/>
        <v>0</v>
      </c>
      <c r="L86" s="86"/>
      <c r="M86" s="84"/>
      <c r="N86" s="85"/>
    </row>
    <row r="87" spans="1:14">
      <c r="A87" s="86">
        <v>29</v>
      </c>
      <c r="B87" s="72">
        <v>44759</v>
      </c>
      <c r="C87" s="86" t="s">
        <v>246</v>
      </c>
      <c r="D87" s="86" t="s">
        <v>249</v>
      </c>
      <c r="E87" s="86" t="s">
        <v>9</v>
      </c>
      <c r="F87" s="86" t="s">
        <v>201</v>
      </c>
      <c r="G87" s="86">
        <v>1</v>
      </c>
      <c r="H87" s="86" t="s">
        <v>202</v>
      </c>
      <c r="I87" s="86" t="s">
        <v>250</v>
      </c>
      <c r="J87">
        <f t="shared" si="4"/>
        <v>1</v>
      </c>
      <c r="K87">
        <f t="shared" si="5"/>
        <v>0</v>
      </c>
      <c r="L87" s="86"/>
      <c r="M87" s="84"/>
      <c r="N87" s="85"/>
    </row>
    <row r="88" spans="1:14">
      <c r="A88" s="86">
        <v>29</v>
      </c>
      <c r="B88" s="72">
        <v>44759</v>
      </c>
      <c r="C88" s="86" t="s">
        <v>246</v>
      </c>
      <c r="D88" s="86" t="s">
        <v>326</v>
      </c>
      <c r="E88" s="86" t="s">
        <v>9</v>
      </c>
      <c r="F88" s="86" t="s">
        <v>201</v>
      </c>
      <c r="G88" s="86">
        <v>107</v>
      </c>
      <c r="H88" s="86" t="s">
        <v>202</v>
      </c>
      <c r="I88" s="86" t="s">
        <v>109</v>
      </c>
      <c r="J88">
        <f t="shared" si="4"/>
        <v>107</v>
      </c>
      <c r="K88">
        <f t="shared" si="5"/>
        <v>0</v>
      </c>
      <c r="L88" s="86"/>
      <c r="M88" s="84"/>
      <c r="N88" s="85"/>
    </row>
    <row r="89" spans="1:14">
      <c r="A89" s="86">
        <v>29</v>
      </c>
      <c r="B89" s="72">
        <v>44759</v>
      </c>
      <c r="C89" s="86" t="s">
        <v>246</v>
      </c>
      <c r="D89" s="86" t="s">
        <v>326</v>
      </c>
      <c r="E89" s="86" t="s">
        <v>9</v>
      </c>
      <c r="F89" s="86" t="s">
        <v>204</v>
      </c>
      <c r="G89" s="86">
        <v>5</v>
      </c>
      <c r="H89" s="86" t="s">
        <v>202</v>
      </c>
      <c r="I89" s="86" t="s">
        <v>109</v>
      </c>
      <c r="J89">
        <f t="shared" si="4"/>
        <v>0</v>
      </c>
      <c r="K89">
        <f t="shared" si="5"/>
        <v>5</v>
      </c>
      <c r="L89" s="86"/>
      <c r="M89" s="84"/>
      <c r="N89" s="85"/>
    </row>
    <row r="90" spans="1:14">
      <c r="A90" s="86">
        <v>29</v>
      </c>
      <c r="B90" s="72">
        <v>44759</v>
      </c>
      <c r="C90" s="86" t="s">
        <v>246</v>
      </c>
      <c r="D90" s="86" t="s">
        <v>251</v>
      </c>
      <c r="E90" s="86" t="s">
        <v>9</v>
      </c>
      <c r="F90" s="86" t="s">
        <v>204</v>
      </c>
      <c r="G90" s="86">
        <v>4</v>
      </c>
      <c r="H90" s="86" t="s">
        <v>202</v>
      </c>
      <c r="I90" s="86" t="s">
        <v>252</v>
      </c>
      <c r="J90">
        <f t="shared" si="4"/>
        <v>0</v>
      </c>
      <c r="K90">
        <f t="shared" si="5"/>
        <v>4</v>
      </c>
      <c r="L90" s="86"/>
      <c r="M90" s="84"/>
      <c r="N90" s="85"/>
    </row>
    <row r="91" spans="1:14">
      <c r="A91" s="86">
        <v>29</v>
      </c>
      <c r="B91" s="72">
        <v>44759</v>
      </c>
      <c r="C91" s="86" t="s">
        <v>246</v>
      </c>
      <c r="D91" s="86" t="s">
        <v>251</v>
      </c>
      <c r="E91" s="86" t="s">
        <v>9</v>
      </c>
      <c r="F91" s="86" t="s">
        <v>201</v>
      </c>
      <c r="G91" s="86">
        <v>138</v>
      </c>
      <c r="H91" s="86" t="s">
        <v>202</v>
      </c>
      <c r="I91" s="86" t="s">
        <v>252</v>
      </c>
      <c r="J91">
        <f t="shared" si="4"/>
        <v>138</v>
      </c>
      <c r="K91">
        <f t="shared" si="5"/>
        <v>0</v>
      </c>
      <c r="L91" s="86"/>
      <c r="M91" s="84"/>
      <c r="N91" s="85"/>
    </row>
    <row r="92" spans="1:14">
      <c r="A92" s="86">
        <v>29</v>
      </c>
      <c r="B92" s="87">
        <v>44759</v>
      </c>
      <c r="C92" s="86" t="s">
        <v>246</v>
      </c>
      <c r="D92" s="86" t="s">
        <v>253</v>
      </c>
      <c r="E92" s="86" t="s">
        <v>9</v>
      </c>
      <c r="F92" s="86" t="s">
        <v>201</v>
      </c>
      <c r="G92" s="86">
        <v>168</v>
      </c>
      <c r="H92" s="86" t="s">
        <v>202</v>
      </c>
      <c r="I92" s="86" t="s">
        <v>254</v>
      </c>
      <c r="J92">
        <f t="shared" si="4"/>
        <v>168</v>
      </c>
      <c r="K92">
        <f t="shared" si="5"/>
        <v>0</v>
      </c>
      <c r="L92" s="86"/>
      <c r="M92" s="84"/>
      <c r="N92" s="85"/>
    </row>
    <row r="93" spans="1:14">
      <c r="A93" s="86">
        <v>29</v>
      </c>
      <c r="B93" s="87">
        <v>44759</v>
      </c>
      <c r="C93" s="86" t="s">
        <v>246</v>
      </c>
      <c r="D93" s="86" t="s">
        <v>255</v>
      </c>
      <c r="E93" s="86" t="s">
        <v>9</v>
      </c>
      <c r="F93" s="86" t="s">
        <v>201</v>
      </c>
      <c r="G93" s="86">
        <v>45</v>
      </c>
      <c r="H93" s="86" t="s">
        <v>202</v>
      </c>
      <c r="I93" s="86" t="s">
        <v>256</v>
      </c>
      <c r="J93">
        <f t="shared" si="4"/>
        <v>45</v>
      </c>
      <c r="K93">
        <f t="shared" si="5"/>
        <v>0</v>
      </c>
      <c r="L93" s="86"/>
      <c r="M93" s="84"/>
      <c r="N93" s="85"/>
    </row>
    <row r="94" spans="1:14">
      <c r="A94" s="86">
        <v>29</v>
      </c>
      <c r="B94" s="87">
        <v>44759</v>
      </c>
      <c r="C94" s="86" t="s">
        <v>246</v>
      </c>
      <c r="D94" s="86" t="s">
        <v>255</v>
      </c>
      <c r="E94" s="86" t="s">
        <v>9</v>
      </c>
      <c r="F94" s="86" t="s">
        <v>204</v>
      </c>
      <c r="G94" s="86">
        <v>17</v>
      </c>
      <c r="H94" s="86" t="s">
        <v>202</v>
      </c>
      <c r="I94" s="86" t="s">
        <v>256</v>
      </c>
      <c r="J94">
        <f t="shared" si="4"/>
        <v>0</v>
      </c>
      <c r="K94">
        <f t="shared" si="5"/>
        <v>17</v>
      </c>
      <c r="L94" s="86"/>
      <c r="M94" s="84"/>
      <c r="N94" s="85"/>
    </row>
    <row r="95" spans="1:14">
      <c r="A95" s="86">
        <v>29</v>
      </c>
      <c r="B95" s="87">
        <v>44759</v>
      </c>
      <c r="C95" s="86" t="s">
        <v>246</v>
      </c>
      <c r="D95" s="86" t="s">
        <v>257</v>
      </c>
      <c r="E95" s="86" t="s">
        <v>9</v>
      </c>
      <c r="F95" s="86" t="s">
        <v>201</v>
      </c>
      <c r="G95" s="86">
        <v>5</v>
      </c>
      <c r="H95" s="86" t="s">
        <v>202</v>
      </c>
      <c r="I95" s="86" t="s">
        <v>258</v>
      </c>
      <c r="J95">
        <f t="shared" si="4"/>
        <v>5</v>
      </c>
      <c r="K95">
        <f t="shared" si="5"/>
        <v>0</v>
      </c>
      <c r="L95" s="86"/>
      <c r="M95" s="84"/>
      <c r="N95" s="85"/>
    </row>
    <row r="96" spans="1:14">
      <c r="A96" s="86">
        <v>29</v>
      </c>
      <c r="B96" s="87">
        <v>44759</v>
      </c>
      <c r="C96" s="86" t="s">
        <v>246</v>
      </c>
      <c r="D96" s="86" t="s">
        <v>259</v>
      </c>
      <c r="E96" s="86" t="s">
        <v>9</v>
      </c>
      <c r="F96" s="86" t="s">
        <v>201</v>
      </c>
      <c r="G96" s="86">
        <v>50</v>
      </c>
      <c r="H96" s="86" t="s">
        <v>202</v>
      </c>
      <c r="I96" s="86" t="s">
        <v>113</v>
      </c>
      <c r="J96">
        <f t="shared" si="4"/>
        <v>50</v>
      </c>
      <c r="K96">
        <f t="shared" si="5"/>
        <v>0</v>
      </c>
      <c r="L96" s="86"/>
      <c r="M96" s="84"/>
      <c r="N96" s="85"/>
    </row>
    <row r="97" spans="1:14">
      <c r="A97" s="86">
        <v>29</v>
      </c>
      <c r="B97" s="87">
        <v>44759</v>
      </c>
      <c r="C97" s="86" t="s">
        <v>246</v>
      </c>
      <c r="D97" s="86" t="s">
        <v>260</v>
      </c>
      <c r="E97" s="86" t="s">
        <v>9</v>
      </c>
      <c r="F97" s="86" t="s">
        <v>204</v>
      </c>
      <c r="G97" s="86">
        <v>3</v>
      </c>
      <c r="H97" s="86" t="s">
        <v>202</v>
      </c>
      <c r="I97" s="86" t="s">
        <v>261</v>
      </c>
      <c r="J97">
        <f t="shared" si="4"/>
        <v>0</v>
      </c>
      <c r="K97">
        <f t="shared" si="5"/>
        <v>3</v>
      </c>
      <c r="L97" s="86"/>
      <c r="M97" s="84"/>
      <c r="N97" s="85"/>
    </row>
    <row r="98" spans="1:14">
      <c r="A98" s="86">
        <v>29</v>
      </c>
      <c r="B98" s="87">
        <v>44759</v>
      </c>
      <c r="C98" s="86" t="s">
        <v>246</v>
      </c>
      <c r="D98" s="86" t="s">
        <v>260</v>
      </c>
      <c r="E98" s="86" t="s">
        <v>9</v>
      </c>
      <c r="F98" s="86" t="s">
        <v>201</v>
      </c>
      <c r="G98" s="86">
        <v>31</v>
      </c>
      <c r="H98" s="86" t="s">
        <v>202</v>
      </c>
      <c r="I98" s="86" t="s">
        <v>261</v>
      </c>
      <c r="J98">
        <f t="shared" ref="J98:J129" si="6">IF(F98="Culex tarsalis",G98,0)</f>
        <v>31</v>
      </c>
      <c r="K98">
        <f t="shared" ref="K98:K129" si="7">IF(F98="Culex pipiens",G98,0)</f>
        <v>0</v>
      </c>
      <c r="L98" s="86"/>
      <c r="N98" s="85"/>
    </row>
    <row r="99" spans="1:14">
      <c r="A99" s="86">
        <v>29</v>
      </c>
      <c r="B99" s="87">
        <v>44759</v>
      </c>
      <c r="C99" s="86" t="s">
        <v>246</v>
      </c>
      <c r="D99" s="86" t="s">
        <v>262</v>
      </c>
      <c r="E99" s="86" t="s">
        <v>9</v>
      </c>
      <c r="F99" s="86" t="s">
        <v>204</v>
      </c>
      <c r="G99" s="86">
        <v>40</v>
      </c>
      <c r="H99" s="86" t="s">
        <v>202</v>
      </c>
      <c r="I99" s="86" t="s">
        <v>263</v>
      </c>
      <c r="J99">
        <f t="shared" si="6"/>
        <v>0</v>
      </c>
      <c r="K99">
        <f t="shared" si="7"/>
        <v>40</v>
      </c>
      <c r="L99" s="86"/>
      <c r="N99" s="85"/>
    </row>
    <row r="100" spans="1:14">
      <c r="A100" s="86">
        <v>29</v>
      </c>
      <c r="B100" s="87">
        <v>44759</v>
      </c>
      <c r="C100" s="86" t="s">
        <v>246</v>
      </c>
      <c r="D100" s="86" t="s">
        <v>262</v>
      </c>
      <c r="E100" s="86" t="s">
        <v>9</v>
      </c>
      <c r="F100" s="86" t="s">
        <v>201</v>
      </c>
      <c r="G100" s="86">
        <v>40</v>
      </c>
      <c r="H100" s="86" t="s">
        <v>202</v>
      </c>
      <c r="I100" s="86" t="s">
        <v>263</v>
      </c>
      <c r="J100">
        <f t="shared" si="6"/>
        <v>40</v>
      </c>
      <c r="K100">
        <f t="shared" si="7"/>
        <v>0</v>
      </c>
      <c r="L100" s="86"/>
      <c r="N100" s="85"/>
    </row>
    <row r="101" spans="1:14">
      <c r="A101" s="86">
        <v>29</v>
      </c>
      <c r="B101" s="87">
        <v>44760</v>
      </c>
      <c r="C101" s="86" t="s">
        <v>246</v>
      </c>
      <c r="D101" s="86" t="s">
        <v>264</v>
      </c>
      <c r="E101" s="86" t="s">
        <v>9</v>
      </c>
      <c r="F101" s="86" t="s">
        <v>201</v>
      </c>
      <c r="G101" s="86">
        <v>91</v>
      </c>
      <c r="H101" s="86" t="s">
        <v>202</v>
      </c>
      <c r="I101" s="86" t="s">
        <v>265</v>
      </c>
      <c r="J101">
        <f t="shared" si="6"/>
        <v>91</v>
      </c>
      <c r="K101">
        <f t="shared" si="7"/>
        <v>0</v>
      </c>
      <c r="L101" s="86"/>
      <c r="N101" s="85"/>
    </row>
    <row r="102" spans="1:14">
      <c r="A102" s="86">
        <v>29</v>
      </c>
      <c r="B102" s="87">
        <v>44760</v>
      </c>
      <c r="C102" s="86" t="s">
        <v>246</v>
      </c>
      <c r="D102" s="86" t="s">
        <v>264</v>
      </c>
      <c r="E102" s="86" t="s">
        <v>9</v>
      </c>
      <c r="F102" s="86" t="s">
        <v>204</v>
      </c>
      <c r="G102" s="86">
        <v>48</v>
      </c>
      <c r="H102" s="86" t="s">
        <v>202</v>
      </c>
      <c r="I102" s="86" t="s">
        <v>265</v>
      </c>
      <c r="J102">
        <f t="shared" si="6"/>
        <v>0</v>
      </c>
      <c r="K102">
        <f t="shared" si="7"/>
        <v>48</v>
      </c>
      <c r="L102" s="86"/>
      <c r="N102" s="85"/>
    </row>
    <row r="103" spans="1:14">
      <c r="A103" s="86">
        <v>29</v>
      </c>
      <c r="B103" s="87">
        <v>44760</v>
      </c>
      <c r="C103" s="86" t="s">
        <v>246</v>
      </c>
      <c r="D103" s="86" t="s">
        <v>266</v>
      </c>
      <c r="E103" s="86" t="s">
        <v>9</v>
      </c>
      <c r="F103" s="86" t="s">
        <v>204</v>
      </c>
      <c r="G103" s="86">
        <v>1</v>
      </c>
      <c r="H103" s="86" t="s">
        <v>202</v>
      </c>
      <c r="I103" s="86" t="s">
        <v>267</v>
      </c>
      <c r="J103">
        <f t="shared" si="6"/>
        <v>0</v>
      </c>
      <c r="K103">
        <f t="shared" si="7"/>
        <v>1</v>
      </c>
      <c r="L103" s="86"/>
      <c r="N103" s="85"/>
    </row>
    <row r="104" spans="1:14">
      <c r="A104" s="86">
        <v>29</v>
      </c>
      <c r="B104" s="87">
        <v>44760</v>
      </c>
      <c r="C104" s="86" t="s">
        <v>246</v>
      </c>
      <c r="D104" s="86" t="s">
        <v>266</v>
      </c>
      <c r="E104" s="86" t="s">
        <v>9</v>
      </c>
      <c r="F104" s="86" t="s">
        <v>201</v>
      </c>
      <c r="G104" s="86">
        <v>21</v>
      </c>
      <c r="H104" s="86" t="s">
        <v>202</v>
      </c>
      <c r="I104" s="86" t="s">
        <v>267</v>
      </c>
      <c r="J104">
        <f t="shared" si="6"/>
        <v>21</v>
      </c>
      <c r="K104">
        <f t="shared" si="7"/>
        <v>0</v>
      </c>
      <c r="L104" s="86"/>
      <c r="N104" s="85"/>
    </row>
    <row r="105" spans="1:14">
      <c r="A105" s="86">
        <v>29</v>
      </c>
      <c r="B105" s="87">
        <v>44760</v>
      </c>
      <c r="C105" s="86" t="s">
        <v>246</v>
      </c>
      <c r="D105" s="86" t="s">
        <v>327</v>
      </c>
      <c r="E105" s="86" t="s">
        <v>9</v>
      </c>
      <c r="F105" s="86" t="s">
        <v>201</v>
      </c>
      <c r="G105" s="86">
        <v>335</v>
      </c>
      <c r="H105" s="86" t="s">
        <v>202</v>
      </c>
      <c r="I105" s="86" t="s">
        <v>132</v>
      </c>
      <c r="J105">
        <f t="shared" si="6"/>
        <v>335</v>
      </c>
      <c r="K105">
        <f t="shared" si="7"/>
        <v>0</v>
      </c>
      <c r="L105" s="86"/>
      <c r="N105" s="85"/>
    </row>
    <row r="106" spans="1:14">
      <c r="A106" s="86">
        <v>29</v>
      </c>
      <c r="B106" s="87">
        <v>44760</v>
      </c>
      <c r="C106" s="86" t="s">
        <v>246</v>
      </c>
      <c r="D106" s="86" t="s">
        <v>327</v>
      </c>
      <c r="E106" s="86" t="s">
        <v>9</v>
      </c>
      <c r="F106" s="86" t="s">
        <v>204</v>
      </c>
      <c r="G106" s="86">
        <v>23</v>
      </c>
      <c r="H106" s="86" t="s">
        <v>202</v>
      </c>
      <c r="I106" s="86" t="s">
        <v>132</v>
      </c>
      <c r="J106">
        <f t="shared" si="6"/>
        <v>0</v>
      </c>
      <c r="K106">
        <f t="shared" si="7"/>
        <v>23</v>
      </c>
      <c r="L106" s="86"/>
      <c r="N106" s="85"/>
    </row>
    <row r="107" spans="1:14">
      <c r="A107" s="86">
        <v>29</v>
      </c>
      <c r="B107" s="87">
        <v>44760</v>
      </c>
      <c r="C107" s="86" t="s">
        <v>246</v>
      </c>
      <c r="D107" s="86" t="s">
        <v>268</v>
      </c>
      <c r="E107" s="86" t="s">
        <v>9</v>
      </c>
      <c r="F107" s="86" t="s">
        <v>201</v>
      </c>
      <c r="G107" s="86">
        <v>19</v>
      </c>
      <c r="H107" s="86" t="s">
        <v>202</v>
      </c>
      <c r="I107" s="86" t="s">
        <v>269</v>
      </c>
      <c r="J107">
        <f t="shared" si="6"/>
        <v>19</v>
      </c>
      <c r="K107">
        <f t="shared" si="7"/>
        <v>0</v>
      </c>
      <c r="L107" s="86"/>
      <c r="N107" s="85"/>
    </row>
    <row r="108" spans="1:14">
      <c r="A108" s="86">
        <v>29</v>
      </c>
      <c r="B108" s="87">
        <v>44760</v>
      </c>
      <c r="C108" s="86" t="s">
        <v>246</v>
      </c>
      <c r="D108" s="86" t="s">
        <v>268</v>
      </c>
      <c r="E108" s="86" t="s">
        <v>9</v>
      </c>
      <c r="F108" s="86" t="s">
        <v>204</v>
      </c>
      <c r="G108" s="86">
        <v>6</v>
      </c>
      <c r="H108" s="86" t="s">
        <v>202</v>
      </c>
      <c r="I108" s="86" t="s">
        <v>269</v>
      </c>
      <c r="J108">
        <f t="shared" si="6"/>
        <v>0</v>
      </c>
      <c r="K108">
        <f t="shared" si="7"/>
        <v>6</v>
      </c>
      <c r="L108" s="86"/>
      <c r="N108" s="85"/>
    </row>
    <row r="109" spans="1:14">
      <c r="A109" s="86">
        <v>29</v>
      </c>
      <c r="B109" s="87">
        <v>44760</v>
      </c>
      <c r="C109" s="86" t="s">
        <v>246</v>
      </c>
      <c r="D109" s="86" t="s">
        <v>270</v>
      </c>
      <c r="E109" s="86" t="s">
        <v>9</v>
      </c>
      <c r="F109" s="86" t="s">
        <v>201</v>
      </c>
      <c r="G109" s="86">
        <v>16</v>
      </c>
      <c r="H109" s="86" t="s">
        <v>202</v>
      </c>
      <c r="I109" s="86" t="s">
        <v>131</v>
      </c>
      <c r="J109">
        <f t="shared" si="6"/>
        <v>16</v>
      </c>
      <c r="K109">
        <f t="shared" si="7"/>
        <v>0</v>
      </c>
      <c r="L109" s="86"/>
      <c r="N109" s="85"/>
    </row>
    <row r="110" spans="1:14">
      <c r="A110" s="86">
        <v>29</v>
      </c>
      <c r="B110" s="87">
        <v>44760</v>
      </c>
      <c r="C110" s="86" t="s">
        <v>246</v>
      </c>
      <c r="D110" s="86" t="s">
        <v>270</v>
      </c>
      <c r="E110" s="86" t="s">
        <v>9</v>
      </c>
      <c r="F110" s="86" t="s">
        <v>204</v>
      </c>
      <c r="G110" s="86">
        <v>5</v>
      </c>
      <c r="H110" s="86" t="s">
        <v>202</v>
      </c>
      <c r="I110" s="86" t="s">
        <v>131</v>
      </c>
      <c r="J110">
        <f t="shared" si="6"/>
        <v>0</v>
      </c>
      <c r="K110">
        <f t="shared" si="7"/>
        <v>5</v>
      </c>
      <c r="L110" s="86"/>
      <c r="N110" s="85"/>
    </row>
    <row r="111" spans="1:14">
      <c r="A111" s="86">
        <v>29</v>
      </c>
      <c r="B111" s="87">
        <v>44760</v>
      </c>
      <c r="C111" s="86" t="s">
        <v>246</v>
      </c>
      <c r="D111" s="86" t="s">
        <v>271</v>
      </c>
      <c r="E111" s="86" t="s">
        <v>9</v>
      </c>
      <c r="F111" s="86" t="s">
        <v>201</v>
      </c>
      <c r="G111" s="86">
        <v>49</v>
      </c>
      <c r="H111" s="86" t="s">
        <v>202</v>
      </c>
      <c r="I111" s="86" t="s">
        <v>130</v>
      </c>
      <c r="J111">
        <f t="shared" si="6"/>
        <v>49</v>
      </c>
      <c r="K111">
        <f t="shared" si="7"/>
        <v>0</v>
      </c>
      <c r="L111" s="86"/>
      <c r="N111" s="85"/>
    </row>
    <row r="112" spans="1:14">
      <c r="A112" s="86">
        <v>29</v>
      </c>
      <c r="B112" s="87">
        <v>44760</v>
      </c>
      <c r="C112" s="86" t="s">
        <v>246</v>
      </c>
      <c r="D112" s="86" t="s">
        <v>272</v>
      </c>
      <c r="E112" s="86" t="s">
        <v>9</v>
      </c>
      <c r="F112" s="86" t="s">
        <v>204</v>
      </c>
      <c r="G112" s="86">
        <v>32</v>
      </c>
      <c r="H112" s="86" t="s">
        <v>202</v>
      </c>
      <c r="I112" s="86" t="s">
        <v>273</v>
      </c>
      <c r="J112">
        <f t="shared" si="6"/>
        <v>0</v>
      </c>
      <c r="K112">
        <f t="shared" si="7"/>
        <v>32</v>
      </c>
      <c r="L112" s="86"/>
      <c r="N112" s="85"/>
    </row>
    <row r="113" spans="1:14">
      <c r="A113" s="86">
        <v>29</v>
      </c>
      <c r="B113" s="87">
        <v>44760</v>
      </c>
      <c r="C113" s="86" t="s">
        <v>246</v>
      </c>
      <c r="D113" s="86" t="s">
        <v>272</v>
      </c>
      <c r="E113" s="86" t="s">
        <v>9</v>
      </c>
      <c r="F113" s="86" t="s">
        <v>201</v>
      </c>
      <c r="G113" s="86">
        <v>108</v>
      </c>
      <c r="H113" s="86" t="s">
        <v>202</v>
      </c>
      <c r="I113" s="86" t="s">
        <v>273</v>
      </c>
      <c r="J113">
        <f t="shared" si="6"/>
        <v>108</v>
      </c>
      <c r="K113">
        <f t="shared" si="7"/>
        <v>0</v>
      </c>
      <c r="L113" s="86"/>
      <c r="N113" s="85"/>
    </row>
    <row r="114" spans="1:14">
      <c r="A114" s="86">
        <v>29</v>
      </c>
      <c r="B114" s="87">
        <v>44760</v>
      </c>
      <c r="C114" s="86" t="s">
        <v>246</v>
      </c>
      <c r="D114" s="86" t="s">
        <v>274</v>
      </c>
      <c r="E114" s="86" t="s">
        <v>9</v>
      </c>
      <c r="F114" s="86" t="s">
        <v>201</v>
      </c>
      <c r="G114" s="86">
        <v>48</v>
      </c>
      <c r="H114" s="86" t="s">
        <v>202</v>
      </c>
      <c r="I114" s="86" t="s">
        <v>275</v>
      </c>
      <c r="J114">
        <f t="shared" si="6"/>
        <v>48</v>
      </c>
      <c r="K114">
        <f t="shared" si="7"/>
        <v>0</v>
      </c>
      <c r="L114" s="86"/>
      <c r="N114" s="85"/>
    </row>
    <row r="115" spans="1:14">
      <c r="A115" s="86">
        <v>29</v>
      </c>
      <c r="B115" s="87">
        <v>44760</v>
      </c>
      <c r="C115" s="86" t="s">
        <v>246</v>
      </c>
      <c r="D115" s="86" t="s">
        <v>276</v>
      </c>
      <c r="E115" s="86" t="s">
        <v>9</v>
      </c>
      <c r="F115" s="86" t="s">
        <v>201</v>
      </c>
      <c r="G115" s="86">
        <v>8</v>
      </c>
      <c r="H115" s="86" t="s">
        <v>202</v>
      </c>
      <c r="I115" s="86" t="s">
        <v>277</v>
      </c>
      <c r="J115">
        <f t="shared" si="6"/>
        <v>8</v>
      </c>
      <c r="K115">
        <f t="shared" si="7"/>
        <v>0</v>
      </c>
      <c r="L115" s="86"/>
      <c r="N115" s="85"/>
    </row>
    <row r="116" spans="1:14">
      <c r="A116" s="86">
        <v>29</v>
      </c>
      <c r="B116" s="87">
        <v>44760</v>
      </c>
      <c r="C116" s="86" t="s">
        <v>246</v>
      </c>
      <c r="D116" s="86" t="s">
        <v>276</v>
      </c>
      <c r="E116" s="86" t="s">
        <v>9</v>
      </c>
      <c r="F116" s="86" t="s">
        <v>204</v>
      </c>
      <c r="G116" s="86">
        <v>2</v>
      </c>
      <c r="H116" s="86" t="s">
        <v>202</v>
      </c>
      <c r="I116" s="86" t="s">
        <v>277</v>
      </c>
      <c r="J116">
        <f t="shared" si="6"/>
        <v>0</v>
      </c>
      <c r="K116">
        <f t="shared" si="7"/>
        <v>2</v>
      </c>
      <c r="L116" s="86"/>
      <c r="N116" s="85"/>
    </row>
    <row r="117" spans="1:14">
      <c r="A117" s="86">
        <v>29</v>
      </c>
      <c r="B117" s="87">
        <v>44760</v>
      </c>
      <c r="C117" s="86" t="s">
        <v>246</v>
      </c>
      <c r="D117" s="86" t="s">
        <v>328</v>
      </c>
      <c r="E117" s="86" t="s">
        <v>9</v>
      </c>
      <c r="F117" s="86" t="s">
        <v>201</v>
      </c>
      <c r="G117" s="86">
        <v>60</v>
      </c>
      <c r="H117" s="86" t="s">
        <v>202</v>
      </c>
      <c r="I117" s="86" t="s">
        <v>278</v>
      </c>
      <c r="J117">
        <f t="shared" si="6"/>
        <v>60</v>
      </c>
      <c r="K117">
        <f t="shared" si="7"/>
        <v>0</v>
      </c>
      <c r="L117" s="86"/>
      <c r="N117" s="85"/>
    </row>
    <row r="118" spans="1:14">
      <c r="A118" s="86">
        <v>29</v>
      </c>
      <c r="B118" s="87">
        <v>44760</v>
      </c>
      <c r="C118" s="86" t="s">
        <v>246</v>
      </c>
      <c r="D118" s="86" t="s">
        <v>279</v>
      </c>
      <c r="E118" s="86" t="s">
        <v>9</v>
      </c>
      <c r="F118" s="86" t="s">
        <v>201</v>
      </c>
      <c r="G118" s="86">
        <v>11</v>
      </c>
      <c r="H118" s="86" t="s">
        <v>202</v>
      </c>
      <c r="I118" s="86" t="s">
        <v>280</v>
      </c>
      <c r="J118">
        <f t="shared" si="6"/>
        <v>11</v>
      </c>
      <c r="K118">
        <f t="shared" si="7"/>
        <v>0</v>
      </c>
      <c r="L118" s="86"/>
      <c r="N118" s="85"/>
    </row>
    <row r="119" spans="1:14">
      <c r="A119" s="86">
        <v>29</v>
      </c>
      <c r="B119" s="87">
        <v>44761</v>
      </c>
      <c r="C119" s="86" t="s">
        <v>246</v>
      </c>
      <c r="D119" s="86" t="s">
        <v>281</v>
      </c>
      <c r="E119" s="86" t="s">
        <v>9</v>
      </c>
      <c r="F119" s="86" t="s">
        <v>201</v>
      </c>
      <c r="G119" s="86">
        <v>9</v>
      </c>
      <c r="H119" s="86" t="s">
        <v>202</v>
      </c>
      <c r="I119" s="86" t="s">
        <v>282</v>
      </c>
      <c r="J119">
        <f t="shared" si="6"/>
        <v>9</v>
      </c>
      <c r="K119">
        <f t="shared" si="7"/>
        <v>0</v>
      </c>
      <c r="L119" s="86"/>
      <c r="N119" s="85"/>
    </row>
    <row r="120" spans="1:14">
      <c r="A120" s="86">
        <v>29</v>
      </c>
      <c r="B120" s="87">
        <v>44761</v>
      </c>
      <c r="C120" s="86" t="s">
        <v>246</v>
      </c>
      <c r="D120" s="86" t="s">
        <v>283</v>
      </c>
      <c r="E120" s="86" t="s">
        <v>9</v>
      </c>
      <c r="F120" s="86" t="s">
        <v>204</v>
      </c>
      <c r="G120" s="86">
        <v>15</v>
      </c>
      <c r="H120" s="86" t="s">
        <v>202</v>
      </c>
      <c r="I120" s="86" t="s">
        <v>133</v>
      </c>
      <c r="J120">
        <f t="shared" si="6"/>
        <v>0</v>
      </c>
      <c r="K120">
        <f t="shared" si="7"/>
        <v>15</v>
      </c>
      <c r="L120" s="86"/>
      <c r="N120" s="85"/>
    </row>
    <row r="121" spans="1:14">
      <c r="A121" s="86">
        <v>29</v>
      </c>
      <c r="B121" s="87">
        <v>44761</v>
      </c>
      <c r="C121" s="86" t="s">
        <v>246</v>
      </c>
      <c r="D121" s="86" t="s">
        <v>283</v>
      </c>
      <c r="E121" s="86" t="s">
        <v>9</v>
      </c>
      <c r="F121" s="86" t="s">
        <v>201</v>
      </c>
      <c r="G121" s="86">
        <v>309</v>
      </c>
      <c r="H121" s="86" t="s">
        <v>202</v>
      </c>
      <c r="I121" s="86" t="s">
        <v>133</v>
      </c>
      <c r="J121">
        <f t="shared" si="6"/>
        <v>309</v>
      </c>
      <c r="K121">
        <f t="shared" si="7"/>
        <v>0</v>
      </c>
      <c r="L121" s="86"/>
      <c r="N121" s="85"/>
    </row>
    <row r="122" spans="1:14">
      <c r="A122" s="86">
        <v>29</v>
      </c>
      <c r="B122" s="87">
        <v>44761</v>
      </c>
      <c r="C122" s="86" t="s">
        <v>246</v>
      </c>
      <c r="D122" s="86" t="s">
        <v>284</v>
      </c>
      <c r="E122" s="86" t="s">
        <v>9</v>
      </c>
      <c r="F122" s="86" t="s">
        <v>201</v>
      </c>
      <c r="G122" s="86">
        <v>31</v>
      </c>
      <c r="H122" s="86" t="s">
        <v>202</v>
      </c>
      <c r="I122" s="86" t="s">
        <v>285</v>
      </c>
      <c r="J122">
        <f t="shared" si="6"/>
        <v>31</v>
      </c>
      <c r="K122">
        <f t="shared" si="7"/>
        <v>0</v>
      </c>
      <c r="L122" s="86"/>
      <c r="N122" s="85"/>
    </row>
    <row r="123" spans="1:14">
      <c r="A123" s="86">
        <v>29</v>
      </c>
      <c r="B123" s="87">
        <v>44761</v>
      </c>
      <c r="C123" s="86" t="s">
        <v>246</v>
      </c>
      <c r="D123" s="86" t="s">
        <v>286</v>
      </c>
      <c r="E123" s="86" t="s">
        <v>9</v>
      </c>
      <c r="F123" s="86" t="s">
        <v>201</v>
      </c>
      <c r="G123" s="86">
        <v>26</v>
      </c>
      <c r="H123" s="86" t="s">
        <v>202</v>
      </c>
      <c r="I123" s="86" t="s">
        <v>287</v>
      </c>
      <c r="J123">
        <f t="shared" si="6"/>
        <v>26</v>
      </c>
      <c r="K123">
        <f t="shared" si="7"/>
        <v>0</v>
      </c>
      <c r="L123" s="86"/>
      <c r="N123" s="85"/>
    </row>
    <row r="124" spans="1:14">
      <c r="A124" s="86">
        <v>29</v>
      </c>
      <c r="B124" s="87">
        <v>44761</v>
      </c>
      <c r="C124" s="86" t="s">
        <v>246</v>
      </c>
      <c r="D124" s="86" t="s">
        <v>286</v>
      </c>
      <c r="E124" s="86" t="s">
        <v>9</v>
      </c>
      <c r="F124" s="86" t="s">
        <v>204</v>
      </c>
      <c r="G124" s="86">
        <v>15</v>
      </c>
      <c r="H124" s="86" t="s">
        <v>202</v>
      </c>
      <c r="I124" s="86" t="s">
        <v>287</v>
      </c>
      <c r="J124">
        <f t="shared" si="6"/>
        <v>0</v>
      </c>
      <c r="K124">
        <f t="shared" si="7"/>
        <v>15</v>
      </c>
      <c r="L124" s="86"/>
      <c r="N124" s="85"/>
    </row>
    <row r="125" spans="1:14">
      <c r="A125" s="86">
        <v>29</v>
      </c>
      <c r="B125" s="87">
        <v>44761</v>
      </c>
      <c r="C125" s="86" t="s">
        <v>246</v>
      </c>
      <c r="D125" s="86" t="s">
        <v>553</v>
      </c>
      <c r="E125" s="86" t="s">
        <v>9</v>
      </c>
      <c r="F125" s="86" t="s">
        <v>201</v>
      </c>
      <c r="G125" s="86">
        <v>64</v>
      </c>
      <c r="H125" s="86" t="s">
        <v>202</v>
      </c>
      <c r="I125" s="86" t="s">
        <v>554</v>
      </c>
      <c r="J125">
        <f t="shared" si="6"/>
        <v>64</v>
      </c>
      <c r="K125">
        <f t="shared" si="7"/>
        <v>0</v>
      </c>
      <c r="L125" s="86"/>
      <c r="N125" s="85"/>
    </row>
    <row r="126" spans="1:14">
      <c r="A126" s="86">
        <v>29</v>
      </c>
      <c r="B126" s="87">
        <v>44761</v>
      </c>
      <c r="C126" s="86" t="s">
        <v>246</v>
      </c>
      <c r="D126" s="86" t="s">
        <v>553</v>
      </c>
      <c r="E126" s="86" t="s">
        <v>9</v>
      </c>
      <c r="F126" s="86" t="s">
        <v>204</v>
      </c>
      <c r="G126" s="86">
        <v>1</v>
      </c>
      <c r="H126" s="86" t="s">
        <v>202</v>
      </c>
      <c r="I126" s="86" t="s">
        <v>554</v>
      </c>
      <c r="J126">
        <f t="shared" si="6"/>
        <v>0</v>
      </c>
      <c r="K126">
        <f t="shared" si="7"/>
        <v>1</v>
      </c>
      <c r="L126" s="86"/>
      <c r="N126" s="85"/>
    </row>
    <row r="127" spans="1:14">
      <c r="A127" s="86">
        <v>29</v>
      </c>
      <c r="B127" s="87">
        <v>44761</v>
      </c>
      <c r="C127" s="86" t="s">
        <v>246</v>
      </c>
      <c r="D127" s="86" t="s">
        <v>288</v>
      </c>
      <c r="E127" s="86" t="s">
        <v>9</v>
      </c>
      <c r="F127" s="86" t="s">
        <v>204</v>
      </c>
      <c r="G127" s="86">
        <v>2</v>
      </c>
      <c r="H127" s="86" t="s">
        <v>202</v>
      </c>
      <c r="I127" s="86" t="s">
        <v>289</v>
      </c>
      <c r="J127">
        <f t="shared" si="6"/>
        <v>0</v>
      </c>
      <c r="K127">
        <f t="shared" si="7"/>
        <v>2</v>
      </c>
      <c r="L127" s="86"/>
      <c r="N127" s="85"/>
    </row>
    <row r="128" spans="1:14">
      <c r="A128" s="86">
        <v>29</v>
      </c>
      <c r="B128" s="87">
        <v>44761</v>
      </c>
      <c r="C128" s="86" t="s">
        <v>246</v>
      </c>
      <c r="D128" s="86" t="s">
        <v>288</v>
      </c>
      <c r="E128" s="86" t="s">
        <v>9</v>
      </c>
      <c r="F128" s="86" t="s">
        <v>201</v>
      </c>
      <c r="G128" s="86">
        <v>61</v>
      </c>
      <c r="H128" s="86" t="s">
        <v>202</v>
      </c>
      <c r="I128" s="86" t="s">
        <v>289</v>
      </c>
      <c r="J128">
        <f t="shared" si="6"/>
        <v>61</v>
      </c>
      <c r="K128">
        <f t="shared" si="7"/>
        <v>0</v>
      </c>
      <c r="L128" s="86"/>
      <c r="N128" s="85"/>
    </row>
    <row r="129" spans="1:14">
      <c r="A129" s="86">
        <v>29</v>
      </c>
      <c r="B129" s="87">
        <v>44761</v>
      </c>
      <c r="C129" s="86" t="s">
        <v>246</v>
      </c>
      <c r="D129" s="86" t="s">
        <v>290</v>
      </c>
      <c r="E129" s="86" t="s">
        <v>9</v>
      </c>
      <c r="F129" s="86" t="s">
        <v>201</v>
      </c>
      <c r="G129" s="86">
        <v>25</v>
      </c>
      <c r="H129" s="86" t="s">
        <v>202</v>
      </c>
      <c r="I129" s="86" t="s">
        <v>291</v>
      </c>
      <c r="J129">
        <f t="shared" si="6"/>
        <v>25</v>
      </c>
      <c r="K129">
        <f t="shared" si="7"/>
        <v>0</v>
      </c>
      <c r="L129" s="86"/>
      <c r="N129" s="85"/>
    </row>
    <row r="130" spans="1:14">
      <c r="A130" s="86">
        <v>29</v>
      </c>
      <c r="B130" s="87">
        <v>44761</v>
      </c>
      <c r="C130" s="86" t="s">
        <v>246</v>
      </c>
      <c r="D130" s="86" t="s">
        <v>329</v>
      </c>
      <c r="E130" s="86" t="s">
        <v>9</v>
      </c>
      <c r="F130" s="86" t="s">
        <v>201</v>
      </c>
      <c r="G130" s="86">
        <v>22</v>
      </c>
      <c r="H130" s="86" t="s">
        <v>202</v>
      </c>
      <c r="I130" s="86" t="s">
        <v>330</v>
      </c>
      <c r="J130">
        <f t="shared" ref="J130:J161" si="8">IF(F130="Culex tarsalis",G130,0)</f>
        <v>22</v>
      </c>
      <c r="K130">
        <f t="shared" ref="K130:K161" si="9">IF(F130="Culex pipiens",G130,0)</f>
        <v>0</v>
      </c>
      <c r="L130" s="86"/>
      <c r="N130" s="85"/>
    </row>
    <row r="131" spans="1:14">
      <c r="A131" s="86">
        <v>29</v>
      </c>
      <c r="B131" s="87">
        <v>44762</v>
      </c>
      <c r="C131" s="86" t="s">
        <v>246</v>
      </c>
      <c r="D131" s="86" t="s">
        <v>292</v>
      </c>
      <c r="E131" s="86" t="s">
        <v>9</v>
      </c>
      <c r="F131" s="86" t="s">
        <v>204</v>
      </c>
      <c r="G131" s="86">
        <v>2</v>
      </c>
      <c r="H131" s="86" t="s">
        <v>202</v>
      </c>
      <c r="I131" s="86" t="s">
        <v>293</v>
      </c>
      <c r="J131">
        <f t="shared" si="8"/>
        <v>0</v>
      </c>
      <c r="K131">
        <f t="shared" si="9"/>
        <v>2</v>
      </c>
      <c r="L131" s="86"/>
      <c r="N131" s="85"/>
    </row>
    <row r="132" spans="1:14">
      <c r="A132" s="86">
        <v>29</v>
      </c>
      <c r="B132" s="87">
        <v>44762</v>
      </c>
      <c r="C132" s="86" t="s">
        <v>246</v>
      </c>
      <c r="D132" s="86" t="s">
        <v>292</v>
      </c>
      <c r="E132" s="86" t="s">
        <v>9</v>
      </c>
      <c r="F132" s="86" t="s">
        <v>201</v>
      </c>
      <c r="G132" s="86">
        <v>15</v>
      </c>
      <c r="H132" s="86" t="s">
        <v>202</v>
      </c>
      <c r="I132" s="86" t="s">
        <v>293</v>
      </c>
      <c r="J132">
        <f t="shared" si="8"/>
        <v>15</v>
      </c>
      <c r="K132">
        <f t="shared" si="9"/>
        <v>0</v>
      </c>
      <c r="L132" s="86"/>
      <c r="N132" s="85"/>
    </row>
    <row r="133" spans="1:14">
      <c r="A133" s="86">
        <v>29</v>
      </c>
      <c r="B133" s="87">
        <v>44762</v>
      </c>
      <c r="C133" s="86" t="s">
        <v>246</v>
      </c>
      <c r="D133" s="86" t="s">
        <v>294</v>
      </c>
      <c r="E133" s="86" t="s">
        <v>9</v>
      </c>
      <c r="F133" s="86" t="s">
        <v>201</v>
      </c>
      <c r="G133" s="86">
        <v>25</v>
      </c>
      <c r="H133" s="86" t="s">
        <v>202</v>
      </c>
      <c r="I133" s="86" t="s">
        <v>295</v>
      </c>
      <c r="J133">
        <f t="shared" si="8"/>
        <v>25</v>
      </c>
      <c r="K133">
        <f t="shared" si="9"/>
        <v>0</v>
      </c>
      <c r="L133" s="86"/>
      <c r="N133" s="85"/>
    </row>
    <row r="134" spans="1:14">
      <c r="A134" s="86">
        <v>29</v>
      </c>
      <c r="B134" s="87">
        <v>44762</v>
      </c>
      <c r="C134" s="86" t="s">
        <v>246</v>
      </c>
      <c r="D134" s="86" t="s">
        <v>294</v>
      </c>
      <c r="E134" s="86" t="s">
        <v>9</v>
      </c>
      <c r="F134" s="86" t="s">
        <v>204</v>
      </c>
      <c r="G134" s="86">
        <v>18</v>
      </c>
      <c r="H134" s="86" t="s">
        <v>202</v>
      </c>
      <c r="I134" s="86" t="s">
        <v>295</v>
      </c>
      <c r="J134">
        <f t="shared" si="8"/>
        <v>0</v>
      </c>
      <c r="K134">
        <f t="shared" si="9"/>
        <v>18</v>
      </c>
      <c r="L134" s="86"/>
      <c r="N134" s="85"/>
    </row>
    <row r="135" spans="1:14">
      <c r="A135" s="86">
        <v>29</v>
      </c>
      <c r="B135" s="87">
        <v>44762</v>
      </c>
      <c r="C135" s="86" t="s">
        <v>246</v>
      </c>
      <c r="D135" s="86" t="s">
        <v>296</v>
      </c>
      <c r="E135" s="86" t="s">
        <v>9</v>
      </c>
      <c r="F135" s="86" t="s">
        <v>204</v>
      </c>
      <c r="G135" s="86">
        <v>3</v>
      </c>
      <c r="H135" s="86" t="s">
        <v>202</v>
      </c>
      <c r="I135" s="86" t="s">
        <v>297</v>
      </c>
      <c r="J135">
        <f t="shared" si="8"/>
        <v>0</v>
      </c>
      <c r="K135">
        <f t="shared" si="9"/>
        <v>3</v>
      </c>
      <c r="L135" s="86"/>
      <c r="N135" s="85"/>
    </row>
    <row r="136" spans="1:14">
      <c r="A136" s="86">
        <v>29</v>
      </c>
      <c r="B136" s="87">
        <v>44762</v>
      </c>
      <c r="C136" s="86" t="s">
        <v>246</v>
      </c>
      <c r="D136" s="86" t="s">
        <v>296</v>
      </c>
      <c r="E136" s="86" t="s">
        <v>9</v>
      </c>
      <c r="F136" s="86" t="s">
        <v>201</v>
      </c>
      <c r="G136" s="86">
        <v>21</v>
      </c>
      <c r="H136" s="86" t="s">
        <v>202</v>
      </c>
      <c r="I136" s="86" t="s">
        <v>297</v>
      </c>
      <c r="J136">
        <f t="shared" si="8"/>
        <v>21</v>
      </c>
      <c r="K136">
        <f t="shared" si="9"/>
        <v>0</v>
      </c>
      <c r="L136" s="86"/>
      <c r="N136" s="85"/>
    </row>
    <row r="137" spans="1:14">
      <c r="A137" s="86">
        <v>29</v>
      </c>
      <c r="B137" s="87">
        <v>44762</v>
      </c>
      <c r="C137" s="86" t="s">
        <v>246</v>
      </c>
      <c r="D137" s="86" t="s">
        <v>298</v>
      </c>
      <c r="E137" s="86" t="s">
        <v>9</v>
      </c>
      <c r="F137" s="86" t="s">
        <v>201</v>
      </c>
      <c r="G137" s="86">
        <v>4</v>
      </c>
      <c r="H137" s="86" t="s">
        <v>202</v>
      </c>
      <c r="I137" s="86" t="s">
        <v>299</v>
      </c>
      <c r="J137">
        <f t="shared" si="8"/>
        <v>4</v>
      </c>
      <c r="K137">
        <f t="shared" si="9"/>
        <v>0</v>
      </c>
      <c r="L137" s="86"/>
      <c r="N137" s="85"/>
    </row>
    <row r="138" spans="1:14">
      <c r="A138" s="86">
        <v>29</v>
      </c>
      <c r="B138" s="87">
        <v>44762</v>
      </c>
      <c r="C138" s="86" t="s">
        <v>246</v>
      </c>
      <c r="D138" s="86" t="s">
        <v>300</v>
      </c>
      <c r="E138" s="86" t="s">
        <v>9</v>
      </c>
      <c r="F138" s="86" t="s">
        <v>204</v>
      </c>
      <c r="G138" s="86">
        <v>12</v>
      </c>
      <c r="H138" s="86" t="s">
        <v>202</v>
      </c>
      <c r="I138" s="86" t="s">
        <v>301</v>
      </c>
      <c r="J138">
        <f t="shared" si="8"/>
        <v>0</v>
      </c>
      <c r="K138">
        <f t="shared" si="9"/>
        <v>12</v>
      </c>
      <c r="L138" s="86"/>
      <c r="N138" s="85"/>
    </row>
    <row r="139" spans="1:14">
      <c r="A139" s="86">
        <v>29</v>
      </c>
      <c r="B139" s="87">
        <v>44762</v>
      </c>
      <c r="C139" s="86" t="s">
        <v>246</v>
      </c>
      <c r="D139" s="86" t="s">
        <v>300</v>
      </c>
      <c r="E139" s="86" t="s">
        <v>9</v>
      </c>
      <c r="F139" s="86" t="s">
        <v>201</v>
      </c>
      <c r="G139" s="86">
        <v>76</v>
      </c>
      <c r="H139" s="86" t="s">
        <v>202</v>
      </c>
      <c r="I139" s="86" t="s">
        <v>301</v>
      </c>
      <c r="J139">
        <f t="shared" si="8"/>
        <v>76</v>
      </c>
      <c r="K139">
        <f t="shared" si="9"/>
        <v>0</v>
      </c>
      <c r="L139" s="86"/>
      <c r="N139" s="85"/>
    </row>
    <row r="140" spans="1:14">
      <c r="A140" s="86">
        <v>29</v>
      </c>
      <c r="B140" s="87">
        <v>44762</v>
      </c>
      <c r="C140" s="86" t="s">
        <v>246</v>
      </c>
      <c r="D140" s="86" t="s">
        <v>331</v>
      </c>
      <c r="E140" s="86" t="s">
        <v>9</v>
      </c>
      <c r="F140" s="86" t="s">
        <v>201</v>
      </c>
      <c r="G140" s="86">
        <v>14</v>
      </c>
      <c r="H140" s="86" t="s">
        <v>202</v>
      </c>
      <c r="I140" s="86" t="s">
        <v>332</v>
      </c>
      <c r="J140">
        <f t="shared" si="8"/>
        <v>14</v>
      </c>
      <c r="K140">
        <f t="shared" si="9"/>
        <v>0</v>
      </c>
      <c r="L140" s="86"/>
      <c r="N140" s="85"/>
    </row>
    <row r="141" spans="1:14">
      <c r="A141" s="86">
        <v>29</v>
      </c>
      <c r="B141" s="87">
        <v>44762</v>
      </c>
      <c r="C141" s="86" t="s">
        <v>246</v>
      </c>
      <c r="D141" s="86" t="s">
        <v>331</v>
      </c>
      <c r="E141" s="86" t="s">
        <v>9</v>
      </c>
      <c r="F141" s="86" t="s">
        <v>204</v>
      </c>
      <c r="G141" s="86">
        <v>1</v>
      </c>
      <c r="H141" s="86" t="s">
        <v>202</v>
      </c>
      <c r="I141" s="86" t="s">
        <v>332</v>
      </c>
      <c r="J141">
        <f t="shared" si="8"/>
        <v>0</v>
      </c>
      <c r="K141">
        <f t="shared" si="9"/>
        <v>1</v>
      </c>
      <c r="L141" s="86"/>
      <c r="N141" s="85"/>
    </row>
    <row r="142" spans="1:14">
      <c r="A142" s="86">
        <v>29</v>
      </c>
      <c r="B142" s="87">
        <v>44762</v>
      </c>
      <c r="C142" s="86" t="s">
        <v>246</v>
      </c>
      <c r="D142" s="86" t="s">
        <v>333</v>
      </c>
      <c r="E142" s="86" t="s">
        <v>9</v>
      </c>
      <c r="F142" s="86" t="s">
        <v>201</v>
      </c>
      <c r="G142" s="86">
        <v>5</v>
      </c>
      <c r="H142" s="86" t="s">
        <v>202</v>
      </c>
      <c r="I142" s="86" t="s">
        <v>334</v>
      </c>
      <c r="J142">
        <f t="shared" si="8"/>
        <v>5</v>
      </c>
      <c r="K142">
        <f t="shared" si="9"/>
        <v>0</v>
      </c>
      <c r="L142" s="86"/>
      <c r="N142" s="85"/>
    </row>
    <row r="143" spans="1:14">
      <c r="A143" s="86">
        <v>29</v>
      </c>
      <c r="B143" s="87">
        <v>44762</v>
      </c>
      <c r="C143" s="86" t="s">
        <v>246</v>
      </c>
      <c r="D143" s="86" t="s">
        <v>333</v>
      </c>
      <c r="E143" s="86" t="s">
        <v>9</v>
      </c>
      <c r="F143" s="86" t="s">
        <v>204</v>
      </c>
      <c r="G143" s="86">
        <v>1</v>
      </c>
      <c r="H143" s="86" t="s">
        <v>202</v>
      </c>
      <c r="I143" s="86" t="s">
        <v>334</v>
      </c>
      <c r="J143">
        <f t="shared" si="8"/>
        <v>0</v>
      </c>
      <c r="K143">
        <f t="shared" si="9"/>
        <v>1</v>
      </c>
      <c r="L143" s="86"/>
      <c r="N143" s="85"/>
    </row>
    <row r="144" spans="1:14">
      <c r="A144" s="86">
        <v>29</v>
      </c>
      <c r="B144" s="87">
        <v>44762</v>
      </c>
      <c r="C144" s="86" t="s">
        <v>246</v>
      </c>
      <c r="D144" s="86" t="s">
        <v>302</v>
      </c>
      <c r="E144" s="86" t="s">
        <v>9</v>
      </c>
      <c r="F144" s="86" t="s">
        <v>204</v>
      </c>
      <c r="G144" s="86">
        <v>3</v>
      </c>
      <c r="H144" s="86" t="s">
        <v>202</v>
      </c>
      <c r="I144" s="86" t="s">
        <v>303</v>
      </c>
      <c r="J144">
        <f t="shared" si="8"/>
        <v>0</v>
      </c>
      <c r="K144">
        <f t="shared" si="9"/>
        <v>3</v>
      </c>
      <c r="L144" s="86"/>
      <c r="N144" s="85"/>
    </row>
    <row r="145" spans="1:14">
      <c r="A145" s="86">
        <v>29</v>
      </c>
      <c r="B145" s="87">
        <v>44762</v>
      </c>
      <c r="C145" s="86" t="s">
        <v>246</v>
      </c>
      <c r="D145" s="86" t="s">
        <v>302</v>
      </c>
      <c r="E145" s="86" t="s">
        <v>9</v>
      </c>
      <c r="F145" s="86" t="s">
        <v>201</v>
      </c>
      <c r="G145" s="86">
        <v>12</v>
      </c>
      <c r="H145" s="86" t="s">
        <v>202</v>
      </c>
      <c r="I145" s="86" t="s">
        <v>303</v>
      </c>
      <c r="J145">
        <f t="shared" si="8"/>
        <v>12</v>
      </c>
      <c r="K145">
        <f t="shared" si="9"/>
        <v>0</v>
      </c>
      <c r="L145" s="86"/>
      <c r="N145" s="85"/>
    </row>
    <row r="146" spans="1:14">
      <c r="A146" s="86">
        <v>29</v>
      </c>
      <c r="B146" s="87">
        <v>44759</v>
      </c>
      <c r="C146" s="86" t="s">
        <v>304</v>
      </c>
      <c r="D146" s="86" t="s">
        <v>305</v>
      </c>
      <c r="E146" s="86" t="s">
        <v>107</v>
      </c>
      <c r="F146" s="86" t="s">
        <v>201</v>
      </c>
      <c r="G146" s="86">
        <v>50</v>
      </c>
      <c r="H146" s="86" t="s">
        <v>202</v>
      </c>
      <c r="I146" s="86" t="s">
        <v>306</v>
      </c>
      <c r="J146">
        <f t="shared" si="8"/>
        <v>50</v>
      </c>
      <c r="K146">
        <f t="shared" si="9"/>
        <v>0</v>
      </c>
      <c r="L146" s="86"/>
      <c r="N146" s="85"/>
    </row>
    <row r="147" spans="1:14">
      <c r="A147" s="86">
        <v>29</v>
      </c>
      <c r="B147" s="81">
        <v>44759</v>
      </c>
      <c r="C147" s="80" t="s">
        <v>304</v>
      </c>
      <c r="D147" s="80" t="s">
        <v>307</v>
      </c>
      <c r="E147" s="80" t="s">
        <v>107</v>
      </c>
      <c r="F147" s="80" t="s">
        <v>201</v>
      </c>
      <c r="G147" s="80">
        <v>24</v>
      </c>
      <c r="H147" s="80" t="s">
        <v>202</v>
      </c>
      <c r="I147" s="80" t="s">
        <v>308</v>
      </c>
      <c r="J147">
        <f t="shared" si="8"/>
        <v>24</v>
      </c>
      <c r="K147">
        <f t="shared" si="9"/>
        <v>0</v>
      </c>
      <c r="L147" s="86"/>
      <c r="N147" s="85"/>
    </row>
    <row r="148" spans="1:14">
      <c r="A148" s="86">
        <v>29</v>
      </c>
      <c r="B148" s="81">
        <v>44759</v>
      </c>
      <c r="C148" s="80" t="s">
        <v>304</v>
      </c>
      <c r="D148" s="80" t="s">
        <v>309</v>
      </c>
      <c r="E148" s="80" t="s">
        <v>107</v>
      </c>
      <c r="F148" s="80" t="s">
        <v>204</v>
      </c>
      <c r="G148" s="80">
        <v>2</v>
      </c>
      <c r="H148" s="80" t="s">
        <v>202</v>
      </c>
      <c r="I148" s="80" t="s">
        <v>310</v>
      </c>
      <c r="J148">
        <f t="shared" si="8"/>
        <v>0</v>
      </c>
      <c r="K148">
        <f t="shared" si="9"/>
        <v>2</v>
      </c>
      <c r="L148" s="86"/>
      <c r="N148" s="85"/>
    </row>
    <row r="149" spans="1:14">
      <c r="A149" s="86">
        <v>29</v>
      </c>
      <c r="B149" s="81">
        <v>44759</v>
      </c>
      <c r="C149" s="80" t="s">
        <v>304</v>
      </c>
      <c r="D149" s="80" t="s">
        <v>309</v>
      </c>
      <c r="E149" s="80" t="s">
        <v>107</v>
      </c>
      <c r="F149" s="80" t="s">
        <v>201</v>
      </c>
      <c r="G149" s="80">
        <v>60</v>
      </c>
      <c r="H149" s="80" t="s">
        <v>202</v>
      </c>
      <c r="I149" s="80" t="s">
        <v>310</v>
      </c>
      <c r="J149">
        <f t="shared" si="8"/>
        <v>60</v>
      </c>
      <c r="K149">
        <f t="shared" si="9"/>
        <v>0</v>
      </c>
      <c r="L149" s="86"/>
      <c r="N149" s="85"/>
    </row>
    <row r="150" spans="1:14">
      <c r="A150" s="86">
        <v>29</v>
      </c>
      <c r="B150" s="81">
        <v>44759</v>
      </c>
      <c r="C150" s="80" t="s">
        <v>304</v>
      </c>
      <c r="D150" s="80" t="s">
        <v>311</v>
      </c>
      <c r="E150" s="80" t="s">
        <v>107</v>
      </c>
      <c r="F150" s="80" t="s">
        <v>201</v>
      </c>
      <c r="G150" s="80">
        <v>80</v>
      </c>
      <c r="H150" s="80" t="s">
        <v>202</v>
      </c>
      <c r="I150" s="80" t="s">
        <v>312</v>
      </c>
      <c r="J150">
        <f t="shared" si="8"/>
        <v>80</v>
      </c>
      <c r="K150">
        <f t="shared" si="9"/>
        <v>0</v>
      </c>
      <c r="L150" s="86"/>
      <c r="N150" s="85"/>
    </row>
    <row r="151" spans="1:14">
      <c r="A151" s="86">
        <v>29</v>
      </c>
      <c r="B151" s="81">
        <v>44759</v>
      </c>
      <c r="C151" s="80" t="s">
        <v>304</v>
      </c>
      <c r="D151" s="80" t="s">
        <v>313</v>
      </c>
      <c r="E151" s="80" t="s">
        <v>107</v>
      </c>
      <c r="F151" s="80" t="s">
        <v>201</v>
      </c>
      <c r="G151" s="80">
        <v>42</v>
      </c>
      <c r="H151" s="80" t="s">
        <v>202</v>
      </c>
      <c r="I151" s="80" t="s">
        <v>314</v>
      </c>
      <c r="J151">
        <f t="shared" si="8"/>
        <v>42</v>
      </c>
      <c r="K151">
        <f t="shared" si="9"/>
        <v>0</v>
      </c>
      <c r="L151" s="86"/>
      <c r="N151" s="85"/>
    </row>
    <row r="152" spans="1:14">
      <c r="A152" s="86">
        <v>29</v>
      </c>
      <c r="B152" s="81">
        <v>44759</v>
      </c>
      <c r="C152" s="80" t="s">
        <v>304</v>
      </c>
      <c r="D152" s="80" t="s">
        <v>315</v>
      </c>
      <c r="E152" s="80" t="s">
        <v>107</v>
      </c>
      <c r="F152" s="80" t="s">
        <v>201</v>
      </c>
      <c r="G152" s="80">
        <v>340</v>
      </c>
      <c r="H152" s="80" t="s">
        <v>202</v>
      </c>
      <c r="I152" s="80" t="s">
        <v>316</v>
      </c>
      <c r="J152">
        <f t="shared" si="8"/>
        <v>340</v>
      </c>
      <c r="K152">
        <f t="shared" si="9"/>
        <v>0</v>
      </c>
      <c r="L152" s="86"/>
      <c r="N152" s="85"/>
    </row>
    <row r="153" spans="1:14">
      <c r="A153" s="86">
        <v>29</v>
      </c>
      <c r="B153" s="81">
        <v>44760</v>
      </c>
      <c r="C153" s="80" t="s">
        <v>555</v>
      </c>
      <c r="D153" s="80" t="s">
        <v>556</v>
      </c>
      <c r="E153" s="80" t="s">
        <v>105</v>
      </c>
      <c r="F153" s="80" t="s">
        <v>204</v>
      </c>
      <c r="G153" s="80">
        <v>0</v>
      </c>
      <c r="H153" s="80" t="s">
        <v>202</v>
      </c>
      <c r="I153" s="80" t="s">
        <v>557</v>
      </c>
      <c r="J153">
        <f t="shared" si="8"/>
        <v>0</v>
      </c>
      <c r="K153">
        <f t="shared" si="9"/>
        <v>0</v>
      </c>
      <c r="L153" s="86"/>
      <c r="N153" s="85"/>
    </row>
    <row r="154" spans="1:14">
      <c r="A154" s="86">
        <v>29</v>
      </c>
      <c r="B154" s="81">
        <v>44760</v>
      </c>
      <c r="C154" s="80" t="s">
        <v>555</v>
      </c>
      <c r="D154" s="80" t="s">
        <v>558</v>
      </c>
      <c r="E154" s="80" t="s">
        <v>105</v>
      </c>
      <c r="F154" s="80" t="s">
        <v>204</v>
      </c>
      <c r="G154" s="80">
        <v>1</v>
      </c>
      <c r="H154" s="80" t="s">
        <v>202</v>
      </c>
      <c r="I154" s="80" t="s">
        <v>559</v>
      </c>
      <c r="J154">
        <f t="shared" si="8"/>
        <v>0</v>
      </c>
      <c r="K154">
        <f t="shared" si="9"/>
        <v>1</v>
      </c>
      <c r="L154" s="86"/>
      <c r="N154" s="85"/>
    </row>
    <row r="155" spans="1:14">
      <c r="A155" s="86">
        <v>29</v>
      </c>
      <c r="B155" s="81">
        <v>44760</v>
      </c>
      <c r="C155" s="80" t="s">
        <v>555</v>
      </c>
      <c r="D155" s="80" t="s">
        <v>560</v>
      </c>
      <c r="E155" s="80" t="s">
        <v>105</v>
      </c>
      <c r="F155" s="80" t="s">
        <v>204</v>
      </c>
      <c r="G155" s="80">
        <v>0</v>
      </c>
      <c r="H155" s="80" t="s">
        <v>202</v>
      </c>
      <c r="I155" s="80" t="s">
        <v>561</v>
      </c>
      <c r="J155">
        <f t="shared" si="8"/>
        <v>0</v>
      </c>
      <c r="K155">
        <f t="shared" si="9"/>
        <v>0</v>
      </c>
      <c r="L155" s="86"/>
      <c r="N155" s="85"/>
    </row>
    <row r="156" spans="1:14">
      <c r="A156" s="86">
        <v>29</v>
      </c>
      <c r="B156" s="81">
        <v>44760</v>
      </c>
      <c r="C156" s="80" t="s">
        <v>555</v>
      </c>
      <c r="D156" s="80" t="s">
        <v>562</v>
      </c>
      <c r="E156" s="80" t="s">
        <v>105</v>
      </c>
      <c r="F156" s="80" t="s">
        <v>204</v>
      </c>
      <c r="G156" s="80">
        <v>0</v>
      </c>
      <c r="H156" s="80" t="s">
        <v>202</v>
      </c>
      <c r="I156" s="80" t="s">
        <v>563</v>
      </c>
      <c r="J156">
        <f t="shared" si="8"/>
        <v>0</v>
      </c>
      <c r="K156">
        <f t="shared" si="9"/>
        <v>0</v>
      </c>
      <c r="L156" s="86"/>
      <c r="N156" s="85"/>
    </row>
    <row r="157" spans="1:14">
      <c r="A157" s="86">
        <v>29</v>
      </c>
      <c r="B157" s="81">
        <v>44760</v>
      </c>
      <c r="C157" s="80" t="s">
        <v>555</v>
      </c>
      <c r="D157" s="80" t="s">
        <v>564</v>
      </c>
      <c r="E157" s="80" t="s">
        <v>105</v>
      </c>
      <c r="F157" s="80" t="s">
        <v>204</v>
      </c>
      <c r="G157" s="80">
        <v>3</v>
      </c>
      <c r="H157" s="80" t="s">
        <v>202</v>
      </c>
      <c r="I157" s="80" t="s">
        <v>565</v>
      </c>
      <c r="J157">
        <f t="shared" si="8"/>
        <v>0</v>
      </c>
      <c r="K157">
        <f t="shared" si="9"/>
        <v>3</v>
      </c>
      <c r="L157" s="86"/>
      <c r="N157" s="85"/>
    </row>
    <row r="158" spans="1:14">
      <c r="A158" s="86">
        <v>29</v>
      </c>
      <c r="B158" s="83">
        <v>44760</v>
      </c>
      <c r="C158" s="82" t="s">
        <v>555</v>
      </c>
      <c r="D158" s="82" t="s">
        <v>566</v>
      </c>
      <c r="E158" s="82" t="s">
        <v>105</v>
      </c>
      <c r="F158" s="82" t="s">
        <v>204</v>
      </c>
      <c r="G158" s="82">
        <v>7</v>
      </c>
      <c r="H158" s="82" t="s">
        <v>202</v>
      </c>
      <c r="I158" s="82" t="s">
        <v>567</v>
      </c>
      <c r="J158">
        <f t="shared" si="8"/>
        <v>0</v>
      </c>
      <c r="K158">
        <f t="shared" si="9"/>
        <v>7</v>
      </c>
      <c r="L158" s="86"/>
      <c r="N158" s="85"/>
    </row>
    <row r="159" spans="1:14">
      <c r="A159" s="86">
        <v>29</v>
      </c>
      <c r="B159" s="83">
        <v>44760</v>
      </c>
      <c r="C159" s="82" t="s">
        <v>555</v>
      </c>
      <c r="D159" s="82" t="s">
        <v>568</v>
      </c>
      <c r="E159" s="82" t="s">
        <v>105</v>
      </c>
      <c r="F159" s="82" t="s">
        <v>204</v>
      </c>
      <c r="G159" s="82">
        <v>4</v>
      </c>
      <c r="H159" s="82" t="s">
        <v>202</v>
      </c>
      <c r="I159" s="82" t="s">
        <v>569</v>
      </c>
      <c r="J159">
        <f t="shared" si="8"/>
        <v>0</v>
      </c>
      <c r="K159">
        <f t="shared" si="9"/>
        <v>4</v>
      </c>
      <c r="L159" s="86"/>
      <c r="N159" s="85"/>
    </row>
    <row r="160" spans="1:14">
      <c r="A160" s="86">
        <v>29</v>
      </c>
      <c r="B160" s="83">
        <v>44760</v>
      </c>
      <c r="C160" s="82" t="s">
        <v>555</v>
      </c>
      <c r="D160" s="82" t="s">
        <v>570</v>
      </c>
      <c r="E160" s="82" t="s">
        <v>105</v>
      </c>
      <c r="F160" s="82" t="s">
        <v>204</v>
      </c>
      <c r="G160" s="82">
        <v>8</v>
      </c>
      <c r="H160" s="82" t="s">
        <v>202</v>
      </c>
      <c r="I160" s="82" t="s">
        <v>571</v>
      </c>
      <c r="J160">
        <f t="shared" si="8"/>
        <v>0</v>
      </c>
      <c r="K160">
        <f t="shared" si="9"/>
        <v>8</v>
      </c>
      <c r="L160" s="86"/>
      <c r="N160" s="85"/>
    </row>
    <row r="161" spans="1:14">
      <c r="A161" s="86">
        <v>29</v>
      </c>
      <c r="B161" s="83">
        <v>44760</v>
      </c>
      <c r="C161" s="82" t="s">
        <v>555</v>
      </c>
      <c r="D161" s="82" t="s">
        <v>572</v>
      </c>
      <c r="E161" s="82" t="s">
        <v>105</v>
      </c>
      <c r="F161" s="82" t="s">
        <v>204</v>
      </c>
      <c r="G161" s="82">
        <v>1</v>
      </c>
      <c r="H161" s="82" t="s">
        <v>202</v>
      </c>
      <c r="I161" s="82" t="s">
        <v>573</v>
      </c>
      <c r="J161">
        <f t="shared" si="8"/>
        <v>0</v>
      </c>
      <c r="K161">
        <f t="shared" si="9"/>
        <v>1</v>
      </c>
      <c r="L161" s="86"/>
      <c r="N161" s="85"/>
    </row>
    <row r="162" spans="1:14">
      <c r="A162" s="86">
        <v>29</v>
      </c>
      <c r="B162" s="83">
        <v>44760</v>
      </c>
      <c r="C162" s="82" t="s">
        <v>555</v>
      </c>
      <c r="D162" s="82" t="s">
        <v>574</v>
      </c>
      <c r="E162" s="82" t="s">
        <v>105</v>
      </c>
      <c r="F162" s="82" t="s">
        <v>204</v>
      </c>
      <c r="G162" s="82">
        <v>35</v>
      </c>
      <c r="H162" s="82" t="s">
        <v>202</v>
      </c>
      <c r="I162" s="82" t="s">
        <v>575</v>
      </c>
      <c r="J162">
        <f t="shared" ref="J162:J190" si="10">IF(F162="Culex tarsalis",G162,0)</f>
        <v>0</v>
      </c>
      <c r="K162">
        <f t="shared" ref="K162:K190" si="11">IF(F162="Culex pipiens",G162,0)</f>
        <v>35</v>
      </c>
      <c r="L162" s="86"/>
      <c r="N162" s="85"/>
    </row>
    <row r="163" spans="1:14">
      <c r="A163" s="86">
        <v>29</v>
      </c>
      <c r="B163" s="87">
        <v>44760</v>
      </c>
      <c r="C163" t="s">
        <v>555</v>
      </c>
      <c r="D163" t="s">
        <v>576</v>
      </c>
      <c r="E163" t="s">
        <v>105</v>
      </c>
      <c r="F163" t="s">
        <v>204</v>
      </c>
      <c r="G163">
        <v>0</v>
      </c>
      <c r="H163" t="s">
        <v>202</v>
      </c>
      <c r="I163" t="s">
        <v>577</v>
      </c>
      <c r="J163">
        <f t="shared" si="10"/>
        <v>0</v>
      </c>
      <c r="K163">
        <f t="shared" si="11"/>
        <v>0</v>
      </c>
      <c r="L163" s="86"/>
      <c r="N163" s="85"/>
    </row>
    <row r="164" spans="1:14">
      <c r="A164" s="86">
        <v>29</v>
      </c>
      <c r="B164" s="87">
        <v>44760</v>
      </c>
      <c r="C164" t="s">
        <v>555</v>
      </c>
      <c r="D164" t="s">
        <v>578</v>
      </c>
      <c r="E164" t="s">
        <v>105</v>
      </c>
      <c r="F164" t="s">
        <v>204</v>
      </c>
      <c r="G164">
        <v>1</v>
      </c>
      <c r="H164" t="s">
        <v>202</v>
      </c>
      <c r="I164" t="s">
        <v>579</v>
      </c>
      <c r="J164">
        <f t="shared" si="10"/>
        <v>0</v>
      </c>
      <c r="K164">
        <f t="shared" si="11"/>
        <v>1</v>
      </c>
      <c r="L164" s="86"/>
      <c r="N164" s="85"/>
    </row>
    <row r="165" spans="1:14">
      <c r="A165" s="86">
        <v>29</v>
      </c>
      <c r="B165" s="87">
        <v>44760</v>
      </c>
      <c r="C165" t="s">
        <v>555</v>
      </c>
      <c r="D165" t="s">
        <v>580</v>
      </c>
      <c r="E165" t="s">
        <v>105</v>
      </c>
      <c r="F165" t="s">
        <v>204</v>
      </c>
      <c r="G165">
        <v>24</v>
      </c>
      <c r="H165" t="s">
        <v>202</v>
      </c>
      <c r="I165" t="s">
        <v>581</v>
      </c>
      <c r="J165">
        <f t="shared" si="10"/>
        <v>0</v>
      </c>
      <c r="K165">
        <f t="shared" si="11"/>
        <v>24</v>
      </c>
      <c r="L165" s="86"/>
      <c r="N165" s="85"/>
    </row>
    <row r="166" spans="1:14">
      <c r="A166" s="86">
        <v>29</v>
      </c>
      <c r="B166" s="87">
        <v>44760</v>
      </c>
      <c r="C166" t="s">
        <v>555</v>
      </c>
      <c r="D166" t="s">
        <v>582</v>
      </c>
      <c r="E166" t="s">
        <v>105</v>
      </c>
      <c r="F166" t="s">
        <v>204</v>
      </c>
      <c r="G166">
        <v>1</v>
      </c>
      <c r="H166" t="s">
        <v>202</v>
      </c>
      <c r="I166" t="s">
        <v>583</v>
      </c>
      <c r="J166">
        <f t="shared" si="10"/>
        <v>0</v>
      </c>
      <c r="K166">
        <f t="shared" si="11"/>
        <v>1</v>
      </c>
      <c r="L166" s="86"/>
      <c r="N166" s="85"/>
    </row>
    <row r="167" spans="1:14">
      <c r="A167" s="86">
        <v>29</v>
      </c>
      <c r="B167" s="87">
        <v>44760</v>
      </c>
      <c r="C167" t="s">
        <v>555</v>
      </c>
      <c r="D167" t="s">
        <v>584</v>
      </c>
      <c r="E167" t="s">
        <v>105</v>
      </c>
      <c r="F167" t="s">
        <v>204</v>
      </c>
      <c r="G167">
        <v>3</v>
      </c>
      <c r="H167" t="s">
        <v>202</v>
      </c>
      <c r="I167" t="s">
        <v>585</v>
      </c>
      <c r="J167">
        <f t="shared" si="10"/>
        <v>0</v>
      </c>
      <c r="K167">
        <f t="shared" si="11"/>
        <v>3</v>
      </c>
      <c r="L167" s="86"/>
      <c r="N167" s="85"/>
    </row>
    <row r="168" spans="1:14">
      <c r="A168" s="86">
        <v>29</v>
      </c>
      <c r="B168" s="87">
        <v>44760</v>
      </c>
      <c r="C168" t="s">
        <v>555</v>
      </c>
      <c r="D168" t="s">
        <v>586</v>
      </c>
      <c r="E168" t="s">
        <v>105</v>
      </c>
      <c r="F168" t="s">
        <v>204</v>
      </c>
      <c r="G168">
        <v>2</v>
      </c>
      <c r="H168" t="s">
        <v>202</v>
      </c>
      <c r="I168" t="s">
        <v>587</v>
      </c>
      <c r="J168">
        <f t="shared" si="10"/>
        <v>0</v>
      </c>
      <c r="K168">
        <f t="shared" si="11"/>
        <v>2</v>
      </c>
      <c r="L168" s="86"/>
      <c r="N168" s="85"/>
    </row>
    <row r="169" spans="1:14">
      <c r="A169" s="86">
        <v>29</v>
      </c>
      <c r="B169" s="87">
        <v>44760</v>
      </c>
      <c r="C169" t="s">
        <v>555</v>
      </c>
      <c r="D169" t="s">
        <v>588</v>
      </c>
      <c r="E169" t="s">
        <v>105</v>
      </c>
      <c r="F169" t="s">
        <v>204</v>
      </c>
      <c r="G169">
        <v>0</v>
      </c>
      <c r="H169" t="s">
        <v>202</v>
      </c>
      <c r="I169" t="s">
        <v>589</v>
      </c>
      <c r="J169">
        <f t="shared" si="10"/>
        <v>0</v>
      </c>
      <c r="K169">
        <f t="shared" si="11"/>
        <v>0</v>
      </c>
      <c r="L169" s="86"/>
      <c r="N169" s="80"/>
    </row>
    <row r="170" spans="1:14">
      <c r="A170" s="86">
        <v>29</v>
      </c>
      <c r="B170" s="87">
        <v>44760</v>
      </c>
      <c r="C170" t="s">
        <v>555</v>
      </c>
      <c r="D170" t="s">
        <v>590</v>
      </c>
      <c r="E170" t="s">
        <v>105</v>
      </c>
      <c r="F170" t="s">
        <v>204</v>
      </c>
      <c r="G170">
        <v>1</v>
      </c>
      <c r="H170" t="s">
        <v>202</v>
      </c>
      <c r="I170" t="s">
        <v>591</v>
      </c>
      <c r="J170">
        <f t="shared" si="10"/>
        <v>0</v>
      </c>
      <c r="K170">
        <f t="shared" si="11"/>
        <v>1</v>
      </c>
      <c r="L170" s="86"/>
      <c r="N170" s="80"/>
    </row>
    <row r="171" spans="1:14">
      <c r="A171" s="86">
        <v>29</v>
      </c>
      <c r="B171" s="87">
        <v>44760</v>
      </c>
      <c r="C171" t="s">
        <v>555</v>
      </c>
      <c r="D171" t="s">
        <v>592</v>
      </c>
      <c r="E171" t="s">
        <v>105</v>
      </c>
      <c r="F171" t="s">
        <v>204</v>
      </c>
      <c r="G171">
        <v>0</v>
      </c>
      <c r="H171" t="s">
        <v>202</v>
      </c>
      <c r="I171" t="s">
        <v>593</v>
      </c>
      <c r="J171">
        <f t="shared" si="10"/>
        <v>0</v>
      </c>
      <c r="K171">
        <f t="shared" si="11"/>
        <v>0</v>
      </c>
      <c r="L171" s="86"/>
      <c r="N171" s="80"/>
    </row>
    <row r="172" spans="1:14">
      <c r="A172" s="86">
        <v>29</v>
      </c>
      <c r="B172" s="72">
        <v>44760</v>
      </c>
      <c r="C172" t="s">
        <v>555</v>
      </c>
      <c r="D172" t="s">
        <v>556</v>
      </c>
      <c r="E172" t="s">
        <v>105</v>
      </c>
      <c r="F172" t="s">
        <v>201</v>
      </c>
      <c r="G172">
        <v>14</v>
      </c>
      <c r="H172" t="s">
        <v>202</v>
      </c>
      <c r="I172" t="s">
        <v>557</v>
      </c>
      <c r="J172">
        <f t="shared" si="10"/>
        <v>14</v>
      </c>
      <c r="K172">
        <f t="shared" si="11"/>
        <v>0</v>
      </c>
      <c r="L172" s="86"/>
      <c r="N172" s="80"/>
    </row>
    <row r="173" spans="1:14">
      <c r="A173" s="86">
        <v>29</v>
      </c>
      <c r="B173" s="72">
        <v>44760</v>
      </c>
      <c r="C173" t="s">
        <v>555</v>
      </c>
      <c r="D173" t="s">
        <v>558</v>
      </c>
      <c r="E173" t="s">
        <v>105</v>
      </c>
      <c r="F173" t="s">
        <v>201</v>
      </c>
      <c r="G173">
        <v>1</v>
      </c>
      <c r="H173" t="s">
        <v>202</v>
      </c>
      <c r="I173" t="s">
        <v>559</v>
      </c>
      <c r="J173">
        <f t="shared" si="10"/>
        <v>1</v>
      </c>
      <c r="K173">
        <f t="shared" si="11"/>
        <v>0</v>
      </c>
      <c r="L173" s="86"/>
    </row>
    <row r="174" spans="1:14">
      <c r="A174" s="86">
        <v>29</v>
      </c>
      <c r="B174" s="72">
        <v>44760</v>
      </c>
      <c r="C174" t="s">
        <v>555</v>
      </c>
      <c r="D174" t="s">
        <v>560</v>
      </c>
      <c r="E174" t="s">
        <v>105</v>
      </c>
      <c r="F174" t="s">
        <v>201</v>
      </c>
      <c r="G174">
        <v>0</v>
      </c>
      <c r="H174" t="s">
        <v>202</v>
      </c>
      <c r="I174" t="s">
        <v>561</v>
      </c>
      <c r="J174">
        <f t="shared" si="10"/>
        <v>0</v>
      </c>
      <c r="K174">
        <f t="shared" si="11"/>
        <v>0</v>
      </c>
      <c r="L174" s="86"/>
    </row>
    <row r="175" spans="1:14">
      <c r="A175" s="86">
        <v>29</v>
      </c>
      <c r="B175" s="72">
        <v>44760</v>
      </c>
      <c r="C175" t="s">
        <v>555</v>
      </c>
      <c r="D175" t="s">
        <v>562</v>
      </c>
      <c r="E175" t="s">
        <v>105</v>
      </c>
      <c r="F175" t="s">
        <v>201</v>
      </c>
      <c r="G175">
        <v>0</v>
      </c>
      <c r="H175" t="s">
        <v>202</v>
      </c>
      <c r="I175" t="s">
        <v>563</v>
      </c>
      <c r="J175">
        <f t="shared" si="10"/>
        <v>0</v>
      </c>
      <c r="K175">
        <f t="shared" si="11"/>
        <v>0</v>
      </c>
      <c r="L175" s="86"/>
    </row>
    <row r="176" spans="1:14">
      <c r="A176" s="86">
        <v>29</v>
      </c>
      <c r="B176" s="72">
        <v>44760</v>
      </c>
      <c r="C176" t="s">
        <v>555</v>
      </c>
      <c r="D176" t="s">
        <v>564</v>
      </c>
      <c r="E176" t="s">
        <v>105</v>
      </c>
      <c r="F176" t="s">
        <v>201</v>
      </c>
      <c r="G176">
        <v>35</v>
      </c>
      <c r="H176" t="s">
        <v>202</v>
      </c>
      <c r="I176" t="s">
        <v>565</v>
      </c>
      <c r="J176">
        <f t="shared" si="10"/>
        <v>35</v>
      </c>
      <c r="K176">
        <f t="shared" si="11"/>
        <v>0</v>
      </c>
      <c r="L176" s="86"/>
    </row>
    <row r="177" spans="1:12">
      <c r="A177" s="86">
        <v>29</v>
      </c>
      <c r="B177" s="72">
        <v>44760</v>
      </c>
      <c r="C177" t="s">
        <v>555</v>
      </c>
      <c r="D177" t="s">
        <v>566</v>
      </c>
      <c r="E177" t="s">
        <v>105</v>
      </c>
      <c r="F177" t="s">
        <v>201</v>
      </c>
      <c r="G177">
        <v>11</v>
      </c>
      <c r="H177" t="s">
        <v>202</v>
      </c>
      <c r="I177" t="s">
        <v>567</v>
      </c>
      <c r="J177">
        <f t="shared" si="10"/>
        <v>11</v>
      </c>
      <c r="K177">
        <f t="shared" si="11"/>
        <v>0</v>
      </c>
      <c r="L177" s="86"/>
    </row>
    <row r="178" spans="1:12">
      <c r="A178" s="86">
        <v>29</v>
      </c>
      <c r="B178" s="72">
        <v>44760</v>
      </c>
      <c r="C178" t="s">
        <v>555</v>
      </c>
      <c r="D178" t="s">
        <v>568</v>
      </c>
      <c r="E178" t="s">
        <v>105</v>
      </c>
      <c r="F178" t="s">
        <v>201</v>
      </c>
      <c r="G178">
        <v>184</v>
      </c>
      <c r="H178" t="s">
        <v>202</v>
      </c>
      <c r="I178" t="s">
        <v>569</v>
      </c>
      <c r="J178">
        <f t="shared" si="10"/>
        <v>184</v>
      </c>
      <c r="K178">
        <f t="shared" si="11"/>
        <v>0</v>
      </c>
      <c r="L178" s="86"/>
    </row>
    <row r="179" spans="1:12">
      <c r="A179" s="86">
        <v>29</v>
      </c>
      <c r="B179" s="72">
        <v>44760</v>
      </c>
      <c r="C179" t="s">
        <v>555</v>
      </c>
      <c r="D179" t="s">
        <v>570</v>
      </c>
      <c r="E179" t="s">
        <v>105</v>
      </c>
      <c r="F179" t="s">
        <v>201</v>
      </c>
      <c r="G179">
        <v>6</v>
      </c>
      <c r="H179" t="s">
        <v>202</v>
      </c>
      <c r="I179" t="s">
        <v>571</v>
      </c>
      <c r="J179">
        <f t="shared" si="10"/>
        <v>6</v>
      </c>
      <c r="K179">
        <f t="shared" si="11"/>
        <v>0</v>
      </c>
      <c r="L179" s="86"/>
    </row>
    <row r="180" spans="1:12">
      <c r="A180" s="86">
        <v>29</v>
      </c>
      <c r="B180" s="72">
        <v>44760</v>
      </c>
      <c r="C180" t="s">
        <v>555</v>
      </c>
      <c r="D180" t="s">
        <v>572</v>
      </c>
      <c r="E180" t="s">
        <v>105</v>
      </c>
      <c r="F180" t="s">
        <v>201</v>
      </c>
      <c r="G180">
        <v>7</v>
      </c>
      <c r="H180" t="s">
        <v>202</v>
      </c>
      <c r="I180" t="s">
        <v>573</v>
      </c>
      <c r="J180">
        <f t="shared" si="10"/>
        <v>7</v>
      </c>
      <c r="K180">
        <f t="shared" si="11"/>
        <v>0</v>
      </c>
      <c r="L180" s="86"/>
    </row>
    <row r="181" spans="1:12">
      <c r="A181" s="86">
        <v>29</v>
      </c>
      <c r="B181" s="72">
        <v>44760</v>
      </c>
      <c r="C181" t="s">
        <v>555</v>
      </c>
      <c r="D181" t="s">
        <v>574</v>
      </c>
      <c r="E181" t="s">
        <v>105</v>
      </c>
      <c r="F181" t="s">
        <v>201</v>
      </c>
      <c r="G181">
        <v>135</v>
      </c>
      <c r="H181" t="s">
        <v>202</v>
      </c>
      <c r="I181" t="s">
        <v>575</v>
      </c>
      <c r="J181">
        <f t="shared" si="10"/>
        <v>135</v>
      </c>
      <c r="K181">
        <f t="shared" si="11"/>
        <v>0</v>
      </c>
      <c r="L181" s="86"/>
    </row>
    <row r="182" spans="1:12">
      <c r="A182" s="86">
        <v>29</v>
      </c>
      <c r="B182" s="72">
        <v>44760</v>
      </c>
      <c r="C182" t="s">
        <v>555</v>
      </c>
      <c r="D182" t="s">
        <v>576</v>
      </c>
      <c r="E182" t="s">
        <v>105</v>
      </c>
      <c r="F182" t="s">
        <v>201</v>
      </c>
      <c r="G182">
        <v>21</v>
      </c>
      <c r="H182" t="s">
        <v>202</v>
      </c>
      <c r="I182" t="s">
        <v>577</v>
      </c>
      <c r="J182">
        <f t="shared" si="10"/>
        <v>21</v>
      </c>
      <c r="K182">
        <f t="shared" si="11"/>
        <v>0</v>
      </c>
      <c r="L182" s="86"/>
    </row>
    <row r="183" spans="1:12">
      <c r="A183" s="86">
        <v>29</v>
      </c>
      <c r="B183" s="72">
        <v>44760</v>
      </c>
      <c r="C183" t="s">
        <v>555</v>
      </c>
      <c r="D183" t="s">
        <v>578</v>
      </c>
      <c r="E183" t="s">
        <v>105</v>
      </c>
      <c r="F183" t="s">
        <v>201</v>
      </c>
      <c r="G183">
        <v>32</v>
      </c>
      <c r="H183" t="s">
        <v>202</v>
      </c>
      <c r="I183" t="s">
        <v>579</v>
      </c>
      <c r="J183">
        <f t="shared" si="10"/>
        <v>32</v>
      </c>
      <c r="K183">
        <f t="shared" si="11"/>
        <v>0</v>
      </c>
      <c r="L183" s="86"/>
    </row>
    <row r="184" spans="1:12">
      <c r="A184" s="86">
        <v>29</v>
      </c>
      <c r="B184" s="72">
        <v>44760</v>
      </c>
      <c r="C184" t="s">
        <v>555</v>
      </c>
      <c r="D184" t="s">
        <v>580</v>
      </c>
      <c r="E184" t="s">
        <v>105</v>
      </c>
      <c r="F184" t="s">
        <v>201</v>
      </c>
      <c r="G184">
        <v>40</v>
      </c>
      <c r="H184" t="s">
        <v>202</v>
      </c>
      <c r="I184" t="s">
        <v>581</v>
      </c>
      <c r="J184">
        <f t="shared" si="10"/>
        <v>40</v>
      </c>
      <c r="K184">
        <f t="shared" si="11"/>
        <v>0</v>
      </c>
      <c r="L184" s="86"/>
    </row>
    <row r="185" spans="1:12">
      <c r="A185" s="86">
        <v>29</v>
      </c>
      <c r="B185" s="72">
        <v>44760</v>
      </c>
      <c r="C185" t="s">
        <v>555</v>
      </c>
      <c r="D185" t="s">
        <v>582</v>
      </c>
      <c r="E185" t="s">
        <v>105</v>
      </c>
      <c r="F185" t="s">
        <v>201</v>
      </c>
      <c r="G185">
        <v>37</v>
      </c>
      <c r="H185" t="s">
        <v>202</v>
      </c>
      <c r="I185" t="s">
        <v>583</v>
      </c>
      <c r="J185">
        <f t="shared" si="10"/>
        <v>37</v>
      </c>
      <c r="K185">
        <f t="shared" si="11"/>
        <v>0</v>
      </c>
      <c r="L185" s="86"/>
    </row>
    <row r="186" spans="1:12">
      <c r="A186" s="86">
        <v>29</v>
      </c>
      <c r="B186" s="72">
        <v>44760</v>
      </c>
      <c r="C186" t="s">
        <v>555</v>
      </c>
      <c r="D186" t="s">
        <v>584</v>
      </c>
      <c r="E186" t="s">
        <v>105</v>
      </c>
      <c r="F186" t="s">
        <v>201</v>
      </c>
      <c r="G186">
        <v>61</v>
      </c>
      <c r="H186" t="s">
        <v>202</v>
      </c>
      <c r="I186" t="s">
        <v>585</v>
      </c>
      <c r="J186">
        <f t="shared" si="10"/>
        <v>61</v>
      </c>
      <c r="K186">
        <f t="shared" si="11"/>
        <v>0</v>
      </c>
      <c r="L186" s="86"/>
    </row>
    <row r="187" spans="1:12">
      <c r="A187" s="86">
        <v>29</v>
      </c>
      <c r="B187" s="72">
        <v>44760</v>
      </c>
      <c r="C187" t="s">
        <v>555</v>
      </c>
      <c r="D187" t="s">
        <v>586</v>
      </c>
      <c r="E187" t="s">
        <v>105</v>
      </c>
      <c r="F187" t="s">
        <v>201</v>
      </c>
      <c r="G187">
        <v>13</v>
      </c>
      <c r="H187" t="s">
        <v>202</v>
      </c>
      <c r="I187" t="s">
        <v>587</v>
      </c>
      <c r="J187">
        <f t="shared" si="10"/>
        <v>13</v>
      </c>
      <c r="K187">
        <f t="shared" si="11"/>
        <v>0</v>
      </c>
      <c r="L187" s="86"/>
    </row>
    <row r="188" spans="1:12">
      <c r="A188">
        <v>29</v>
      </c>
      <c r="B188" s="72">
        <v>44760</v>
      </c>
      <c r="C188" t="s">
        <v>555</v>
      </c>
      <c r="D188" t="s">
        <v>588</v>
      </c>
      <c r="E188" t="s">
        <v>105</v>
      </c>
      <c r="F188" t="s">
        <v>201</v>
      </c>
      <c r="G188">
        <v>9</v>
      </c>
      <c r="H188" t="s">
        <v>202</v>
      </c>
      <c r="I188" t="s">
        <v>589</v>
      </c>
      <c r="J188" s="86">
        <f t="shared" si="10"/>
        <v>9</v>
      </c>
      <c r="K188" s="86">
        <f t="shared" si="11"/>
        <v>0</v>
      </c>
    </row>
    <row r="189" spans="1:12">
      <c r="A189">
        <v>29</v>
      </c>
      <c r="B189" s="72">
        <v>44760</v>
      </c>
      <c r="C189" t="s">
        <v>555</v>
      </c>
      <c r="D189" t="s">
        <v>590</v>
      </c>
      <c r="E189" t="s">
        <v>105</v>
      </c>
      <c r="F189" t="s">
        <v>201</v>
      </c>
      <c r="G189">
        <v>7</v>
      </c>
      <c r="H189" t="s">
        <v>202</v>
      </c>
      <c r="I189" t="s">
        <v>591</v>
      </c>
      <c r="J189" s="86">
        <f t="shared" si="10"/>
        <v>7</v>
      </c>
      <c r="K189" s="86">
        <f t="shared" si="11"/>
        <v>0</v>
      </c>
    </row>
    <row r="190" spans="1:12">
      <c r="A190">
        <v>29</v>
      </c>
      <c r="B190" s="72">
        <v>44760</v>
      </c>
      <c r="C190" t="s">
        <v>555</v>
      </c>
      <c r="D190" t="s">
        <v>592</v>
      </c>
      <c r="E190" t="s">
        <v>105</v>
      </c>
      <c r="F190" t="s">
        <v>201</v>
      </c>
      <c r="G190">
        <v>21</v>
      </c>
      <c r="H190" t="s">
        <v>202</v>
      </c>
      <c r="I190" t="s">
        <v>593</v>
      </c>
      <c r="J190" s="86">
        <f t="shared" si="10"/>
        <v>21</v>
      </c>
      <c r="K190" s="86">
        <f t="shared" si="11"/>
        <v>0</v>
      </c>
    </row>
  </sheetData>
  <sortState xmlns:xlrd2="http://schemas.microsoft.com/office/spreadsheetml/2017/richdata2" ref="A2:K187">
    <sortCondition ref="I2:I187"/>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topLeftCell="C1" workbookViewId="0">
      <selection activeCell="C9" sqref="C9"/>
    </sheetView>
  </sheetViews>
  <sheetFormatPr defaultColWidth="8.85546875" defaultRowHeight="15"/>
  <cols>
    <col min="1" max="1" width="13.140625" bestFit="1" customWidth="1"/>
    <col min="2" max="2" width="16.85546875" bestFit="1" customWidth="1"/>
    <col min="3" max="3" width="16.5703125" bestFit="1" customWidth="1"/>
    <col min="4" max="4" width="14.85546875" bestFit="1" customWidth="1"/>
    <col min="7" max="8" width="17.42578125" customWidth="1"/>
    <col min="9" max="9" width="16.140625" customWidth="1"/>
    <col min="10" max="10" width="17.42578125" customWidth="1"/>
  </cols>
  <sheetData>
    <row r="1" spans="1:10">
      <c r="A1" s="33" t="s">
        <v>82</v>
      </c>
      <c r="G1" s="33" t="s">
        <v>83</v>
      </c>
    </row>
    <row r="2" spans="1:10">
      <c r="A2" s="3" t="s">
        <v>8</v>
      </c>
      <c r="B2" s="86" t="s">
        <v>1</v>
      </c>
    </row>
    <row r="4" spans="1:10">
      <c r="A4" s="3" t="s">
        <v>4</v>
      </c>
      <c r="B4" s="86" t="s">
        <v>71</v>
      </c>
      <c r="C4" s="86" t="s">
        <v>70</v>
      </c>
      <c r="D4" s="86" t="s">
        <v>69</v>
      </c>
      <c r="G4" s="25" t="s">
        <v>4</v>
      </c>
      <c r="H4" s="25" t="s">
        <v>71</v>
      </c>
      <c r="I4" s="25" t="s">
        <v>70</v>
      </c>
      <c r="J4" s="25" t="s">
        <v>69</v>
      </c>
    </row>
    <row r="5" spans="1:10">
      <c r="A5" s="1" t="s">
        <v>100</v>
      </c>
      <c r="B5" s="2">
        <v>12</v>
      </c>
      <c r="C5" s="2">
        <v>467</v>
      </c>
      <c r="D5" s="2">
        <v>479</v>
      </c>
      <c r="G5" s="1" t="s">
        <v>9</v>
      </c>
      <c r="H5" s="2">
        <f>GETPIVOTDATA("Sum of Cx pipiens",$A$4,"Zone","LV")</f>
        <v>264</v>
      </c>
      <c r="I5" s="2">
        <f>GETPIVOTDATA("Sum of Cx tarsalis",$A$4,"Zone","LV")</f>
        <v>2304</v>
      </c>
      <c r="J5" s="2">
        <f>GETPIVOTDATA("Sum of Total CX",$A$4,"Zone","LV")</f>
        <v>2568</v>
      </c>
    </row>
    <row r="6" spans="1:10">
      <c r="A6" s="1" t="s">
        <v>58</v>
      </c>
      <c r="B6" s="2">
        <v>389</v>
      </c>
      <c r="C6" s="2">
        <v>1364</v>
      </c>
      <c r="D6" s="2">
        <v>1753</v>
      </c>
      <c r="G6" s="1" t="s">
        <v>58</v>
      </c>
      <c r="H6" s="2">
        <f>GETPIVOTDATA("Sum of Cx pipiens",$A$4,"Zone","NE")</f>
        <v>389</v>
      </c>
      <c r="I6" s="2">
        <f>GETPIVOTDATA("Sum of Cx tarsalis",$A$4,"Zone","NE")</f>
        <v>1364</v>
      </c>
      <c r="J6" s="2">
        <f>GETPIVOTDATA("Sum of Total CX",$A$4,"Zone","NE")</f>
        <v>1753</v>
      </c>
    </row>
    <row r="7" spans="1:10">
      <c r="A7" s="1" t="s">
        <v>57</v>
      </c>
      <c r="B7" s="2">
        <v>45</v>
      </c>
      <c r="C7" s="2">
        <v>358</v>
      </c>
      <c r="D7" s="2">
        <v>403</v>
      </c>
      <c r="G7" s="1" t="s">
        <v>57</v>
      </c>
      <c r="H7" s="2">
        <f>GETPIVOTDATA("Sum of Cx pipiens",$A$4,"Zone","NW")</f>
        <v>45</v>
      </c>
      <c r="I7" s="2">
        <f>GETPIVOTDATA("Sum of Cx tarsalis",$A$4,"Zone","NW")</f>
        <v>358</v>
      </c>
      <c r="J7" s="2">
        <f>GETPIVOTDATA("Sum of Total CX",$A$4,"Zone","NW")</f>
        <v>403</v>
      </c>
    </row>
    <row r="8" spans="1:10">
      <c r="A8" s="1" t="s">
        <v>59</v>
      </c>
      <c r="B8" s="2">
        <v>69</v>
      </c>
      <c r="C8" s="2">
        <v>1578</v>
      </c>
      <c r="D8" s="2">
        <v>1647</v>
      </c>
      <c r="G8" s="1" t="s">
        <v>59</v>
      </c>
      <c r="H8" s="2">
        <f>GETPIVOTDATA("Sum of Cx pipiens",$A$4,"Zone","SE")</f>
        <v>69</v>
      </c>
      <c r="I8" s="2">
        <f>GETPIVOTDATA("Sum of Cx tarsalis",$A$4,"Zone","SE")</f>
        <v>1578</v>
      </c>
      <c r="J8" s="2">
        <f>GETPIVOTDATA("Sum of Total CX",$A$4,"Zone","SE")</f>
        <v>1647</v>
      </c>
    </row>
    <row r="9" spans="1:10">
      <c r="A9" s="1" t="s">
        <v>60</v>
      </c>
      <c r="B9" s="2">
        <v>40</v>
      </c>
      <c r="C9" s="2">
        <v>500</v>
      </c>
      <c r="D9" s="2">
        <v>540</v>
      </c>
      <c r="G9" s="1" t="s">
        <v>60</v>
      </c>
      <c r="H9" s="2">
        <f>GETPIVOTDATA("Sum of Cx pipiens",$A$4,"Zone","SW")</f>
        <v>40</v>
      </c>
      <c r="I9" s="2">
        <f>GETPIVOTDATA("Sum of Cx tarsalis",$A$4,"Zone","SW")</f>
        <v>500</v>
      </c>
      <c r="J9" s="2">
        <f>GETPIVOTDATA("Sum of Total CX",$A$4,"Zone","SW")</f>
        <v>540</v>
      </c>
    </row>
    <row r="10" spans="1:10">
      <c r="A10" s="1" t="s">
        <v>107</v>
      </c>
      <c r="B10" s="2">
        <v>2</v>
      </c>
      <c r="C10" s="2">
        <v>596</v>
      </c>
      <c r="D10" s="2">
        <v>598</v>
      </c>
      <c r="G10" s="1" t="s">
        <v>100</v>
      </c>
      <c r="H10">
        <f>GETPIVOTDATA("Sum of Cx pipiens",$A$4,"Zone","BE")</f>
        <v>12</v>
      </c>
      <c r="I10">
        <f>GETPIVOTDATA("Sum of Cx tarsalis",$A$4,"Zone","BE")</f>
        <v>467</v>
      </c>
      <c r="J10">
        <f>GETPIVOTDATA("Sum of Total CX",$A$4,"Zone","BE")</f>
        <v>479</v>
      </c>
    </row>
    <row r="11" spans="1:10">
      <c r="A11" s="1" t="s">
        <v>9</v>
      </c>
      <c r="B11" s="2">
        <v>264</v>
      </c>
      <c r="C11" s="2">
        <v>2304</v>
      </c>
      <c r="D11" s="2">
        <v>2568</v>
      </c>
      <c r="G11" s="1" t="s">
        <v>105</v>
      </c>
      <c r="H11">
        <f>GETPIVOTDATA("Sum of Cx pipiens",$A$4,"Zone","BC")</f>
        <v>91</v>
      </c>
      <c r="I11">
        <f>GETPIVOTDATA("Sum of Cx tarsalis",$A$4,"Zone","BC")</f>
        <v>634</v>
      </c>
      <c r="J11">
        <f>GETPIVOTDATA("Sum of Total CX",$A$4,"Zone","BC")</f>
        <v>725</v>
      </c>
    </row>
    <row r="12" spans="1:10">
      <c r="A12" s="1" t="s">
        <v>105</v>
      </c>
      <c r="B12" s="2">
        <v>91</v>
      </c>
      <c r="C12" s="2">
        <v>634</v>
      </c>
      <c r="D12" s="2">
        <v>725</v>
      </c>
    </row>
    <row r="13" spans="1:10">
      <c r="A13" s="1" t="s">
        <v>7</v>
      </c>
      <c r="B13" s="2">
        <v>912</v>
      </c>
      <c r="C13" s="2">
        <v>7801</v>
      </c>
      <c r="D13" s="2">
        <v>8713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D9" sqref="D9"/>
    </sheetView>
  </sheetViews>
  <sheetFormatPr defaultColWidth="8.85546875" defaultRowHeight="15"/>
  <cols>
    <col min="1" max="1" width="13.140625" bestFit="1" customWidth="1"/>
    <col min="2" max="2" width="16.28515625" customWidth="1"/>
    <col min="3" max="3" width="7.5703125" bestFit="1" customWidth="1"/>
    <col min="4" max="5" width="11.28515625" bestFit="1" customWidth="1"/>
    <col min="8" max="8" width="12" bestFit="1" customWidth="1"/>
  </cols>
  <sheetData>
    <row r="1" spans="1:11">
      <c r="A1" s="118" t="s">
        <v>72</v>
      </c>
      <c r="B1" s="118"/>
      <c r="H1" s="118" t="s">
        <v>52</v>
      </c>
      <c r="I1" s="118"/>
    </row>
    <row r="2" spans="1:11">
      <c r="A2" s="3" t="s">
        <v>8</v>
      </c>
      <c r="B2" s="86" t="s">
        <v>1</v>
      </c>
    </row>
    <row r="4" spans="1:11">
      <c r="A4" s="3" t="s">
        <v>2</v>
      </c>
      <c r="B4" s="3" t="s">
        <v>3</v>
      </c>
      <c r="H4" s="24" t="s">
        <v>2</v>
      </c>
      <c r="I4" s="24" t="s">
        <v>3</v>
      </c>
      <c r="J4" s="24"/>
      <c r="K4" s="24"/>
    </row>
    <row r="5" spans="1:11">
      <c r="A5" s="3" t="s">
        <v>4</v>
      </c>
      <c r="B5" s="86" t="s">
        <v>195</v>
      </c>
      <c r="C5" s="86" t="s">
        <v>348</v>
      </c>
      <c r="D5" s="86" t="s">
        <v>7</v>
      </c>
      <c r="H5" s="25" t="s">
        <v>4</v>
      </c>
      <c r="I5" s="25" t="s">
        <v>5</v>
      </c>
      <c r="J5" s="25" t="s">
        <v>6</v>
      </c>
      <c r="K5" s="25" t="s">
        <v>7</v>
      </c>
    </row>
    <row r="6" spans="1:11">
      <c r="A6" s="1" t="s">
        <v>9</v>
      </c>
      <c r="B6" s="2">
        <v>48</v>
      </c>
      <c r="C6" s="2">
        <v>866</v>
      </c>
      <c r="D6" s="2">
        <v>914</v>
      </c>
      <c r="H6" s="1" t="s">
        <v>9</v>
      </c>
      <c r="I6" s="2">
        <f>GETPIVOTDATA("Total",$A$4,"Zone","LV","Spp","Pipiens")</f>
        <v>48</v>
      </c>
      <c r="J6" s="2">
        <f>(K6-I6)</f>
        <v>866</v>
      </c>
      <c r="K6" s="2">
        <f>GETPIVOTDATA("Total",$A$4,"Zone","LV")</f>
        <v>914</v>
      </c>
    </row>
    <row r="7" spans="1:11">
      <c r="A7" s="1" t="s">
        <v>100</v>
      </c>
      <c r="B7" s="2">
        <v>12</v>
      </c>
      <c r="C7" s="2">
        <v>467</v>
      </c>
      <c r="D7" s="2">
        <v>479</v>
      </c>
      <c r="H7" s="1" t="s">
        <v>58</v>
      </c>
      <c r="I7" s="2">
        <f>GETPIVOTDATA("Total",$A$4,"Zone","NE","Spp","Pipiens")</f>
        <v>530</v>
      </c>
      <c r="J7" s="2">
        <f t="shared" ref="J7:J12" si="0">(K7-I7)</f>
        <v>1364</v>
      </c>
      <c r="K7" s="2">
        <f>GETPIVOTDATA("Total",$A$4,"Zone","NE")</f>
        <v>1894</v>
      </c>
    </row>
    <row r="8" spans="1:11">
      <c r="A8" s="1" t="s">
        <v>58</v>
      </c>
      <c r="B8" s="2">
        <v>530</v>
      </c>
      <c r="C8" s="2">
        <v>1364</v>
      </c>
      <c r="D8" s="2">
        <v>1894</v>
      </c>
      <c r="H8" s="1" t="s">
        <v>57</v>
      </c>
      <c r="I8" s="2">
        <f>GETPIVOTDATA("Total",$A$4,"Zone","NW","Spp","Pipiens")</f>
        <v>228</v>
      </c>
      <c r="J8" s="2">
        <f t="shared" si="0"/>
        <v>358</v>
      </c>
      <c r="K8" s="2">
        <f>GETPIVOTDATA("Total",$A$4,"Zone","NW")</f>
        <v>586</v>
      </c>
    </row>
    <row r="9" spans="1:11">
      <c r="A9" s="1" t="s">
        <v>57</v>
      </c>
      <c r="B9" s="2">
        <v>228</v>
      </c>
      <c r="C9" s="2">
        <v>358</v>
      </c>
      <c r="D9" s="2">
        <v>586</v>
      </c>
      <c r="H9" s="1" t="s">
        <v>59</v>
      </c>
      <c r="I9" s="2">
        <f>GETPIVOTDATA("Total",$A$4,"Zone","SE","Spp","Pipiens")</f>
        <v>331</v>
      </c>
      <c r="J9" s="2">
        <f t="shared" si="0"/>
        <v>1585</v>
      </c>
      <c r="K9" s="2">
        <f>GETPIVOTDATA("Total",$A$4,"Zone","SE")</f>
        <v>1916</v>
      </c>
    </row>
    <row r="10" spans="1:11">
      <c r="A10" s="1" t="s">
        <v>59</v>
      </c>
      <c r="B10" s="2">
        <v>331</v>
      </c>
      <c r="C10" s="2">
        <v>1585</v>
      </c>
      <c r="D10" s="2">
        <v>1916</v>
      </c>
      <c r="H10" s="1" t="s">
        <v>60</v>
      </c>
      <c r="I10" s="2">
        <f>GETPIVOTDATA("Total",$A$4,"Zone","SW","Spp","Pipiens")</f>
        <v>106</v>
      </c>
      <c r="J10" s="2">
        <f t="shared" si="0"/>
        <v>500</v>
      </c>
      <c r="K10" s="2">
        <f>GETPIVOTDATA("Total",$A$4,"Zone","SW")</f>
        <v>606</v>
      </c>
    </row>
    <row r="11" spans="1:11">
      <c r="A11" s="1" t="s">
        <v>60</v>
      </c>
      <c r="B11" s="2">
        <v>106</v>
      </c>
      <c r="C11" s="2">
        <v>500</v>
      </c>
      <c r="D11" s="2">
        <v>606</v>
      </c>
      <c r="H11" s="1" t="s">
        <v>100</v>
      </c>
      <c r="I11">
        <f>GETPIVOTDATA("Total",$A$4,"Zone","BE","Spp","Pipiens")</f>
        <v>12</v>
      </c>
      <c r="J11" s="2">
        <f t="shared" si="0"/>
        <v>467</v>
      </c>
      <c r="K11">
        <f>GETPIVOTDATA("Total",$A$4,"Zone","BE")</f>
        <v>479</v>
      </c>
    </row>
    <row r="12" spans="1:11">
      <c r="A12" s="1" t="s">
        <v>105</v>
      </c>
      <c r="B12" s="2"/>
      <c r="C12" s="2">
        <v>169</v>
      </c>
      <c r="D12" s="2">
        <v>169</v>
      </c>
      <c r="H12" s="1" t="s">
        <v>105</v>
      </c>
      <c r="I12">
        <f>GETPIVOTDATA("Total",$A$4,"Zone","BC","Spp","Pipiens")</f>
        <v>0</v>
      </c>
      <c r="J12" s="2">
        <f t="shared" si="0"/>
        <v>169</v>
      </c>
      <c r="K12">
        <f>GETPIVOTDATA("Total",$A$4,"Zone","BC")</f>
        <v>169</v>
      </c>
    </row>
    <row r="13" spans="1:11">
      <c r="A13" s="1" t="s">
        <v>7</v>
      </c>
      <c r="B13" s="2">
        <v>1255</v>
      </c>
      <c r="C13" s="2">
        <v>5309</v>
      </c>
      <c r="D13" s="2">
        <v>6564</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9AD77D20-6E3F-414B-92EA-377906FB2860}"/>
</file>

<file path=customXml/itemProps2.xml><?xml version="1.0" encoding="utf-8"?>
<ds:datastoreItem xmlns:ds="http://schemas.openxmlformats.org/officeDocument/2006/customXml" ds:itemID="{709A2BAB-4522-4FEF-BF94-D3D2D19DA98B}"/>
</file>

<file path=customXml/itemProps3.xml><?xml version="1.0" encoding="utf-8"?>
<ds:datastoreItem xmlns:ds="http://schemas.openxmlformats.org/officeDocument/2006/customXml" ds:itemID="{545EB774-4813-4112-83FC-1D7B5C6FC2C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Williams,Landon</cp:lastModifiedBy>
  <cp:lastPrinted>2014-06-05T20:46:13Z</cp:lastPrinted>
  <dcterms:created xsi:type="dcterms:W3CDTF">2014-05-12T19:16:27Z</dcterms:created>
  <dcterms:modified xsi:type="dcterms:W3CDTF">2022-07-23T19:22:59Z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1312400</vt:r8>
  </property>
</Properties>
</file>