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37\"/>
    </mc:Choice>
  </mc:AlternateContent>
  <xr:revisionPtr revIDLastSave="0" documentId="13_ncr:1_{D66140FC-B090-46EA-B323-599C55CC6190}" xr6:coauthVersionLast="47" xr6:coauthVersionMax="47" xr10:uidLastSave="{00000000-0000-0000-0000-000000000000}"/>
  <bookViews>
    <workbookView xWindow="2700" yWindow="1170" windowWidth="14400" windowHeight="10755" tabRatio="869" firstSheet="13" activeTab="13" xr2:uid="{00000000-000D-0000-FFFF-FFFF00000000}"/>
  </bookViews>
  <sheets>
    <sheet name="READ ME" sheetId="65" r:id="rId1"/>
    <sheet name="Weekly Data Input" sheetId="2" r:id="rId2"/>
    <sheet name="InfRateTotal" sheetId="75"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13074" r:id="rId15"/>
    <pivotCache cacheId="13075" r:id="rId16"/>
    <pivotCache cacheId="13076"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1" i="59" l="1"/>
  <c r="K92" i="59"/>
  <c r="K93" i="59"/>
  <c r="K94" i="59"/>
  <c r="K95" i="59"/>
  <c r="K96" i="59"/>
  <c r="K97" i="59"/>
  <c r="K98" i="59"/>
  <c r="K99" i="59"/>
  <c r="K100" i="59"/>
  <c r="K101" i="59"/>
  <c r="K102" i="59"/>
  <c r="K103" i="59"/>
  <c r="K104" i="59"/>
  <c r="K105" i="59"/>
  <c r="K106" i="59"/>
  <c r="K107" i="59"/>
  <c r="K108" i="59"/>
  <c r="K109" i="59"/>
  <c r="K110" i="59"/>
  <c r="J91" i="59"/>
  <c r="J92" i="59"/>
  <c r="J93" i="59"/>
  <c r="J94" i="59"/>
  <c r="J95" i="59"/>
  <c r="J96" i="59"/>
  <c r="J97" i="59"/>
  <c r="J98" i="59"/>
  <c r="J99" i="59"/>
  <c r="J100" i="59"/>
  <c r="J101" i="59"/>
  <c r="J102" i="59"/>
  <c r="J103" i="59"/>
  <c r="J104" i="59"/>
  <c r="J105" i="59"/>
  <c r="J106" i="59"/>
  <c r="J107" i="59"/>
  <c r="J108" i="59"/>
  <c r="J109" i="59"/>
  <c r="J110" i="59"/>
  <c r="L73" i="5" l="1"/>
  <c r="M73" i="5"/>
  <c r="L74" i="5"/>
  <c r="M74" i="5"/>
  <c r="L75" i="5"/>
  <c r="M75" i="5"/>
  <c r="L76" i="5"/>
  <c r="M76" i="5"/>
  <c r="L77" i="5"/>
  <c r="M77" i="5"/>
  <c r="F81" i="5"/>
  <c r="H81" i="5"/>
  <c r="L81" i="5"/>
  <c r="M81" i="5"/>
  <c r="F44" i="5" l="1"/>
  <c r="K83" i="59" l="1"/>
  <c r="K86" i="59"/>
  <c r="K87" i="59"/>
  <c r="K88" i="59"/>
  <c r="K2" i="59"/>
  <c r="K4" i="59"/>
  <c r="K6" i="59"/>
  <c r="K8" i="59"/>
  <c r="K10" i="59"/>
  <c r="K12" i="59"/>
  <c r="K14" i="59"/>
  <c r="K18" i="59"/>
  <c r="K24" i="59"/>
  <c r="K25" i="59"/>
  <c r="K26" i="59"/>
  <c r="K27" i="59"/>
  <c r="K20" i="59"/>
  <c r="K22" i="59"/>
  <c r="K3" i="59"/>
  <c r="K5" i="59"/>
  <c r="K7" i="59"/>
  <c r="J83" i="59"/>
  <c r="J86" i="59"/>
  <c r="J87" i="59"/>
  <c r="J88" i="59"/>
  <c r="J2" i="59"/>
  <c r="J4" i="59"/>
  <c r="J6" i="59"/>
  <c r="J8" i="59"/>
  <c r="J10" i="59"/>
  <c r="J12" i="59"/>
  <c r="J14" i="59"/>
  <c r="J18" i="59"/>
  <c r="J24" i="59"/>
  <c r="J25" i="59"/>
  <c r="J26" i="59"/>
  <c r="J27" i="59"/>
  <c r="J20" i="59"/>
  <c r="J22" i="59"/>
  <c r="J3" i="59"/>
  <c r="J5" i="59"/>
  <c r="J7" i="59"/>
  <c r="H12" i="6"/>
  <c r="G8" i="6"/>
  <c r="G11" i="6"/>
  <c r="H14" i="6"/>
  <c r="I11" i="64"/>
  <c r="I6" i="64"/>
  <c r="I7" i="61"/>
  <c r="I11" i="61"/>
  <c r="H10" i="64"/>
  <c r="H8" i="64"/>
  <c r="H8" i="6"/>
  <c r="G14" i="6"/>
  <c r="I12" i="64"/>
  <c r="I9" i="61"/>
  <c r="H6" i="64"/>
  <c r="H7" i="6"/>
  <c r="G13" i="6"/>
  <c r="I9" i="64"/>
  <c r="I6" i="61"/>
  <c r="H13" i="6"/>
  <c r="G10" i="6"/>
  <c r="G7" i="6"/>
  <c r="H9" i="6"/>
  <c r="I7" i="64"/>
  <c r="I8" i="64"/>
  <c r="I8" i="61"/>
  <c r="J9" i="64"/>
  <c r="J6" i="64"/>
  <c r="H11" i="64"/>
  <c r="G12" i="6"/>
  <c r="H11" i="6"/>
  <c r="I14" i="6"/>
  <c r="I12" i="61"/>
  <c r="H9" i="64"/>
  <c r="H7" i="64"/>
  <c r="H10" i="6"/>
  <c r="G9" i="6"/>
  <c r="I10" i="64"/>
  <c r="I10" i="61"/>
  <c r="J7" i="64"/>
  <c r="J8" i="64"/>
  <c r="C76" i="5" l="1"/>
  <c r="G76" i="5"/>
  <c r="I75" i="5"/>
  <c r="J76" i="5"/>
  <c r="F74" i="5"/>
  <c r="F75" i="5"/>
  <c r="H75" i="5" s="1"/>
  <c r="C81" i="5"/>
  <c r="J79" i="5"/>
  <c r="I80" i="5"/>
  <c r="F80" i="5"/>
  <c r="C73" i="5"/>
  <c r="G73" i="5"/>
  <c r="G74" i="5"/>
  <c r="J75" i="5"/>
  <c r="I73" i="5"/>
  <c r="I76" i="5"/>
  <c r="J81" i="5"/>
  <c r="C79" i="5"/>
  <c r="G75" i="5"/>
  <c r="I81" i="5"/>
  <c r="J73" i="5"/>
  <c r="F79" i="5"/>
  <c r="H79" i="5" s="1"/>
  <c r="C75" i="5"/>
  <c r="J74" i="5"/>
  <c r="F73" i="5"/>
  <c r="F76" i="5"/>
  <c r="H76" i="5" s="1"/>
  <c r="C80" i="5"/>
  <c r="C74" i="5"/>
  <c r="G79" i="5"/>
  <c r="G80" i="5"/>
  <c r="I79" i="5"/>
  <c r="I74" i="5"/>
  <c r="J80" i="5"/>
  <c r="J23" i="59"/>
  <c r="J48" i="59"/>
  <c r="J57" i="59"/>
  <c r="J69" i="59"/>
  <c r="J85" i="59"/>
  <c r="J89" i="59"/>
  <c r="J32" i="59"/>
  <c r="J33" i="59"/>
  <c r="J43" i="59"/>
  <c r="J44" i="59"/>
  <c r="J11" i="59"/>
  <c r="J71" i="59"/>
  <c r="J56" i="59"/>
  <c r="J58" i="59"/>
  <c r="J77" i="59"/>
  <c r="J78" i="59"/>
  <c r="J82" i="59"/>
  <c r="J84" i="59"/>
  <c r="J36" i="59"/>
  <c r="J72" i="59"/>
  <c r="J13" i="59"/>
  <c r="J15" i="59"/>
  <c r="J75" i="59"/>
  <c r="J30" i="59"/>
  <c r="J37" i="59"/>
  <c r="J52" i="59"/>
  <c r="J55" i="59"/>
  <c r="J34" i="59"/>
  <c r="J35" i="59"/>
  <c r="J90" i="59"/>
  <c r="J16" i="59"/>
  <c r="J73" i="59"/>
  <c r="J39" i="59"/>
  <c r="J45" i="59"/>
  <c r="J46" i="59"/>
  <c r="J51" i="59"/>
  <c r="J17" i="59"/>
  <c r="J19" i="59"/>
  <c r="J81" i="59"/>
  <c r="J40" i="59"/>
  <c r="J9" i="59"/>
  <c r="J31" i="59"/>
  <c r="J49" i="59"/>
  <c r="J50" i="59"/>
  <c r="J70" i="59"/>
  <c r="J76" i="59"/>
  <c r="J47" i="59"/>
  <c r="J42" i="59"/>
  <c r="J59" i="59"/>
  <c r="J66" i="59"/>
  <c r="J67" i="59"/>
  <c r="J79" i="59"/>
  <c r="J80" i="59"/>
  <c r="J28" i="59"/>
  <c r="J60" i="59"/>
  <c r="J61" i="59"/>
  <c r="J29" i="59"/>
  <c r="J38" i="59"/>
  <c r="J41" i="59"/>
  <c r="J74" i="59"/>
  <c r="J21" i="59"/>
  <c r="J53" i="59"/>
  <c r="J54" i="59"/>
  <c r="J62" i="59"/>
  <c r="J63" i="59"/>
  <c r="J64" i="59"/>
  <c r="J65" i="59"/>
  <c r="J68" i="59"/>
  <c r="J77" i="5" l="1"/>
  <c r="G77" i="5"/>
  <c r="K80" i="5"/>
  <c r="H74" i="5"/>
  <c r="C77" i="5"/>
  <c r="K81" i="5"/>
  <c r="I77" i="5"/>
  <c r="K79" i="5"/>
  <c r="H80" i="5"/>
  <c r="H73" i="5"/>
  <c r="F77" i="5"/>
  <c r="F14" i="5"/>
  <c r="E14" i="5"/>
  <c r="J12" i="64"/>
  <c r="J11" i="64"/>
  <c r="I12" i="6"/>
  <c r="I13" i="6"/>
  <c r="K12" i="61"/>
  <c r="K11" i="61"/>
  <c r="H11" i="63"/>
  <c r="H5" i="63"/>
  <c r="J11" i="63"/>
  <c r="J10" i="63"/>
  <c r="I10" i="63"/>
  <c r="H10" i="63"/>
  <c r="I11" i="63"/>
  <c r="H77" i="5" l="1"/>
  <c r="C48" i="5"/>
  <c r="D48" i="5"/>
  <c r="H48" i="5" s="1"/>
  <c r="D14" i="5" s="1"/>
  <c r="H14" i="5" s="1"/>
  <c r="J11" i="61"/>
  <c r="D80" i="5" s="1"/>
  <c r="E80" i="5" s="1"/>
  <c r="J12" i="61"/>
  <c r="D81" i="5" s="1"/>
  <c r="E81" i="5" s="1"/>
  <c r="C47" i="5"/>
  <c r="D47" i="5"/>
  <c r="K50" i="59"/>
  <c r="K34" i="59"/>
  <c r="K60" i="59"/>
  <c r="K67" i="59"/>
  <c r="K38" i="59"/>
  <c r="K77" i="59"/>
  <c r="K39" i="59"/>
  <c r="K71" i="59"/>
  <c r="K41" i="59"/>
  <c r="K81" i="59"/>
  <c r="K69" i="59"/>
  <c r="K49" i="59"/>
  <c r="K29" i="59"/>
  <c r="K32" i="59"/>
  <c r="K89" i="59"/>
  <c r="K9" i="59"/>
  <c r="K13" i="59"/>
  <c r="K78" i="59"/>
  <c r="K90" i="59"/>
  <c r="K76" i="59"/>
  <c r="K85" i="59"/>
  <c r="K59" i="59"/>
  <c r="K46" i="59"/>
  <c r="K36" i="59"/>
  <c r="K11" i="59"/>
  <c r="K82" i="59"/>
  <c r="K79" i="59"/>
  <c r="K19" i="59"/>
  <c r="K70" i="59"/>
  <c r="K43" i="59"/>
  <c r="K53" i="59"/>
  <c r="K75" i="59"/>
  <c r="K28" i="59"/>
  <c r="K52" i="59"/>
  <c r="K35" i="59"/>
  <c r="K72" i="59"/>
  <c r="K51" i="59"/>
  <c r="K44" i="59"/>
  <c r="K84" i="59"/>
  <c r="K74" i="59"/>
  <c r="K54" i="59"/>
  <c r="K62" i="59"/>
  <c r="K63" i="59"/>
  <c r="K64" i="59"/>
  <c r="K65" i="59"/>
  <c r="K68" i="59"/>
  <c r="E47" i="5" l="1"/>
  <c r="I47" i="5" s="1"/>
  <c r="E48" i="5"/>
  <c r="I48" i="5" s="1"/>
  <c r="G48" i="5"/>
  <c r="C14" i="5" s="1"/>
  <c r="G14" i="5" s="1"/>
  <c r="I14" i="5" s="1"/>
  <c r="K61" i="59"/>
  <c r="K66" i="59"/>
  <c r="K31" i="59"/>
  <c r="K45" i="59"/>
  <c r="K23" i="59"/>
  <c r="K16" i="59"/>
  <c r="K48" i="59"/>
  <c r="K73" i="59"/>
  <c r="K47" i="59"/>
  <c r="K15" i="59"/>
  <c r="K56" i="59"/>
  <c r="K57" i="59"/>
  <c r="K40" i="59"/>
  <c r="K80" i="59"/>
  <c r="K42" i="59"/>
  <c r="K17" i="59"/>
  <c r="K21" i="59"/>
  <c r="K55" i="59"/>
  <c r="K30" i="59"/>
  <c r="K37" i="59"/>
  <c r="K33" i="59"/>
  <c r="K58" i="59"/>
  <c r="F13" i="5" l="1"/>
  <c r="E13" i="5"/>
  <c r="K10" i="61"/>
  <c r="J10" i="64"/>
  <c r="I11" i="6"/>
  <c r="J5" i="63"/>
  <c r="I5" i="63"/>
  <c r="J10" i="61" l="1"/>
  <c r="D76" i="5" s="1"/>
  <c r="E76" i="5" s="1"/>
  <c r="H47" i="5"/>
  <c r="D13" i="5" s="1"/>
  <c r="H13" i="5" s="1"/>
  <c r="G47" i="5"/>
  <c r="C13" i="5" s="1"/>
  <c r="G13" i="5" s="1"/>
  <c r="I13" i="5" l="1"/>
  <c r="F12" i="5"/>
  <c r="E12" i="5"/>
  <c r="E10" i="5"/>
  <c r="F10" i="5"/>
  <c r="F9" i="5"/>
  <c r="F8" i="5"/>
  <c r="F7" i="5"/>
  <c r="F6" i="5"/>
  <c r="E9" i="5"/>
  <c r="E8" i="5"/>
  <c r="E7" i="5"/>
  <c r="E6" i="5"/>
  <c r="I9" i="6"/>
  <c r="K6" i="61"/>
  <c r="K9" i="61"/>
  <c r="I8" i="6"/>
  <c r="I10" i="6"/>
  <c r="K8" i="61"/>
  <c r="I7" i="6"/>
  <c r="K7" i="61"/>
  <c r="I6" i="63"/>
  <c r="J7" i="63"/>
  <c r="I8" i="63"/>
  <c r="H9" i="63"/>
  <c r="I7" i="63"/>
  <c r="I9" i="63"/>
  <c r="H6" i="63"/>
  <c r="H7" i="63"/>
  <c r="J9" i="63"/>
  <c r="H8" i="63"/>
  <c r="J8" i="63"/>
  <c r="J6" i="63"/>
  <c r="K73" i="5" l="1"/>
  <c r="K76" i="5"/>
  <c r="K74" i="5"/>
  <c r="K75" i="5"/>
  <c r="J6" i="61"/>
  <c r="D79" i="5" s="1"/>
  <c r="E79" i="5" s="1"/>
  <c r="J9" i="61"/>
  <c r="D75" i="5" s="1"/>
  <c r="J8" i="61"/>
  <c r="D73" i="5" s="1"/>
  <c r="E73" i="5" s="1"/>
  <c r="J7" i="61"/>
  <c r="D74" i="5" s="1"/>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<sst xmlns="http://schemas.openxmlformats.org/spreadsheetml/2006/main" count="2470" uniqueCount="396">
  <si>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</si>
  <si>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</si>
  <si>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</si>
  <si>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</si>
  <si>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</si>
  <si>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</si>
  <si>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</si>
  <si>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</si>
  <si>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</si>
  <si>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</si>
  <si>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</si>
  <si>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</si>
  <si>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</si>
  <si>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</si>
  <si>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</si>
  <si>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</si>
  <si>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</si>
  <si>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</si>
  <si>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</si>
  <si>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</si>
  <si>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</si>
  <si>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</si>
  <si>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</si>
  <si>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</si>
  <si>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</si>
  <si>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</si>
  <si>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</si>
  <si>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</si>
  <si>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</si>
  <si>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</si>
  <si>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</si>
  <si>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CSU-19068</t>
  </si>
  <si>
    <t>LC</t>
  </si>
  <si>
    <t>FC</t>
  </si>
  <si>
    <t>FC-039</t>
  </si>
  <si>
    <t>SE</t>
  </si>
  <si>
    <t>L</t>
  </si>
  <si>
    <t>Cx.</t>
  </si>
  <si>
    <t>Tarsalis</t>
  </si>
  <si>
    <t>F</t>
  </si>
  <si>
    <t>Negative</t>
  </si>
  <si>
    <t>FC-Tar</t>
  </si>
  <si>
    <t>SE-Tar</t>
  </si>
  <si>
    <t>CSU-19069</t>
  </si>
  <si>
    <t>Pipiens</t>
  </si>
  <si>
    <t>FC-Pip</t>
  </si>
  <si>
    <t>SE-Pip</t>
  </si>
  <si>
    <t>CSU-19070</t>
  </si>
  <si>
    <t>FC-064</t>
  </si>
  <si>
    <t>CSU-19071</t>
  </si>
  <si>
    <t>CSU-19072</t>
  </si>
  <si>
    <t>FC-053</t>
  </si>
  <si>
    <t>CSU-19073</t>
  </si>
  <si>
    <t>FC-075</t>
  </si>
  <si>
    <t>CSU-19074</t>
  </si>
  <si>
    <t>FC-074</t>
  </si>
  <si>
    <t>CSU-19075</t>
  </si>
  <si>
    <t>CSU-19076</t>
  </si>
  <si>
    <t>FC-088gr</t>
  </si>
  <si>
    <t>G</t>
  </si>
  <si>
    <t>CSU-19077</t>
  </si>
  <si>
    <t>FC-004</t>
  </si>
  <si>
    <t>CSU-19078</t>
  </si>
  <si>
    <t>CSU-19079</t>
  </si>
  <si>
    <t>CSU-19080</t>
  </si>
  <si>
    <t>FC-027</t>
  </si>
  <si>
    <t>CSU-19081</t>
  </si>
  <si>
    <t>CSU-19082</t>
  </si>
  <si>
    <t>CSU-19083</t>
  </si>
  <si>
    <t>FC-023</t>
  </si>
  <si>
    <t>CSU-19084</t>
  </si>
  <si>
    <t>CSU-19085</t>
  </si>
  <si>
    <t>FC-059</t>
  </si>
  <si>
    <t>CSU-19086</t>
  </si>
  <si>
    <t>CSU-19087</t>
  </si>
  <si>
    <t>CSU-19088</t>
  </si>
  <si>
    <t>FC-050</t>
  </si>
  <si>
    <t>CSU-19089</t>
  </si>
  <si>
    <t>CSU-19090</t>
  </si>
  <si>
    <t>CSU-19091</t>
  </si>
  <si>
    <t>FC-046</t>
  </si>
  <si>
    <t>CSU-19092</t>
  </si>
  <si>
    <t>CSU-19093</t>
  </si>
  <si>
    <t>FC-075gr</t>
  </si>
  <si>
    <t>CSU-19094</t>
  </si>
  <si>
    <t>FC-031</t>
  </si>
  <si>
    <t>CSU-19095</t>
  </si>
  <si>
    <t>FC-047</t>
  </si>
  <si>
    <t>CSU-19096</t>
  </si>
  <si>
    <t>CSU-19097</t>
  </si>
  <si>
    <t>FC-057</t>
  </si>
  <si>
    <t>SW</t>
  </si>
  <si>
    <t>SW-Tar</t>
  </si>
  <si>
    <t>CSU-19098</t>
  </si>
  <si>
    <t>FC-054</t>
  </si>
  <si>
    <t>CSU-19099</t>
  </si>
  <si>
    <t>FC-001</t>
  </si>
  <si>
    <t>CSU-19100</t>
  </si>
  <si>
    <t>SW-Pip</t>
  </si>
  <si>
    <t>CSU-19101</t>
  </si>
  <si>
    <t>FC-029gr</t>
  </si>
  <si>
    <t>Positive</t>
  </si>
  <si>
    <t>CSU-19102</t>
  </si>
  <si>
    <t>FC-068</t>
  </si>
  <si>
    <t>CSU-19103</t>
  </si>
  <si>
    <t>CSU-19104</t>
  </si>
  <si>
    <t>FC-029</t>
  </si>
  <si>
    <t>CSU-19105</t>
  </si>
  <si>
    <t>CSU-19106</t>
  </si>
  <si>
    <t>FC-093</t>
  </si>
  <si>
    <t>CSU-19107</t>
  </si>
  <si>
    <t>FC-062</t>
  </si>
  <si>
    <t>CSU-19108</t>
  </si>
  <si>
    <t>CSU-19109</t>
  </si>
  <si>
    <t>FC-089gr</t>
  </si>
  <si>
    <t>CSU-19110</t>
  </si>
  <si>
    <t>FC-071</t>
  </si>
  <si>
    <t>CSU-19111</t>
  </si>
  <si>
    <t>CSU-19112</t>
  </si>
  <si>
    <t>FC-037</t>
  </si>
  <si>
    <t>CSU-19113</t>
  </si>
  <si>
    <t>CSU-19114</t>
  </si>
  <si>
    <t>FC-038</t>
  </si>
  <si>
    <t>NE</t>
  </si>
  <si>
    <t>NE-Tar</t>
  </si>
  <si>
    <t>CSU-19115</t>
  </si>
  <si>
    <t>NE-Pip</t>
  </si>
  <si>
    <t>CSU-19116</t>
  </si>
  <si>
    <t>FC-034</t>
  </si>
  <si>
    <t>CSU-19117</t>
  </si>
  <si>
    <t>FC-069</t>
  </si>
  <si>
    <t>CSU-19118</t>
  </si>
  <si>
    <t>CSU-19119</t>
  </si>
  <si>
    <t>FC-040</t>
  </si>
  <si>
    <t>CSU-19120</t>
  </si>
  <si>
    <t>CSU-19121</t>
  </si>
  <si>
    <t>CSU-19122</t>
  </si>
  <si>
    <t>FC-036</t>
  </si>
  <si>
    <t>NW</t>
  </si>
  <si>
    <t>NW-Pip</t>
  </si>
  <si>
    <t>CSU-19123</t>
  </si>
  <si>
    <t>FC-006</t>
  </si>
  <si>
    <t>CSU-19124</t>
  </si>
  <si>
    <t>CSU-19125</t>
  </si>
  <si>
    <t>FC-040gr</t>
  </si>
  <si>
    <t>CSU-19126</t>
  </si>
  <si>
    <t>CSU-19127</t>
  </si>
  <si>
    <t>FC-092gr</t>
  </si>
  <si>
    <t>CSU-19128</t>
  </si>
  <si>
    <t>FC-072</t>
  </si>
  <si>
    <t>CSU-19129</t>
  </si>
  <si>
    <t>CSU-19130</t>
  </si>
  <si>
    <t>FC-091gr</t>
  </si>
  <si>
    <t>CSU-19131</t>
  </si>
  <si>
    <t>CSU-19132</t>
  </si>
  <si>
    <t>FC-019</t>
  </si>
  <si>
    <t>CSU-19133</t>
  </si>
  <si>
    <t>CSU-19134</t>
  </si>
  <si>
    <t>FC-067</t>
  </si>
  <si>
    <t>CSU-19135</t>
  </si>
  <si>
    <t>CSU-19136</t>
  </si>
  <si>
    <t>FC-066gr</t>
  </si>
  <si>
    <t>CSU-19137</t>
  </si>
  <si>
    <t>CSU-19138</t>
  </si>
  <si>
    <t>FC-066</t>
  </si>
  <si>
    <t>CSU-19139</t>
  </si>
  <si>
    <t>CSU-19140</t>
  </si>
  <si>
    <t>CSU-19141</t>
  </si>
  <si>
    <t>CSU-19142</t>
  </si>
  <si>
    <t>CSU-19143</t>
  </si>
  <si>
    <t>CSU-19144</t>
  </si>
  <si>
    <t>CSU-19145</t>
  </si>
  <si>
    <t>CSU-19146</t>
  </si>
  <si>
    <t>CSU-19147</t>
  </si>
  <si>
    <t>CSU-19148</t>
  </si>
  <si>
    <t>CSU-19149</t>
  </si>
  <si>
    <t>FC-014</t>
  </si>
  <si>
    <t>CSU-19150</t>
  </si>
  <si>
    <t>CSU-19151</t>
  </si>
  <si>
    <t>CSU-19152</t>
  </si>
  <si>
    <t>CSU-19153</t>
  </si>
  <si>
    <t>CSU-19154</t>
  </si>
  <si>
    <t>CSU-19155</t>
  </si>
  <si>
    <t>CSU-19156</t>
  </si>
  <si>
    <t>CSU-19157</t>
  </si>
  <si>
    <t>CSU-19158</t>
  </si>
  <si>
    <t>CSU-19159</t>
  </si>
  <si>
    <t>CSU-19160</t>
  </si>
  <si>
    <t>FC-061</t>
  </si>
  <si>
    <t>CSU-19161</t>
  </si>
  <si>
    <t>FC-052</t>
  </si>
  <si>
    <t>NW-Tar</t>
  </si>
  <si>
    <t>CSU-19162</t>
  </si>
  <si>
    <t>CSU-19163</t>
  </si>
  <si>
    <t>FC-073</t>
  </si>
  <si>
    <t>CSU-19164</t>
  </si>
  <si>
    <t>FC-090gr</t>
  </si>
  <si>
    <t>CSU-19165</t>
  </si>
  <si>
    <t>FC-060</t>
  </si>
  <si>
    <t>CSU-19166</t>
  </si>
  <si>
    <t>FC-041</t>
  </si>
  <si>
    <t>CSU-19167</t>
  </si>
  <si>
    <t>CSU-19168</t>
  </si>
  <si>
    <t>FC-063</t>
  </si>
  <si>
    <t>CSU-19169</t>
  </si>
  <si>
    <t>FC-063gr</t>
  </si>
  <si>
    <t>CSU-19170</t>
  </si>
  <si>
    <t>FC-015</t>
  </si>
  <si>
    <t>CSU-19171</t>
  </si>
  <si>
    <t>CSU-19172</t>
  </si>
  <si>
    <t>FC-011</t>
  </si>
  <si>
    <t>CSU-19173</t>
  </si>
  <si>
    <t>CSU-19174</t>
  </si>
  <si>
    <t>FC-049</t>
  </si>
  <si>
    <t>BOU-00135</t>
  </si>
  <si>
    <t>N/A</t>
  </si>
  <si>
    <t>BC</t>
  </si>
  <si>
    <t>BC-19</t>
  </si>
  <si>
    <t>BC-Tar</t>
  </si>
  <si>
    <t>BOU-00136</t>
  </si>
  <si>
    <t>BC-17</t>
  </si>
  <si>
    <t>BOU-00137</t>
  </si>
  <si>
    <t>BC-Pip</t>
  </si>
  <si>
    <t>BOU-00138</t>
  </si>
  <si>
    <t>BC-09</t>
  </si>
  <si>
    <t>BOU-00139</t>
  </si>
  <si>
    <t>BC-13</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</si>
  <si>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</si>
  <si>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</si>
  <si>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</si>
  <si>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</si>
  <si>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</si>
  <si>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</si>
  <si>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</si>
  <si>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</si>
  <si>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</si>
  <si>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</si>
  <si>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</si>
  <si>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</si>
  <si>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</si>
  <si>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</si>
  <si>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</si>
  <si>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</si>
  <si>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</si>
  <si>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</si>
  <si>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</si>
  <si>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</si>
  <si>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</si>
  <si>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Boulder</t>
  </si>
  <si>
    <t>Foothills
Community Park</t>
  </si>
  <si>
    <t>Culex pipiens</t>
  </si>
  <si>
    <t>CDC Light Trap</t>
  </si>
  <si>
    <t>BO-01</t>
  </si>
  <si>
    <t>23rd/
Meadow</t>
  </si>
  <si>
    <t>BO-02</t>
  </si>
  <si>
    <t>Christensen
Park</t>
  </si>
  <si>
    <t>BO-03</t>
  </si>
  <si>
    <t>South Boulder
Rec. Center</t>
  </si>
  <si>
    <t>BO-04</t>
  </si>
  <si>
    <t>Broadway/
Baseline</t>
  </si>
  <si>
    <t>BO-05</t>
  </si>
  <si>
    <t>Broadway/
Alpine</t>
  </si>
  <si>
    <t>BO-06</t>
  </si>
  <si>
    <t>Table Mesa/
Stevens</t>
  </si>
  <si>
    <t>BO-07</t>
  </si>
  <si>
    <t>7th/
Pennsylvania</t>
  </si>
  <si>
    <t>BO-08</t>
  </si>
  <si>
    <t>Burke Park</t>
  </si>
  <si>
    <t>BO-10</t>
  </si>
  <si>
    <t xml:space="preserve">Stazio
Ballfields </t>
  </si>
  <si>
    <t>BO-11</t>
  </si>
  <si>
    <t>Rolling Rock
Ranch</t>
  </si>
  <si>
    <t>BO-20</t>
  </si>
  <si>
    <t>Sombrero
Marsh (S)¹</t>
  </si>
  <si>
    <t>BO-22</t>
  </si>
  <si>
    <t xml:space="preserve">Papini Natural 
Area Park </t>
  </si>
  <si>
    <t>BO-24</t>
  </si>
  <si>
    <t>Tom Watson
Park (S)¹</t>
  </si>
  <si>
    <t>BO-25</t>
  </si>
  <si>
    <t xml:space="preserve">Sawhill
Ponds </t>
  </si>
  <si>
    <t>BO-26</t>
  </si>
  <si>
    <t>Goose
Creek</t>
  </si>
  <si>
    <t>BO-27</t>
  </si>
  <si>
    <t>E. Boulder
Rec. Center</t>
  </si>
  <si>
    <t>BO-13</t>
  </si>
  <si>
    <t xml:space="preserve">Greenbelt
Meadows </t>
  </si>
  <si>
    <t>BO-14</t>
  </si>
  <si>
    <t xml:space="preserve">Old Tale Rd./
Gapter </t>
  </si>
  <si>
    <t>BO-28</t>
  </si>
  <si>
    <t>Culex tarsalis</t>
  </si>
  <si>
    <t>Fort Collins</t>
  </si>
  <si>
    <t>Magic Carpet</t>
  </si>
  <si>
    <t>Big Horn</t>
  </si>
  <si>
    <t>N. Linden</t>
  </si>
  <si>
    <t>Golden Current</t>
  </si>
  <si>
    <t>FC Visitor Center</t>
  </si>
  <si>
    <t>Stuart and Dorset</t>
  </si>
  <si>
    <t>Edora Park</t>
  </si>
  <si>
    <t>Boltz</t>
  </si>
  <si>
    <t>3001 San Luis</t>
  </si>
  <si>
    <t>Ben's Park</t>
  </si>
  <si>
    <t>Willow Springs</t>
  </si>
  <si>
    <t>Country Club</t>
  </si>
  <si>
    <t>Hemlock</t>
  </si>
  <si>
    <t xml:space="preserve">FC-036 </t>
  </si>
  <si>
    <t>Chelsea Ridge</t>
  </si>
  <si>
    <t>Lochside Lane</t>
  </si>
  <si>
    <t>Fossil Creek South</t>
  </si>
  <si>
    <t>Redwood</t>
  </si>
  <si>
    <t>Fishback</t>
  </si>
  <si>
    <t>Westshore Ct</t>
  </si>
  <si>
    <t>Keeneland And Twin Oak</t>
  </si>
  <si>
    <t>Casa Grande and Downing</t>
  </si>
  <si>
    <t>Golden Meadows Ditch</t>
  </si>
  <si>
    <t>603 Gilgalad Way</t>
  </si>
  <si>
    <t>Egret and Rookery</t>
  </si>
  <si>
    <t>737 Parliament</t>
  </si>
  <si>
    <t>Registry Ridge</t>
  </si>
  <si>
    <t>Springwood and Lochwood</t>
  </si>
  <si>
    <t>808 Ponderosa</t>
  </si>
  <si>
    <t>Holley Plant Research Center</t>
  </si>
  <si>
    <t>Water's Edge at Blue Mesa</t>
  </si>
  <si>
    <t>Red Fox Meadows</t>
  </si>
  <si>
    <t>West Chase</t>
  </si>
  <si>
    <t>Prospect Ponds</t>
  </si>
  <si>
    <t>Poudre River Trail</t>
  </si>
  <si>
    <t>5029 Crest Dr</t>
  </si>
  <si>
    <t>Linden Lake Rd</t>
  </si>
  <si>
    <t>Silvergate Rd</t>
  </si>
  <si>
    <t>422 Lake Dr</t>
  </si>
  <si>
    <t xml:space="preserve">118 S Grant </t>
  </si>
  <si>
    <t>Rock Creek</t>
  </si>
  <si>
    <t>Sage Creek North</t>
  </si>
  <si>
    <t>Lopez Elementary</t>
  </si>
  <si>
    <t>FROM 009 FILE</t>
  </si>
  <si>
    <t>Corresponds to 2a</t>
  </si>
  <si>
    <t>(All)</t>
  </si>
  <si>
    <t>Row Labels</t>
  </si>
  <si>
    <t>Sum of Cx pipiens</t>
  </si>
  <si>
    <t>Sum of Cx tarsalis</t>
  </si>
  <si>
    <t>Sum of Total CX</t>
  </si>
  <si>
    <t>LV</t>
  </si>
  <si>
    <t>Grand Total</t>
  </si>
  <si>
    <t>BE</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</si>
  <si>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</si>
  <si>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</si>
  <si>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</si>
  <si>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</si>
  <si>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</si>
  <si>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</si>
  <si>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</si>
  <si>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</si>
  <si>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</si>
  <si>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</si>
  <si>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</si>
  <si>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</si>
  <si>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</si>
  <si>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</si>
  <si>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</si>
  <si>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</si>
  <si>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</si>
  <si>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</si>
  <si>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</si>
  <si>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37</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</si>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</sst>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9">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13" xfId="0" applyFont="1" applyBorder="1" applyAlignment="1">
      <alignment horizontal="right" wrapText="1"/>
    </xf>
    <xf numFmtId="49" fontId="19" fillId="0" borderId="13" xfId="0" applyNumberFormat="1" applyFont="1" applyBorder="1" applyAlignment="1">
      <alignment horizontal="left" wrapText="1"/>
    </xf>
    <xf numFmtId="0" fontId="17" fillId="0" borderId="13" xfId="0" applyFont="1" applyBorder="1" applyAlignment="1">
      <alignment horizontal="right"/>
    </xf>
    <xf numFmtId="0" fontId="19" fillId="0" borderId="13" xfId="0" applyFont="1" applyBorder="1" applyAlignment="1">
      <alignment horizontal="right" vertical="top"/>
    </xf>
    <xf numFmtId="164" fontId="17" fillId="0" borderId="13" xfId="0" applyNumberFormat="1" applyFont="1" applyBorder="1"/>
    <xf numFmtId="0" fontId="19" fillId="0" borderId="13" xfId="0" applyFont="1" applyBorder="1" applyAlignment="1">
      <alignment horizontal="left" wrapText="1"/>
    </xf>
    <xf numFmtId="0" fontId="19" fillId="0" borderId="13" xfId="0" applyFont="1" applyBorder="1" applyAlignment="1">
      <alignment horizontal="left" vertical="top"/>
    </xf>
    <xf numFmtId="0" fontId="19" fillId="0" borderId="13" xfId="0" applyFont="1" applyBorder="1" applyAlignment="1">
      <alignment vertical="top"/>
    </xf>
    <xf numFmtId="0" fontId="17" fillId="0" borderId="13" xfId="0" applyFont="1" applyBorder="1"/>
    <xf numFmtId="0" fontId="17" fillId="0" borderId="15" xfId="0" applyFont="1" applyBorder="1"/>
    <xf numFmtId="14" fontId="0" fillId="0" borderId="0" xfId="0" applyNumberFormat="1" applyAlignment="1">
      <alignment horizontal="right"/>
    </xf>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5" xfId="0" applyFont="1" applyFill="1" applyBorder="1" applyAlignment="1">
      <alignment vertical="center"/>
    </xf>
    <xf numFmtId="0" fontId="14" fillId="3" borderId="13" xfId="0" applyFont="1" applyFill="1" applyBorder="1" applyAlignment="1">
      <alignmen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822.529524884259" createdVersion="6" refreshedVersion="6" minRefreshableVersion="3" recordCount="109" xr:uid="{18052553-8AD5-4EAD-AFB4-84D12F95CC34}">
  <cacheSource type="worksheet">
    <worksheetSource ref="A1:K110" sheet="Weekly 009 input"/>
  </cacheSource>
  <cacheFields count="11">
    <cacheField name="Week" numFmtId="0">
      <sharedItems containsSemiMixedTypes="0" containsString="0" containsNumber="1" containsInteger="1" minValue="37" maxValue="37" count="1">
        <n v="37"/>
      </sharedItems>
    </cacheField>
    <cacheField name="Trap Date" numFmtId="14">
      <sharedItems containsSemiMixedTypes="0" containsNonDate="0" containsDate="1" containsString="0" minDate="2022-09-12T00:00:00" maxDate="2022-09-14T00:00:00"/>
    </cacheField>
    <cacheField name="Contract" numFmtId="0">
      <sharedItems/>
    </cacheField>
    <cacheField name="Location" numFmtId="0">
      <sharedItems/>
    </cacheField>
    <cacheField name="Zone" numFmtId="0">
      <sharedItems count="5">
        <s v="BC"/>
        <s v="SW"/>
        <s v="SE"/>
        <s v="NE"/>
        <s v="NW"/>
      </sharedItems>
    </cacheField>
    <cacheField name="Species" numFmtId="0">
      <sharedItems/>
    </cacheField>
    <cacheField name="Total CX" numFmtId="0">
      <sharedItems containsSemiMixedTypes="0" containsString="0" containsNumber="1" containsInteger="1" minValue="0" maxValue="496"/>
    </cacheField>
    <cacheField name="Type" numFmtId="0">
      <sharedItems/>
    </cacheField>
    <cacheField name="Trap Number" numFmtId="0">
      <sharedItems/>
    </cacheField>
    <cacheField name="Cx tarsalis" numFmtId="0">
      <sharedItems containsSemiMixedTypes="0" containsString="0" containsNumber="1" containsInteger="1" minValue="0" maxValue="24"/>
    </cacheField>
    <cacheField name="Cx pipiens" numFmtId="0">
      <sharedItems containsSemiMixedTypes="0" containsString="0" containsNumber="1" containsInteger="1" minValue="0" maxValue="4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822.530253703706" createdVersion="6" refreshedVersion="6" minRefreshableVersion="3" recordCount="112" xr:uid="{6CC35118-3DBC-4052-A233-FBC81A9B78D7}">
  <cacheSource type="worksheet">
    <worksheetSource ref="A1:S113" sheet="Weekly Data Input"/>
  </cacheSource>
  <cacheFields count="19">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8672" maxValue="28778"/>
    </cacheField>
    <cacheField name="Week" numFmtId="0">
      <sharedItems containsSemiMixedTypes="0" containsString="0" containsNumber="1" containsInteger="1" minValue="37" maxValue="37" count="1">
        <n v="37"/>
      </sharedItems>
    </cacheField>
    <cacheField name="Trap Date" numFmtId="164">
      <sharedItems containsSemiMixedTypes="0" containsNonDate="0" containsDate="1" containsString="0" minDate="2022-09-12T00:00:00" maxDate="2022-09-15T00:00:00"/>
    </cacheField>
    <cacheField name="County" numFmtId="0">
      <sharedItems/>
    </cacheField>
    <cacheField name="Account" numFmtId="0">
      <sharedItems/>
    </cacheField>
    <cacheField name="Collection Site (Trap ID)" numFmtId="0">
      <sharedItems/>
    </cacheField>
    <cacheField name="Zone" numFmtId="0">
      <sharedItems count="5">
        <s v="SE"/>
        <s v="SW"/>
        <s v="NE"/>
        <s v="N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822.530413310182" createdVersion="6" refreshedVersion="6" minRefreshableVersion="3" recordCount="112" xr:uid="{A3F9CBF6-CD30-46F2-BB50-B6D6143F4F5B}">
  <cacheSource type="worksheet">
    <worksheetSource ref="A1:R113"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8672" maxValue="28778"/>
    </cacheField>
    <cacheField name="Week" numFmtId="0">
      <sharedItems containsSemiMixedTypes="0" containsString="0" containsNumber="1" containsInteger="1" minValue="36" maxValue="37" count="2">
        <n v="37"/>
        <n v="36" u="1"/>
      </sharedItems>
    </cacheField>
    <cacheField name="Trap Date" numFmtId="164">
      <sharedItems containsSemiMixedTypes="0" containsNonDate="0" containsDate="1" containsString="0" minDate="2022-09-05T00:00:00" maxDate="2022-09-15T00:00:00" count="6">
        <d v="2022-09-13T00:00:00"/>
        <d v="2022-09-14T00:00:00"/>
        <d v="2022-09-12T00:00:00"/>
        <d v="2022-09-07T00:00:00" u="1"/>
        <d v="2022-09-05T00:00:00" u="1"/>
        <d v="2022-09-08T00:00:00" u="1"/>
      </sharedItems>
    </cacheField>
    <cacheField name="County" numFmtId="0">
      <sharedItems/>
    </cacheField>
    <cacheField name="Account" numFmtId="0">
      <sharedItems/>
    </cacheField>
    <cacheField name="Collection Site (Trap ID)" numFmtId="0">
      <sharedItems/>
    </cacheField>
    <cacheField name="Zone" numFmtId="0">
      <sharedItems count="6">
        <s v="SE"/>
        <s v="SW"/>
        <s v="NE"/>
        <s v="NW"/>
        <s v="BC"/>
        <s v="LV" u="1"/>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d v="2022-09-12T00:00:00"/>
    <s v="Boulder"/>
    <s v="Foothills_x000a_Community Park"/>
    <x v="0"/>
    <s v="Culex pipiens"/>
    <n v="2"/>
    <s v="CDC Light Trap"/>
    <s v="BO-01"/>
    <n v="0"/>
    <n v="2"/>
  </r>
  <r>
    <x v="0"/>
    <d v="2022-09-12T00:00:00"/>
    <s v="Boulder"/>
    <s v="23rd/_x000a_Meadow"/>
    <x v="0"/>
    <s v="Culex pipiens"/>
    <n v="2"/>
    <s v="CDC Light Trap"/>
    <s v="BO-02"/>
    <n v="0"/>
    <n v="2"/>
  </r>
  <r>
    <x v="0"/>
    <d v="2022-09-12T00:00:00"/>
    <s v="Boulder"/>
    <s v="Christensen_x000a_Park"/>
    <x v="0"/>
    <s v="Culex pipiens"/>
    <n v="1"/>
    <s v="CDC Light Trap"/>
    <s v="BO-03"/>
    <n v="0"/>
    <n v="1"/>
  </r>
  <r>
    <x v="0"/>
    <d v="2022-09-12T00:00:00"/>
    <s v="Boulder"/>
    <s v="South Boulder_x000a_Rec. Center"/>
    <x v="0"/>
    <s v="Culex pipiens"/>
    <n v="1"/>
    <s v="CDC Light Trap"/>
    <s v="BO-04"/>
    <n v="0"/>
    <n v="1"/>
  </r>
  <r>
    <x v="0"/>
    <d v="2022-09-12T00:00:00"/>
    <s v="Boulder"/>
    <s v="Broadway/_x000a_Baseline"/>
    <x v="0"/>
    <s v="Culex pipiens"/>
    <n v="1"/>
    <s v="CDC Light Trap"/>
    <s v="BO-05"/>
    <n v="0"/>
    <n v="1"/>
  </r>
  <r>
    <x v="0"/>
    <d v="2022-09-12T00:00:00"/>
    <s v="Boulder"/>
    <s v="Broadway/_x000a_Alpine"/>
    <x v="0"/>
    <s v="Culex pipiens"/>
    <n v="0"/>
    <s v="CDC Light Trap"/>
    <s v="BO-06"/>
    <n v="0"/>
    <n v="0"/>
  </r>
  <r>
    <x v="0"/>
    <d v="2022-09-12T00:00:00"/>
    <s v="Boulder"/>
    <s v="Table Mesa/_x000a_Stevens"/>
    <x v="0"/>
    <s v="Culex pipiens"/>
    <n v="0"/>
    <s v="CDC Light Trap"/>
    <s v="BO-07"/>
    <n v="0"/>
    <n v="0"/>
  </r>
  <r>
    <x v="0"/>
    <d v="2022-09-12T00:00:00"/>
    <s v="Boulder"/>
    <s v="7th/_x000a_Pennsylvania"/>
    <x v="0"/>
    <s v="Culex pipiens"/>
    <n v="0"/>
    <s v="CDC Light Trap"/>
    <s v="BO-08"/>
    <n v="0"/>
    <n v="0"/>
  </r>
  <r>
    <x v="0"/>
    <d v="2022-09-12T00:00:00"/>
    <s v="Boulder"/>
    <s v="Burke Park"/>
    <x v="0"/>
    <s v="Culex pipiens"/>
    <n v="0"/>
    <s v="CDC Light Trap"/>
    <s v="BO-10"/>
    <n v="0"/>
    <n v="0"/>
  </r>
  <r>
    <x v="0"/>
    <d v="2022-09-12T00:00:00"/>
    <s v="Boulder"/>
    <s v="Stazio_x000a_Ballfields "/>
    <x v="0"/>
    <s v="Culex pipiens"/>
    <n v="7"/>
    <s v="CDC Light Trap"/>
    <s v="BO-11"/>
    <n v="0"/>
    <n v="7"/>
  </r>
  <r>
    <x v="0"/>
    <d v="2022-09-12T00:00:00"/>
    <s v="Boulder"/>
    <s v="Rolling Rock_x000a_Ranch"/>
    <x v="0"/>
    <s v="Culex pipiens"/>
    <n v="0"/>
    <s v="CDC Light Trap"/>
    <s v="BO-20"/>
    <n v="0"/>
    <n v="0"/>
  </r>
  <r>
    <x v="0"/>
    <d v="2022-09-12T00:00:00"/>
    <s v="Boulder"/>
    <s v="Sombrero_x000a_Marsh (S)¹"/>
    <x v="0"/>
    <s v="Culex pipiens"/>
    <n v="1"/>
    <s v="CDC Light Trap"/>
    <s v="BO-22"/>
    <n v="0"/>
    <n v="1"/>
  </r>
  <r>
    <x v="0"/>
    <d v="2022-09-12T00:00:00"/>
    <s v="Boulder"/>
    <s v="Papini Natural _x000a_Area Park "/>
    <x v="0"/>
    <s v="Culex pipiens"/>
    <n v="0"/>
    <s v="CDC Light Trap"/>
    <s v="BO-24"/>
    <n v="0"/>
    <n v="0"/>
  </r>
  <r>
    <x v="0"/>
    <d v="2022-09-12T00:00:00"/>
    <s v="Boulder"/>
    <s v="Tom Watson_x000a_Park (S)¹"/>
    <x v="0"/>
    <s v="Culex pipiens"/>
    <n v="0"/>
    <s v="CDC Light Trap"/>
    <s v="BO-25"/>
    <n v="0"/>
    <n v="0"/>
  </r>
  <r>
    <x v="0"/>
    <d v="2022-09-12T00:00:00"/>
    <s v="Boulder"/>
    <s v="Sawhill_x000a_Ponds "/>
    <x v="0"/>
    <s v="Culex pipiens"/>
    <n v="0"/>
    <s v="CDC Light Trap"/>
    <s v="BO-26"/>
    <n v="0"/>
    <n v="0"/>
  </r>
  <r>
    <x v="0"/>
    <d v="2022-09-12T00:00:00"/>
    <s v="Boulder"/>
    <s v="Goose_x000a_Creek"/>
    <x v="0"/>
    <s v="Culex pipiens"/>
    <n v="0"/>
    <s v="CDC Light Trap"/>
    <s v="BO-27"/>
    <n v="0"/>
    <n v="0"/>
  </r>
  <r>
    <x v="0"/>
    <d v="2022-09-12T00:00:00"/>
    <s v="Boulder"/>
    <s v="E. Boulder_x000a_Rec. Center"/>
    <x v="0"/>
    <s v="Culex pipiens"/>
    <n v="3"/>
    <s v="CDC Light Trap"/>
    <s v="BO-13"/>
    <n v="0"/>
    <n v="3"/>
  </r>
  <r>
    <x v="0"/>
    <d v="2022-09-12T00:00:00"/>
    <s v="Boulder"/>
    <s v="Greenbelt_x000a_Meadows "/>
    <x v="0"/>
    <s v="Culex pipiens"/>
    <n v="0"/>
    <s v="CDC Light Trap"/>
    <s v="BO-14"/>
    <n v="0"/>
    <n v="0"/>
  </r>
  <r>
    <x v="0"/>
    <d v="2022-09-12T00:00:00"/>
    <s v="Boulder"/>
    <s v="Old Tale Rd./_x000a_Gapter "/>
    <x v="0"/>
    <s v="Culex pipiens"/>
    <n v="0"/>
    <s v="CDC Light Trap"/>
    <s v="BO-28"/>
    <n v="0"/>
    <n v="0"/>
  </r>
  <r>
    <x v="0"/>
    <d v="2022-09-12T00:00:00"/>
    <s v="Boulder"/>
    <s v="Foothills_x000a_Community Park"/>
    <x v="0"/>
    <s v="Culex tarsalis"/>
    <n v="1"/>
    <s v="CDC Light Trap"/>
    <s v="BO-01"/>
    <n v="1"/>
    <n v="0"/>
  </r>
  <r>
    <x v="0"/>
    <d v="2022-09-12T00:00:00"/>
    <s v="Boulder"/>
    <s v="23rd/_x000a_Meadow"/>
    <x v="0"/>
    <s v="Culex tarsalis"/>
    <n v="2"/>
    <s v="CDC Light Trap"/>
    <s v="BO-02"/>
    <n v="2"/>
    <n v="0"/>
  </r>
  <r>
    <x v="0"/>
    <d v="2022-09-12T00:00:00"/>
    <s v="Boulder"/>
    <s v="Christensen_x000a_Park"/>
    <x v="0"/>
    <s v="Culex tarsalis"/>
    <n v="0"/>
    <s v="CDC Light Trap"/>
    <s v="BO-03"/>
    <n v="0"/>
    <n v="0"/>
  </r>
  <r>
    <x v="0"/>
    <d v="2022-09-12T00:00:00"/>
    <s v="Boulder"/>
    <s v="South Boulder_x000a_Rec. Center"/>
    <x v="0"/>
    <s v="Culex tarsalis"/>
    <n v="6"/>
    <s v="CDC Light Trap"/>
    <s v="BO-04"/>
    <n v="6"/>
    <n v="0"/>
  </r>
  <r>
    <x v="0"/>
    <d v="2022-09-12T00:00:00"/>
    <s v="Boulder"/>
    <s v="Broadway/_x000a_Baseline"/>
    <x v="0"/>
    <s v="Culex tarsalis"/>
    <n v="1"/>
    <s v="CDC Light Trap"/>
    <s v="BO-05"/>
    <n v="1"/>
    <n v="0"/>
  </r>
  <r>
    <x v="0"/>
    <d v="2022-09-12T00:00:00"/>
    <s v="Boulder"/>
    <s v="Broadway/_x000a_Alpine"/>
    <x v="0"/>
    <s v="Culex tarsalis"/>
    <n v="0"/>
    <s v="CDC Light Trap"/>
    <s v="BO-06"/>
    <n v="0"/>
    <n v="0"/>
  </r>
  <r>
    <x v="0"/>
    <d v="2022-09-12T00:00:00"/>
    <s v="Boulder"/>
    <s v="Table Mesa/_x000a_Stevens"/>
    <x v="0"/>
    <s v="Culex tarsalis"/>
    <n v="2"/>
    <s v="CDC Light Trap"/>
    <s v="BO-07"/>
    <n v="2"/>
    <n v="0"/>
  </r>
  <r>
    <x v="0"/>
    <d v="2022-09-12T00:00:00"/>
    <s v="Boulder"/>
    <s v="7th/_x000a_Pennsylvania"/>
    <x v="0"/>
    <s v="Culex tarsalis"/>
    <n v="1"/>
    <s v="CDC Light Trap"/>
    <s v="BO-08"/>
    <n v="1"/>
    <n v="0"/>
  </r>
  <r>
    <x v="0"/>
    <d v="2022-09-12T00:00:00"/>
    <s v="Boulder"/>
    <s v="Burke Park"/>
    <x v="0"/>
    <s v="Culex tarsalis"/>
    <n v="1"/>
    <s v="CDC Light Trap"/>
    <s v="BO-10"/>
    <n v="1"/>
    <n v="0"/>
  </r>
  <r>
    <x v="0"/>
    <d v="2022-09-12T00:00:00"/>
    <s v="Boulder"/>
    <s v="Stazio_x000a_Ballfields "/>
    <x v="0"/>
    <s v="Culex tarsalis"/>
    <n v="3"/>
    <s v="CDC Light Trap"/>
    <s v="BO-11"/>
    <n v="3"/>
    <n v="0"/>
  </r>
  <r>
    <x v="0"/>
    <d v="2022-09-12T00:00:00"/>
    <s v="Boulder"/>
    <s v="Rolling Rock_x000a_Ranch"/>
    <x v="0"/>
    <s v="Culex tarsalis"/>
    <n v="3"/>
    <s v="CDC Light Trap"/>
    <s v="BO-20"/>
    <n v="3"/>
    <n v="0"/>
  </r>
  <r>
    <x v="0"/>
    <d v="2022-09-12T00:00:00"/>
    <s v="Boulder"/>
    <s v="Sombrero_x000a_Marsh (S)¹"/>
    <x v="0"/>
    <s v="Culex tarsalis"/>
    <n v="1"/>
    <s v="CDC Light Trap"/>
    <s v="BO-22"/>
    <n v="1"/>
    <n v="0"/>
  </r>
  <r>
    <x v="0"/>
    <d v="2022-09-12T00:00:00"/>
    <s v="Boulder"/>
    <s v="Papini Natural _x000a_Area Park "/>
    <x v="0"/>
    <s v="Culex tarsalis"/>
    <n v="0"/>
    <s v="CDC Light Trap"/>
    <s v="BO-24"/>
    <n v="0"/>
    <n v="0"/>
  </r>
  <r>
    <x v="0"/>
    <d v="2022-09-12T00:00:00"/>
    <s v="Boulder"/>
    <s v="Tom Watson_x000a_Park (S)¹"/>
    <x v="0"/>
    <s v="Culex tarsalis"/>
    <n v="5"/>
    <s v="CDC Light Trap"/>
    <s v="BO-25"/>
    <n v="5"/>
    <n v="0"/>
  </r>
  <r>
    <x v="0"/>
    <d v="2022-09-12T00:00:00"/>
    <s v="Boulder"/>
    <s v="Sawhill_x000a_Ponds "/>
    <x v="0"/>
    <s v="Culex tarsalis"/>
    <n v="0"/>
    <s v="CDC Light Trap"/>
    <s v="BO-26"/>
    <n v="0"/>
    <n v="0"/>
  </r>
  <r>
    <x v="0"/>
    <d v="2022-09-12T00:00:00"/>
    <s v="Boulder"/>
    <s v="Goose_x000a_Creek"/>
    <x v="0"/>
    <s v="Culex tarsalis"/>
    <n v="2"/>
    <s v="CDC Light Trap"/>
    <s v="BO-27"/>
    <n v="2"/>
    <n v="0"/>
  </r>
  <r>
    <x v="0"/>
    <d v="2022-09-12T00:00:00"/>
    <s v="Boulder"/>
    <s v="E. Boulder_x000a_Rec. Center"/>
    <x v="0"/>
    <s v="Culex tarsalis"/>
    <n v="2"/>
    <s v="CDC Light Trap"/>
    <s v="BO-13"/>
    <n v="2"/>
    <n v="0"/>
  </r>
  <r>
    <x v="0"/>
    <d v="2022-09-12T00:00:00"/>
    <s v="Boulder"/>
    <s v="Greenbelt_x000a_Meadows "/>
    <x v="0"/>
    <s v="Culex tarsalis"/>
    <n v="0"/>
    <s v="CDC Light Trap"/>
    <s v="BO-14"/>
    <n v="0"/>
    <n v="0"/>
  </r>
  <r>
    <x v="0"/>
    <d v="2022-09-12T00:00:00"/>
    <s v="Boulder"/>
    <s v="Old Tale Rd./_x000a_Gapter "/>
    <x v="0"/>
    <s v="Culex tarsalis"/>
    <n v="1"/>
    <s v="CDC Light Trap"/>
    <s v="BO-28"/>
    <n v="1"/>
    <n v="0"/>
  </r>
  <r>
    <x v="0"/>
    <d v="2022-09-12T00:00:00"/>
    <s v="Fort Collins"/>
    <s v="Magic Carpet"/>
    <x v="1"/>
    <s v="Culex pipiens"/>
    <n v="10"/>
    <s v="CDC Light Trap"/>
    <s v="FC-001"/>
    <n v="0"/>
    <n v="10"/>
  </r>
  <r>
    <x v="0"/>
    <d v="2022-09-12T00:00:00"/>
    <s v="Fort Collins"/>
    <s v="Magic Carpet"/>
    <x v="1"/>
    <s v="Culex tarsalis"/>
    <n v="2"/>
    <s v="CDC Light Trap"/>
    <s v="FC-001"/>
    <n v="2"/>
    <n v="0"/>
  </r>
  <r>
    <x v="0"/>
    <d v="2022-09-12T00:00:00"/>
    <s v="Fort Collins"/>
    <s v="Big Horn"/>
    <x v="2"/>
    <s v="Culex tarsalis"/>
    <n v="4"/>
    <s v="CDC Light Trap"/>
    <s v="FC-004"/>
    <n v="4"/>
    <n v="0"/>
  </r>
  <r>
    <x v="0"/>
    <d v="2022-09-12T00:00:00"/>
    <s v="Fort Collins"/>
    <s v="Big Horn"/>
    <x v="2"/>
    <s v="Culex pipiens"/>
    <n v="90"/>
    <s v="CDC Light Trap"/>
    <s v="FC-004"/>
    <n v="0"/>
    <n v="90"/>
  </r>
  <r>
    <x v="0"/>
    <d v="2022-09-13T00:00:00"/>
    <s v="Fort Collins"/>
    <s v="N. Linden"/>
    <x v="3"/>
    <s v="Culex tarsalis"/>
    <n v="1"/>
    <s v="CDC Light Trap"/>
    <s v="FC-006"/>
    <n v="1"/>
    <n v="0"/>
  </r>
  <r>
    <x v="0"/>
    <d v="2022-09-13T00:00:00"/>
    <s v="Fort Collins"/>
    <s v="N. Linden"/>
    <x v="3"/>
    <s v="Culex pipiens"/>
    <n v="8"/>
    <s v="CDC Light Trap"/>
    <s v="FC-006"/>
    <n v="0"/>
    <n v="8"/>
  </r>
  <r>
    <x v="0"/>
    <d v="2022-09-13T00:00:00"/>
    <s v="Fort Collins"/>
    <s v="Golden Current"/>
    <x v="4"/>
    <s v="Culex pipiens"/>
    <n v="11"/>
    <s v="CDC Light Trap"/>
    <s v="FC-011"/>
    <n v="0"/>
    <n v="11"/>
  </r>
  <r>
    <x v="0"/>
    <d v="2022-09-13T00:00:00"/>
    <s v="Fort Collins"/>
    <s v="Golden Current"/>
    <x v="4"/>
    <s v="Culex tarsalis"/>
    <n v="1"/>
    <s v="CDC Light Trap"/>
    <s v="FC-011"/>
    <n v="1"/>
    <n v="0"/>
  </r>
  <r>
    <x v="0"/>
    <d v="2022-09-13T00:00:00"/>
    <s v="Fort Collins"/>
    <s v="FC Visitor Center"/>
    <x v="3"/>
    <s v="Culex tarsalis"/>
    <n v="9"/>
    <s v="CDC Light Trap"/>
    <s v="FC-014"/>
    <n v="9"/>
    <n v="0"/>
  </r>
  <r>
    <x v="0"/>
    <d v="2022-09-13T00:00:00"/>
    <s v="Fort Collins"/>
    <s v="FC Visitor Center"/>
    <x v="3"/>
    <s v="Culex pipiens"/>
    <n v="496"/>
    <s v="CDC Light Trap"/>
    <s v="FC-014"/>
    <n v="0"/>
    <n v="496"/>
  </r>
  <r>
    <x v="0"/>
    <d v="2022-09-13T00:00:00"/>
    <s v="Fort Collins"/>
    <s v="Stuart and Dorset"/>
    <x v="4"/>
    <s v="Culex pipiens"/>
    <n v="1"/>
    <s v="CDC Light Trap"/>
    <s v="FC-015"/>
    <n v="0"/>
    <n v="1"/>
  </r>
  <r>
    <x v="0"/>
    <d v="2022-09-13T00:00:00"/>
    <s v="Fort Collins"/>
    <s v="Stuart and Dorset"/>
    <x v="4"/>
    <s v="Culex tarsalis"/>
    <n v="5"/>
    <s v="CDC Light Trap"/>
    <s v="FC-015"/>
    <n v="5"/>
    <n v="0"/>
  </r>
  <r>
    <x v="0"/>
    <d v="2022-09-13T00:00:00"/>
    <s v="Fort Collins"/>
    <s v="Edora Park"/>
    <x v="3"/>
    <s v="Culex pipiens"/>
    <n v="43"/>
    <s v="CDC Light Trap"/>
    <s v="FC-019"/>
    <n v="0"/>
    <n v="43"/>
  </r>
  <r>
    <x v="0"/>
    <d v="2022-09-13T00:00:00"/>
    <s v="Fort Collins"/>
    <s v="Edora Park"/>
    <x v="3"/>
    <s v="Culex tarsalis"/>
    <n v="3"/>
    <s v="CDC Light Trap"/>
    <s v="FC-019"/>
    <n v="3"/>
    <n v="0"/>
  </r>
  <r>
    <x v="0"/>
    <d v="2022-09-12T00:00:00"/>
    <s v="Fort Collins"/>
    <s v="Boltz"/>
    <x v="2"/>
    <s v="Culex pipiens"/>
    <n v="11"/>
    <s v="CDC Light Trap"/>
    <s v="FC-023"/>
    <n v="0"/>
    <n v="11"/>
  </r>
  <r>
    <x v="0"/>
    <d v="2022-09-12T00:00:00"/>
    <s v="Fort Collins"/>
    <s v="Boltz"/>
    <x v="2"/>
    <s v="Culex tarsalis"/>
    <n v="2"/>
    <s v="CDC Light Trap"/>
    <s v="FC-023"/>
    <n v="2"/>
    <n v="0"/>
  </r>
  <r>
    <x v="0"/>
    <d v="2022-09-12T00:00:00"/>
    <s v="Fort Collins"/>
    <s v="3001 San Luis"/>
    <x v="2"/>
    <s v="Culex tarsalis"/>
    <n v="3"/>
    <s v="CDC Light Trap"/>
    <s v="FC-027"/>
    <n v="3"/>
    <n v="0"/>
  </r>
  <r>
    <x v="0"/>
    <d v="2022-09-12T00:00:00"/>
    <s v="Fort Collins"/>
    <s v="3001 San Luis"/>
    <x v="2"/>
    <s v="Culex pipiens"/>
    <n v="73"/>
    <s v="CDC Light Trap"/>
    <s v="FC-027"/>
    <n v="0"/>
    <n v="73"/>
  </r>
  <r>
    <x v="0"/>
    <d v="2022-09-12T00:00:00"/>
    <s v="Fort Collins"/>
    <s v="Ben's Park"/>
    <x v="2"/>
    <s v="Culex pipiens"/>
    <n v="3"/>
    <s v="CDC Light Trap"/>
    <s v="FC-029"/>
    <n v="0"/>
    <n v="3"/>
  </r>
  <r>
    <x v="0"/>
    <d v="2022-09-12T00:00:00"/>
    <s v="Fort Collins"/>
    <s v="Ben's Park"/>
    <x v="2"/>
    <s v="Culex tarsalis"/>
    <n v="3"/>
    <s v="CDC Light Trap"/>
    <s v="FC-029"/>
    <n v="3"/>
    <n v="0"/>
  </r>
  <r>
    <x v="0"/>
    <d v="2022-09-12T00:00:00"/>
    <s v="Fort Collins"/>
    <s v="Willow Springs"/>
    <x v="2"/>
    <s v="Culex pipiens"/>
    <n v="1"/>
    <s v="CDC Light Trap"/>
    <s v="FC-031"/>
    <n v="0"/>
    <n v="1"/>
  </r>
  <r>
    <x v="0"/>
    <d v="2022-09-13T00:00:00"/>
    <s v="Fort Collins"/>
    <s v="Country Club"/>
    <x v="3"/>
    <s v="Culex tarsalis"/>
    <n v="7"/>
    <s v="CDC Light Trap"/>
    <s v="FC-034"/>
    <n v="7"/>
    <n v="0"/>
  </r>
  <r>
    <x v="0"/>
    <d v="2022-09-13T00:00:00"/>
    <s v="Fort Collins"/>
    <s v="Hemlock"/>
    <x v="4"/>
    <s v="Culex pipiens"/>
    <n v="9"/>
    <s v="CDC Light Trap"/>
    <s v="FC-036 "/>
    <n v="0"/>
    <n v="9"/>
  </r>
  <r>
    <x v="0"/>
    <d v="2022-09-12T00:00:00"/>
    <s v="Fort Collins"/>
    <s v="Chelsea Ridge"/>
    <x v="1"/>
    <s v="Culex pipiens"/>
    <n v="4"/>
    <s v="CDC Light Trap"/>
    <s v="FC-037"/>
    <n v="0"/>
    <n v="4"/>
  </r>
  <r>
    <x v="0"/>
    <d v="2022-09-12T00:00:00"/>
    <s v="Fort Collins"/>
    <s v="Chelsea Ridge"/>
    <x v="1"/>
    <s v="Culex tarsalis"/>
    <n v="24"/>
    <s v="CDC Light Trap"/>
    <s v="FC-037"/>
    <n v="24"/>
    <n v="0"/>
  </r>
  <r>
    <x v="0"/>
    <d v="2022-09-13T00:00:00"/>
    <s v="Fort Collins"/>
    <s v="Lochside Lane"/>
    <x v="3"/>
    <s v="Culex pipiens"/>
    <n v="30"/>
    <s v="CDC Light Trap"/>
    <s v="FC-038"/>
    <n v="0"/>
    <n v="30"/>
  </r>
  <r>
    <x v="0"/>
    <d v="2022-09-13T00:00:00"/>
    <s v="Fort Collins"/>
    <s v="Lochside Lane"/>
    <x v="3"/>
    <s v="Culex tarsalis"/>
    <n v="6"/>
    <s v="CDC Light Trap"/>
    <s v="FC-038"/>
    <n v="6"/>
    <n v="0"/>
  </r>
  <r>
    <x v="0"/>
    <d v="2022-09-12T00:00:00"/>
    <s v="Fort Collins"/>
    <s v="Fossil Creek South"/>
    <x v="2"/>
    <s v="Culex tarsalis"/>
    <n v="2"/>
    <s v="CDC Light Trap"/>
    <s v="FC-039"/>
    <n v="2"/>
    <n v="0"/>
  </r>
  <r>
    <x v="0"/>
    <d v="2022-09-12T00:00:00"/>
    <s v="Fort Collins"/>
    <s v="Fossil Creek South"/>
    <x v="2"/>
    <s v="Culex pipiens"/>
    <n v="5"/>
    <s v="CDC Light Trap"/>
    <s v="FC-039"/>
    <n v="0"/>
    <n v="5"/>
  </r>
  <r>
    <x v="0"/>
    <d v="2022-09-13T00:00:00"/>
    <s v="Fort Collins"/>
    <s v="Redwood"/>
    <x v="3"/>
    <s v="Culex tarsalis"/>
    <n v="2"/>
    <s v="CDC Light Trap"/>
    <s v="FC-040"/>
    <n v="2"/>
    <n v="0"/>
  </r>
  <r>
    <x v="0"/>
    <d v="2022-09-13T00:00:00"/>
    <s v="Fort Collins"/>
    <s v="Redwood"/>
    <x v="3"/>
    <s v="Culex pipiens"/>
    <n v="61"/>
    <s v="CDC Light Trap"/>
    <s v="FC-040"/>
    <n v="0"/>
    <n v="61"/>
  </r>
  <r>
    <x v="0"/>
    <d v="2022-09-13T00:00:00"/>
    <s v="Fort Collins"/>
    <s v="Fishback"/>
    <x v="4"/>
    <s v="Culex pipiens"/>
    <n v="4"/>
    <s v="CDC Light Trap"/>
    <s v="FC-041"/>
    <n v="0"/>
    <n v="4"/>
  </r>
  <r>
    <x v="0"/>
    <d v="2022-09-13T00:00:00"/>
    <s v="Fort Collins"/>
    <s v="Fishback"/>
    <x v="4"/>
    <s v="Culex tarsalis"/>
    <n v="2"/>
    <s v="CDC Light Trap"/>
    <s v="FC-041"/>
    <n v="2"/>
    <n v="0"/>
  </r>
  <r>
    <x v="0"/>
    <d v="2022-09-12T00:00:00"/>
    <s v="Fort Collins"/>
    <s v="Westshore Ct"/>
    <x v="2"/>
    <s v="Culex pipiens"/>
    <n v="13"/>
    <s v="CDC Light Trap"/>
    <s v="FC-046"/>
    <n v="0"/>
    <n v="13"/>
  </r>
  <r>
    <x v="0"/>
    <d v="2022-09-12T00:00:00"/>
    <s v="Fort Collins"/>
    <s v="Westshore Ct"/>
    <x v="2"/>
    <s v="Culex tarsalis"/>
    <n v="9"/>
    <s v="CDC Light Trap"/>
    <s v="FC-046"/>
    <n v="9"/>
    <n v="0"/>
  </r>
  <r>
    <x v="0"/>
    <d v="2022-09-12T00:00:00"/>
    <s v="Fort Collins"/>
    <s v="Keeneland And Twin Oak"/>
    <x v="2"/>
    <s v="Culex pipiens"/>
    <n v="2"/>
    <s v="CDC Light Trap"/>
    <s v="FC-047"/>
    <n v="0"/>
    <n v="2"/>
  </r>
  <r>
    <x v="0"/>
    <d v="2022-09-12T00:00:00"/>
    <s v="Fort Collins"/>
    <s v="Keeneland And Twin Oak"/>
    <x v="2"/>
    <s v="Culex tarsalis"/>
    <n v="1"/>
    <s v="CDC Light Trap"/>
    <s v="FC-047"/>
    <n v="1"/>
    <n v="0"/>
  </r>
  <r>
    <x v="0"/>
    <d v="2022-09-13T00:00:00"/>
    <s v="Fort Collins"/>
    <s v="Casa Grande and Downing"/>
    <x v="1"/>
    <s v="Culex tarsalis"/>
    <n v="2"/>
    <s v="CDC Light Trap"/>
    <s v="FC-049"/>
    <n v="2"/>
    <n v="0"/>
  </r>
  <r>
    <x v="0"/>
    <d v="2022-09-12T00:00:00"/>
    <s v="Fort Collins"/>
    <s v="Golden Meadows Ditch"/>
    <x v="2"/>
    <s v="Culex tarsalis"/>
    <n v="2"/>
    <s v="CDC Light Trap"/>
    <s v="FC-050"/>
    <n v="2"/>
    <n v="0"/>
  </r>
  <r>
    <x v="0"/>
    <d v="2022-09-12T00:00:00"/>
    <s v="Fort Collins"/>
    <s v="Golden Meadows Ditch"/>
    <x v="2"/>
    <s v="Culex pipiens"/>
    <n v="93"/>
    <s v="CDC Light Trap"/>
    <s v="FC-050"/>
    <n v="0"/>
    <n v="93"/>
  </r>
  <r>
    <x v="0"/>
    <d v="2022-09-13T00:00:00"/>
    <s v="Fort Collins"/>
    <s v="603 Gilgalad Way"/>
    <x v="4"/>
    <s v="Culex pipiens"/>
    <n v="1"/>
    <s v="CDC Light Trap"/>
    <s v="FC-052"/>
    <n v="0"/>
    <n v="1"/>
  </r>
  <r>
    <x v="0"/>
    <d v="2022-09-13T00:00:00"/>
    <s v="Fort Collins"/>
    <s v="603 Gilgalad Way"/>
    <x v="4"/>
    <s v="Culex tarsalis"/>
    <n v="1"/>
    <s v="CDC Light Trap"/>
    <s v="FC-052"/>
    <n v="1"/>
    <n v="0"/>
  </r>
  <r>
    <x v="0"/>
    <d v="2022-09-12T00:00:00"/>
    <s v="Fort Collins"/>
    <s v="Egret and Rookery"/>
    <x v="2"/>
    <s v="Culex pipiens"/>
    <n v="3"/>
    <s v="CDC Light Trap"/>
    <s v="FC-053"/>
    <n v="0"/>
    <n v="3"/>
  </r>
  <r>
    <x v="0"/>
    <d v="2022-09-12T00:00:00"/>
    <s v="Fort Collins"/>
    <s v="737 Parliament"/>
    <x v="2"/>
    <s v="Culex pipiens"/>
    <n v="1"/>
    <s v="CDC Light Trap"/>
    <s v="FC-054"/>
    <n v="0"/>
    <n v="1"/>
  </r>
  <r>
    <x v="0"/>
    <d v="2022-09-12T00:00:00"/>
    <s v="Fort Collins"/>
    <s v="Registry Ridge"/>
    <x v="1"/>
    <s v="Culex tarsalis"/>
    <n v="8"/>
    <s v="CDC Light Trap"/>
    <s v="FC-057"/>
    <n v="8"/>
    <n v="0"/>
  </r>
  <r>
    <x v="0"/>
    <d v="2022-09-12T00:00:00"/>
    <s v="Fort Collins"/>
    <s v="Springwood and Lochwood"/>
    <x v="2"/>
    <s v="Culex tarsalis"/>
    <n v="4"/>
    <s v="CDC Light Trap"/>
    <s v="FC-059"/>
    <n v="4"/>
    <n v="0"/>
  </r>
  <r>
    <x v="0"/>
    <d v="2022-09-12T00:00:00"/>
    <s v="Fort Collins"/>
    <s v="Springwood and Lochwood"/>
    <x v="2"/>
    <s v="Culex pipiens"/>
    <n v="80"/>
    <s v="CDC Light Trap"/>
    <s v="FC-059"/>
    <n v="0"/>
    <n v="80"/>
  </r>
  <r>
    <x v="0"/>
    <d v="2022-09-13T00:00:00"/>
    <s v="Fort Collins"/>
    <s v="808 Ponderosa"/>
    <x v="4"/>
    <s v="Culex pipiens"/>
    <n v="2"/>
    <s v="CDC Light Trap"/>
    <s v="FC-060"/>
    <n v="0"/>
    <n v="2"/>
  </r>
  <r>
    <x v="0"/>
    <d v="2022-09-13T00:00:00"/>
    <s v="Fort Collins"/>
    <s v="Holley Plant Research Center"/>
    <x v="4"/>
    <s v="Culex pipiens"/>
    <n v="1"/>
    <s v="CDC Light Trap"/>
    <s v="FC-061"/>
    <n v="0"/>
    <n v="1"/>
  </r>
  <r>
    <x v="0"/>
    <d v="2022-09-12T00:00:00"/>
    <s v="Fort Collins"/>
    <s v="Water's Edge at Blue Mesa"/>
    <x v="1"/>
    <s v="Culex pipiens"/>
    <n v="4"/>
    <s v="CDC Light Trap"/>
    <s v="FC-062"/>
    <n v="0"/>
    <n v="4"/>
  </r>
  <r>
    <x v="0"/>
    <d v="2022-09-12T00:00:00"/>
    <s v="Fort Collins"/>
    <s v="Water's Edge at Blue Mesa"/>
    <x v="1"/>
    <s v="Culex tarsalis"/>
    <n v="3"/>
    <s v="CDC Light Trap"/>
    <s v="FC-062"/>
    <n v="3"/>
    <n v="0"/>
  </r>
  <r>
    <x v="0"/>
    <d v="2022-09-13T00:00:00"/>
    <s v="Fort Collins"/>
    <s v="Red Fox Meadows"/>
    <x v="4"/>
    <s v="Culex pipiens"/>
    <n v="1"/>
    <s v="CDC Light Trap"/>
    <s v="FC-063"/>
    <n v="0"/>
    <n v="1"/>
  </r>
  <r>
    <x v="0"/>
    <d v="2022-09-12T00:00:00"/>
    <s v="Fort Collins"/>
    <s v="West Chase"/>
    <x v="2"/>
    <s v="Culex pipiens"/>
    <n v="2"/>
    <s v="CDC Light Trap"/>
    <s v="FC-064"/>
    <n v="0"/>
    <n v="2"/>
  </r>
  <r>
    <x v="0"/>
    <d v="2022-09-12T00:00:00"/>
    <s v="Fort Collins"/>
    <s v="West Chase"/>
    <x v="2"/>
    <s v="Culex tarsalis"/>
    <n v="1"/>
    <s v="CDC Light Trap"/>
    <s v="FC-064"/>
    <n v="1"/>
    <n v="0"/>
  </r>
  <r>
    <x v="0"/>
    <d v="2022-09-13T00:00:00"/>
    <s v="Fort Collins"/>
    <s v="Prospect Ponds"/>
    <x v="3"/>
    <s v="Culex tarsalis"/>
    <n v="3"/>
    <s v="CDC Light Trap"/>
    <s v="FC-066"/>
    <n v="3"/>
    <n v="0"/>
  </r>
  <r>
    <x v="0"/>
    <d v="2022-09-13T00:00:00"/>
    <s v="Fort Collins"/>
    <s v="Prospect Ponds"/>
    <x v="3"/>
    <s v="Culex pipiens"/>
    <n v="476"/>
    <s v="CDC Light Trap"/>
    <s v="FC-066"/>
    <n v="0"/>
    <n v="476"/>
  </r>
  <r>
    <x v="0"/>
    <d v="2022-09-13T00:00:00"/>
    <s v="Fort Collins"/>
    <s v="Poudre River Trail"/>
    <x v="3"/>
    <s v="Culex pipiens"/>
    <n v="35"/>
    <s v="CDC Light Trap"/>
    <s v="FC-067"/>
    <n v="0"/>
    <n v="35"/>
  </r>
  <r>
    <x v="0"/>
    <d v="2022-09-13T00:00:00"/>
    <s v="Fort Collins"/>
    <s v="Poudre River Trail"/>
    <x v="3"/>
    <s v="Culex tarsalis"/>
    <n v="8"/>
    <s v="CDC Light Trap"/>
    <s v="FC-067"/>
    <n v="8"/>
    <n v="0"/>
  </r>
  <r>
    <x v="0"/>
    <d v="2022-09-12T00:00:00"/>
    <s v="Fort Collins"/>
    <s v="5029 Crest Dr"/>
    <x v="1"/>
    <s v="Culex tarsalis"/>
    <n v="3"/>
    <s v="CDC Light Trap"/>
    <s v="FC-068"/>
    <n v="3"/>
    <n v="0"/>
  </r>
  <r>
    <x v="0"/>
    <d v="2022-09-12T00:00:00"/>
    <s v="Fort Collins"/>
    <s v="5029 Crest Dr"/>
    <x v="1"/>
    <s v="Culex pipiens"/>
    <n v="2"/>
    <s v="CDC Light Trap"/>
    <s v="FC-068"/>
    <n v="0"/>
    <n v="2"/>
  </r>
  <r>
    <x v="0"/>
    <d v="2022-09-13T00:00:00"/>
    <s v="Fort Collins"/>
    <s v="Linden Lake Rd"/>
    <x v="3"/>
    <s v="Culex pipiens"/>
    <n v="1"/>
    <s v="CDC Light Trap"/>
    <s v="FC-069"/>
    <n v="0"/>
    <n v="1"/>
  </r>
  <r>
    <x v="0"/>
    <d v="2022-09-13T00:00:00"/>
    <s v="Fort Collins"/>
    <s v="Linden Lake Rd"/>
    <x v="3"/>
    <s v="Culex tarsalis"/>
    <n v="3"/>
    <s v="CDC Light Trap"/>
    <s v="FC-069"/>
    <n v="3"/>
    <n v="0"/>
  </r>
  <r>
    <x v="0"/>
    <d v="2022-09-12T00:00:00"/>
    <s v="Fort Collins"/>
    <s v="Silvergate Rd"/>
    <x v="1"/>
    <s v="Culex tarsalis"/>
    <n v="1"/>
    <s v="CDC Light Trap"/>
    <s v="FC-071"/>
    <n v="1"/>
    <n v="0"/>
  </r>
  <r>
    <x v="0"/>
    <d v="2022-09-12T00:00:00"/>
    <s v="Fort Collins"/>
    <s v="Silvergate Rd"/>
    <x v="1"/>
    <s v="Culex pipiens"/>
    <n v="1"/>
    <s v="CDC Light Trap"/>
    <s v="FC-071"/>
    <n v="0"/>
    <n v="1"/>
  </r>
  <r>
    <x v="0"/>
    <d v="2022-09-13T00:00:00"/>
    <s v="Fort Collins"/>
    <s v="422 Lake Dr"/>
    <x v="3"/>
    <s v="Culex tarsalis"/>
    <n v="7"/>
    <s v="CDC Light Trap"/>
    <s v="FC-072"/>
    <n v="7"/>
    <n v="0"/>
  </r>
  <r>
    <x v="0"/>
    <d v="2022-09-13T00:00:00"/>
    <s v="Fort Collins"/>
    <s v="422 Lake Dr"/>
    <x v="3"/>
    <s v="Culex pipiens"/>
    <n v="7"/>
    <s v="CDC Light Trap"/>
    <s v="FC-072"/>
    <n v="0"/>
    <n v="7"/>
  </r>
  <r>
    <x v="0"/>
    <d v="2022-09-13T00:00:00"/>
    <s v="Fort Collins"/>
    <s v="118 S Grant "/>
    <x v="4"/>
    <s v="Culex pipiens"/>
    <n v="3"/>
    <s v="CDC Light Trap"/>
    <s v="FC-073"/>
    <n v="0"/>
    <n v="3"/>
  </r>
  <r>
    <x v="0"/>
    <d v="2022-09-12T00:00:00"/>
    <s v="Fort Collins"/>
    <s v="Rock Creek"/>
    <x v="2"/>
    <s v="Culex tarsalis"/>
    <n v="8"/>
    <s v="CDC Light Trap"/>
    <s v="FC-074"/>
    <n v="8"/>
    <n v="0"/>
  </r>
  <r>
    <x v="0"/>
    <d v="2022-09-12T00:00:00"/>
    <s v="Fort Collins"/>
    <s v="Rock Creek"/>
    <x v="2"/>
    <s v="Culex pipiens"/>
    <n v="17"/>
    <s v="CDC Light Trap"/>
    <s v="FC-074"/>
    <n v="0"/>
    <n v="17"/>
  </r>
  <r>
    <x v="0"/>
    <d v="2022-09-12T00:00:00"/>
    <s v="Fort Collins"/>
    <s v="Sage Creek North"/>
    <x v="2"/>
    <s v="Culex pipiens"/>
    <n v="1"/>
    <s v="CDC Light Trap"/>
    <s v="FC-075"/>
    <n v="0"/>
    <n v="1"/>
  </r>
  <r>
    <x v="0"/>
    <d v="2022-09-12T00:00:00"/>
    <s v="Fort Collins"/>
    <s v="Lopez Elementary"/>
    <x v="1"/>
    <s v="Culex pipiens"/>
    <n v="2"/>
    <s v="CDC Light Trap"/>
    <s v="FC-093"/>
    <n v="0"/>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n v="2022"/>
    <s v="CSU-19068"/>
    <n v="28672"/>
    <x v="0"/>
    <d v="2022-09-13T00:00:00"/>
    <s v="LC"/>
    <s v="FC"/>
    <s v="FC-039"/>
    <x v="0"/>
    <s v="L"/>
    <s v="Cx."/>
    <x v="0"/>
    <s v="F"/>
    <m/>
    <n v="2"/>
    <n v="2"/>
    <n v="0"/>
    <s v="Negative"/>
    <m/>
  </r>
  <r>
    <n v="2022"/>
    <s v="CSU-19069"/>
    <n v="28673"/>
    <x v="0"/>
    <d v="2022-09-13T00:00:00"/>
    <s v="LC"/>
    <s v="FC"/>
    <s v="FC-039"/>
    <x v="0"/>
    <s v="L"/>
    <s v="Cx."/>
    <x v="1"/>
    <s v="F"/>
    <m/>
    <n v="5"/>
    <n v="5"/>
    <n v="0"/>
    <s v="Negative"/>
    <m/>
  </r>
  <r>
    <n v="2022"/>
    <s v="CSU-19070"/>
    <n v="28674"/>
    <x v="0"/>
    <d v="2022-09-13T00:00:00"/>
    <s v="LC"/>
    <s v="FC"/>
    <s v="FC-064"/>
    <x v="0"/>
    <s v="L"/>
    <s v="Cx."/>
    <x v="0"/>
    <s v="F"/>
    <m/>
    <n v="1"/>
    <n v="1"/>
    <n v="0"/>
    <s v="Negative"/>
    <m/>
  </r>
  <r>
    <n v="2022"/>
    <s v="CSU-19071"/>
    <n v="28675"/>
    <x v="0"/>
    <d v="2022-09-13T00:00:00"/>
    <s v="LC"/>
    <s v="FC"/>
    <s v="FC-064"/>
    <x v="0"/>
    <s v="L"/>
    <s v="Cx."/>
    <x v="1"/>
    <s v="F"/>
    <m/>
    <n v="2"/>
    <n v="2"/>
    <n v="0"/>
    <s v="Negative"/>
    <m/>
  </r>
  <r>
    <n v="2022"/>
    <s v="CSU-19072"/>
    <n v="28676"/>
    <x v="0"/>
    <d v="2022-09-13T00:00:00"/>
    <s v="LC"/>
    <s v="FC"/>
    <s v="FC-053"/>
    <x v="0"/>
    <s v="L"/>
    <s v="Cx."/>
    <x v="1"/>
    <s v="F"/>
    <m/>
    <n v="3"/>
    <n v="3"/>
    <n v="0"/>
    <s v="Negative"/>
    <m/>
  </r>
  <r>
    <n v="2022"/>
    <s v="CSU-19073"/>
    <n v="28677"/>
    <x v="0"/>
    <d v="2022-09-13T00:00:00"/>
    <s v="LC"/>
    <s v="FC"/>
    <s v="FC-075"/>
    <x v="0"/>
    <s v="L"/>
    <s v="Cx."/>
    <x v="1"/>
    <s v="F"/>
    <m/>
    <n v="1"/>
    <n v="1"/>
    <n v="0"/>
    <s v="Negative"/>
    <m/>
  </r>
  <r>
    <n v="2022"/>
    <s v="CSU-19074"/>
    <n v="28678"/>
    <x v="0"/>
    <d v="2022-09-13T00:00:00"/>
    <s v="LC"/>
    <s v="FC"/>
    <s v="FC-074"/>
    <x v="0"/>
    <s v="L"/>
    <s v="Cx."/>
    <x v="0"/>
    <s v="F"/>
    <m/>
    <n v="8"/>
    <n v="8"/>
    <n v="0"/>
    <s v="Negative"/>
    <m/>
  </r>
  <r>
    <n v="2022"/>
    <s v="CSU-19075"/>
    <n v="28679"/>
    <x v="0"/>
    <d v="2022-09-13T00:00:00"/>
    <s v="LC"/>
    <s v="FC"/>
    <s v="FC-074"/>
    <x v="0"/>
    <s v="L"/>
    <s v="Cx."/>
    <x v="1"/>
    <s v="F"/>
    <m/>
    <n v="17"/>
    <n v="17"/>
    <n v="0"/>
    <s v="Negative"/>
    <m/>
  </r>
  <r>
    <n v="2022"/>
    <s v="CSU-19076"/>
    <n v="28680"/>
    <x v="0"/>
    <d v="2022-09-13T00:00:00"/>
    <s v="LC"/>
    <s v="FC"/>
    <s v="FC-088gr"/>
    <x v="0"/>
    <s v="G"/>
    <s v="Cx."/>
    <x v="1"/>
    <s v="F"/>
    <n v="18"/>
    <m/>
    <n v="18"/>
    <n v="0"/>
    <s v="Negative"/>
    <m/>
  </r>
  <r>
    <n v="2022"/>
    <s v="CSU-19077"/>
    <n v="28681"/>
    <x v="0"/>
    <d v="2022-09-13T00:00:00"/>
    <s v="LC"/>
    <s v="FC"/>
    <s v="FC-004"/>
    <x v="0"/>
    <s v="L"/>
    <s v="Cx."/>
    <x v="0"/>
    <s v="F"/>
    <m/>
    <n v="4"/>
    <n v="4"/>
    <n v="0"/>
    <s v="Negative"/>
    <m/>
  </r>
  <r>
    <n v="2022"/>
    <s v="CSU-19078"/>
    <n v="28682"/>
    <x v="0"/>
    <d v="2022-09-13T00:00:00"/>
    <s v="LC"/>
    <s v="FC"/>
    <s v="FC-004"/>
    <x v="0"/>
    <s v="L"/>
    <s v="Cx."/>
    <x v="1"/>
    <s v="F"/>
    <m/>
    <n v="50"/>
    <n v="50"/>
    <n v="0"/>
    <s v="Negative"/>
    <m/>
  </r>
  <r>
    <n v="2022"/>
    <s v="CSU-19079"/>
    <n v="28683"/>
    <x v="0"/>
    <d v="2022-09-13T00:00:00"/>
    <s v="LC"/>
    <s v="FC"/>
    <s v="FC-004"/>
    <x v="0"/>
    <s v="L"/>
    <s v="Cx."/>
    <x v="1"/>
    <s v="F"/>
    <m/>
    <n v="40"/>
    <n v="40"/>
    <n v="0"/>
    <s v="Negative"/>
    <m/>
  </r>
  <r>
    <n v="2022"/>
    <s v="CSU-19080"/>
    <n v="28684"/>
    <x v="0"/>
    <d v="2022-09-13T00:00:00"/>
    <s v="LC"/>
    <s v="FC"/>
    <s v="FC-027"/>
    <x v="0"/>
    <s v="L"/>
    <s v="Cx."/>
    <x v="0"/>
    <s v="F"/>
    <m/>
    <n v="3"/>
    <n v="3"/>
    <n v="0"/>
    <s v="Negative"/>
    <m/>
  </r>
  <r>
    <n v="2022"/>
    <s v="CSU-19081"/>
    <n v="28685"/>
    <x v="0"/>
    <d v="2022-09-13T00:00:00"/>
    <s v="LC"/>
    <s v="FC"/>
    <s v="FC-027"/>
    <x v="0"/>
    <s v="L"/>
    <s v="Cx."/>
    <x v="1"/>
    <s v="F"/>
    <m/>
    <n v="50"/>
    <n v="50"/>
    <n v="0"/>
    <s v="Negative"/>
    <m/>
  </r>
  <r>
    <n v="2022"/>
    <s v="CSU-19082"/>
    <n v="28686"/>
    <x v="0"/>
    <d v="2022-09-13T00:00:00"/>
    <s v="LC"/>
    <s v="FC"/>
    <s v="FC-027"/>
    <x v="0"/>
    <s v="L"/>
    <s v="Cx."/>
    <x v="1"/>
    <s v="F"/>
    <m/>
    <n v="23"/>
    <n v="23"/>
    <n v="0"/>
    <s v="Negative"/>
    <m/>
  </r>
  <r>
    <n v="2022"/>
    <s v="CSU-19083"/>
    <n v="28687"/>
    <x v="0"/>
    <d v="2022-09-13T00:00:00"/>
    <s v="LC"/>
    <s v="FC"/>
    <s v="FC-023"/>
    <x v="0"/>
    <s v="L"/>
    <s v="Cx."/>
    <x v="0"/>
    <s v="F"/>
    <m/>
    <n v="2"/>
    <n v="2"/>
    <n v="0"/>
    <s v="Negative"/>
    <m/>
  </r>
  <r>
    <n v="2022"/>
    <s v="CSU-19084"/>
    <n v="28688"/>
    <x v="0"/>
    <d v="2022-09-13T00:00:00"/>
    <s v="LC"/>
    <s v="FC"/>
    <s v="FC-023"/>
    <x v="0"/>
    <s v="L"/>
    <s v="Cx."/>
    <x v="1"/>
    <s v="F"/>
    <m/>
    <n v="11"/>
    <n v="11"/>
    <n v="0"/>
    <s v="Negative"/>
    <m/>
  </r>
  <r>
    <n v="2022"/>
    <s v="CSU-19085"/>
    <n v="28689"/>
    <x v="0"/>
    <d v="2022-09-13T00:00:00"/>
    <s v="LC"/>
    <s v="FC"/>
    <s v="FC-059"/>
    <x v="0"/>
    <s v="L"/>
    <s v="Cx."/>
    <x v="0"/>
    <s v="F"/>
    <m/>
    <n v="4"/>
    <n v="4"/>
    <n v="0"/>
    <s v="Negative"/>
    <m/>
  </r>
  <r>
    <n v="2022"/>
    <s v="CSU-19086"/>
    <n v="28690"/>
    <x v="0"/>
    <d v="2022-09-13T00:00:00"/>
    <s v="LC"/>
    <s v="FC"/>
    <s v="FC-059"/>
    <x v="0"/>
    <s v="L"/>
    <s v="Cx."/>
    <x v="1"/>
    <s v="F"/>
    <m/>
    <n v="50"/>
    <n v="50"/>
    <n v="0"/>
    <s v="Negative"/>
    <m/>
  </r>
  <r>
    <n v="2022"/>
    <s v="CSU-19087"/>
    <n v="28691"/>
    <x v="0"/>
    <d v="2022-09-13T00:00:00"/>
    <s v="LC"/>
    <s v="FC"/>
    <s v="FC-059"/>
    <x v="0"/>
    <s v="L"/>
    <s v="Cx."/>
    <x v="1"/>
    <s v="F"/>
    <m/>
    <n v="30"/>
    <n v="30"/>
    <n v="0"/>
    <s v="Negative"/>
    <m/>
  </r>
  <r>
    <n v="2022"/>
    <s v="CSU-19088"/>
    <n v="28692"/>
    <x v="0"/>
    <d v="2022-09-13T00:00:00"/>
    <s v="LC"/>
    <s v="FC"/>
    <s v="FC-050"/>
    <x v="0"/>
    <s v="L"/>
    <s v="Cx."/>
    <x v="0"/>
    <s v="F"/>
    <m/>
    <n v="2"/>
    <n v="2"/>
    <n v="0"/>
    <s v="Negative"/>
    <m/>
  </r>
  <r>
    <n v="2022"/>
    <s v="CSU-19089"/>
    <n v="28693"/>
    <x v="0"/>
    <d v="2022-09-13T00:00:00"/>
    <s v="LC"/>
    <s v="FC"/>
    <s v="FC-050"/>
    <x v="0"/>
    <s v="L"/>
    <s v="Cx."/>
    <x v="1"/>
    <s v="F"/>
    <m/>
    <n v="50"/>
    <n v="50"/>
    <n v="0"/>
    <s v="Negative"/>
    <m/>
  </r>
  <r>
    <n v="2022"/>
    <s v="CSU-19090"/>
    <n v="28694"/>
    <x v="0"/>
    <d v="2022-09-13T00:00:00"/>
    <s v="LC"/>
    <s v="FC"/>
    <s v="FC-050"/>
    <x v="0"/>
    <s v="L"/>
    <s v="Cx."/>
    <x v="1"/>
    <s v="F"/>
    <m/>
    <n v="43"/>
    <n v="43"/>
    <n v="0"/>
    <s v="Negative"/>
    <m/>
  </r>
  <r>
    <n v="2022"/>
    <s v="CSU-19091"/>
    <n v="28695"/>
    <x v="0"/>
    <d v="2022-09-13T00:00:00"/>
    <s v="LC"/>
    <s v="FC"/>
    <s v="FC-046"/>
    <x v="0"/>
    <s v="L"/>
    <s v="Cx."/>
    <x v="0"/>
    <s v="F"/>
    <m/>
    <n v="9"/>
    <n v="9"/>
    <n v="0"/>
    <s v="Negative"/>
    <m/>
  </r>
  <r>
    <n v="2022"/>
    <s v="CSU-19092"/>
    <n v="28696"/>
    <x v="0"/>
    <d v="2022-09-13T00:00:00"/>
    <s v="LC"/>
    <s v="FC"/>
    <s v="FC-046"/>
    <x v="0"/>
    <s v="L"/>
    <s v="Cx."/>
    <x v="1"/>
    <s v="F"/>
    <m/>
    <n v="13"/>
    <n v="13"/>
    <n v="0"/>
    <s v="Negative"/>
    <m/>
  </r>
  <r>
    <n v="2022"/>
    <s v="CSU-19093"/>
    <n v="28697"/>
    <x v="0"/>
    <d v="2022-09-13T00:00:00"/>
    <s v="LC"/>
    <s v="FC"/>
    <s v="FC-075gr"/>
    <x v="0"/>
    <s v="G"/>
    <s v="Cx."/>
    <x v="1"/>
    <s v="F"/>
    <n v="2"/>
    <m/>
    <n v="2"/>
    <n v="0"/>
    <s v="Negative"/>
    <m/>
  </r>
  <r>
    <n v="2022"/>
    <s v="CSU-19094"/>
    <n v="28698"/>
    <x v="0"/>
    <d v="2022-09-13T00:00:00"/>
    <s v="LC"/>
    <s v="FC"/>
    <s v="FC-031"/>
    <x v="0"/>
    <s v="L"/>
    <s v="Cx."/>
    <x v="1"/>
    <s v="F"/>
    <m/>
    <n v="1"/>
    <n v="1"/>
    <n v="0"/>
    <s v="Negative"/>
    <m/>
  </r>
  <r>
    <n v="2022"/>
    <s v="CSU-19095"/>
    <n v="28699"/>
    <x v="0"/>
    <d v="2022-09-13T00:00:00"/>
    <s v="LC"/>
    <s v="FC"/>
    <s v="FC-047"/>
    <x v="0"/>
    <s v="L"/>
    <s v="Cx."/>
    <x v="0"/>
    <s v="F"/>
    <m/>
    <n v="1"/>
    <n v="1"/>
    <n v="0"/>
    <s v="Negative"/>
    <m/>
  </r>
  <r>
    <n v="2022"/>
    <s v="CSU-19096"/>
    <n v="28700"/>
    <x v="0"/>
    <d v="2022-09-13T00:00:00"/>
    <s v="LC"/>
    <s v="FC"/>
    <s v="FC-047"/>
    <x v="0"/>
    <s v="L"/>
    <s v="Cx."/>
    <x v="1"/>
    <s v="F"/>
    <m/>
    <n v="2"/>
    <n v="2"/>
    <n v="0"/>
    <s v="Negative"/>
    <m/>
  </r>
  <r>
    <n v="2022"/>
    <s v="CSU-19097"/>
    <n v="28701"/>
    <x v="0"/>
    <d v="2022-09-13T00:00:00"/>
    <s v="LC"/>
    <s v="FC"/>
    <s v="FC-057"/>
    <x v="1"/>
    <s v="L"/>
    <s v="Cx."/>
    <x v="0"/>
    <s v="F"/>
    <m/>
    <n v="8"/>
    <n v="8"/>
    <n v="0"/>
    <s v="Negative"/>
    <m/>
  </r>
  <r>
    <n v="2022"/>
    <s v="CSU-19098"/>
    <n v="28702"/>
    <x v="0"/>
    <d v="2022-09-13T00:00:00"/>
    <s v="LC"/>
    <s v="FC"/>
    <s v="FC-054"/>
    <x v="0"/>
    <s v="L"/>
    <s v="Cx."/>
    <x v="1"/>
    <s v="F"/>
    <m/>
    <n v="1"/>
    <n v="1"/>
    <n v="0"/>
    <s v="Negative"/>
    <m/>
  </r>
  <r>
    <n v="2022"/>
    <s v="CSU-19099"/>
    <n v="28703"/>
    <x v="0"/>
    <d v="2022-09-13T00:00:00"/>
    <s v="LC"/>
    <s v="FC"/>
    <s v="FC-001"/>
    <x v="1"/>
    <s v="L"/>
    <s v="Cx."/>
    <x v="0"/>
    <s v="F"/>
    <m/>
    <n v="2"/>
    <n v="2"/>
    <n v="0"/>
    <s v="Negative"/>
    <m/>
  </r>
  <r>
    <n v="2022"/>
    <s v="CSU-19100"/>
    <n v="28704"/>
    <x v="0"/>
    <d v="2022-09-13T00:00:00"/>
    <s v="LC"/>
    <s v="FC"/>
    <s v="FC-001"/>
    <x v="1"/>
    <s v="L"/>
    <s v="Cx."/>
    <x v="1"/>
    <s v="F"/>
    <m/>
    <n v="10"/>
    <n v="10"/>
    <n v="0"/>
    <s v="Negative"/>
    <m/>
  </r>
  <r>
    <n v="2022"/>
    <s v="CSU-19101"/>
    <n v="28705"/>
    <x v="0"/>
    <d v="2022-09-13T00:00:00"/>
    <s v="LC"/>
    <s v="FC"/>
    <s v="FC-029gr"/>
    <x v="0"/>
    <s v="G"/>
    <s v="Cx."/>
    <x v="1"/>
    <s v="F"/>
    <n v="19"/>
    <m/>
    <n v="19"/>
    <n v="1"/>
    <s v="Positive"/>
    <m/>
  </r>
  <r>
    <n v="2022"/>
    <s v="CSU-19102"/>
    <n v="28706"/>
    <x v="0"/>
    <d v="2022-09-13T00:00:00"/>
    <s v="LC"/>
    <s v="FC"/>
    <s v="FC-068"/>
    <x v="1"/>
    <s v="L"/>
    <s v="Cx."/>
    <x v="0"/>
    <s v="F"/>
    <m/>
    <n v="3"/>
    <n v="3"/>
    <n v="0"/>
    <s v="Negative"/>
    <m/>
  </r>
  <r>
    <n v="2022"/>
    <s v="CSU-19103"/>
    <n v="28707"/>
    <x v="0"/>
    <d v="2022-09-13T00:00:00"/>
    <s v="LC"/>
    <s v="FC"/>
    <s v="FC-068"/>
    <x v="1"/>
    <s v="L"/>
    <s v="Cx."/>
    <x v="1"/>
    <s v="F"/>
    <m/>
    <n v="2"/>
    <n v="2"/>
    <n v="0"/>
    <s v="Negative"/>
    <m/>
  </r>
  <r>
    <n v="2022"/>
    <s v="CSU-19104"/>
    <n v="28708"/>
    <x v="0"/>
    <d v="2022-09-13T00:00:00"/>
    <s v="LC"/>
    <s v="FC"/>
    <s v="FC-029"/>
    <x v="0"/>
    <s v="L"/>
    <s v="Cx."/>
    <x v="0"/>
    <s v="F"/>
    <m/>
    <n v="3"/>
    <n v="3"/>
    <n v="0"/>
    <s v="Negative"/>
    <m/>
  </r>
  <r>
    <n v="2022"/>
    <s v="CSU-19105"/>
    <n v="28709"/>
    <x v="0"/>
    <d v="2022-09-13T00:00:00"/>
    <s v="LC"/>
    <s v="FC"/>
    <s v="FC-029"/>
    <x v="0"/>
    <s v="L"/>
    <s v="Cx."/>
    <x v="1"/>
    <s v="F"/>
    <m/>
    <n v="3"/>
    <n v="3"/>
    <n v="0"/>
    <s v="Negative"/>
    <m/>
  </r>
  <r>
    <n v="2022"/>
    <s v="CSU-19106"/>
    <n v="28710"/>
    <x v="0"/>
    <d v="2022-09-13T00:00:00"/>
    <s v="LC"/>
    <s v="FC"/>
    <s v="FC-093"/>
    <x v="1"/>
    <s v="L"/>
    <s v="Cx."/>
    <x v="1"/>
    <s v="F"/>
    <m/>
    <n v="2"/>
    <n v="2"/>
    <n v="0"/>
    <s v="Negative"/>
    <m/>
  </r>
  <r>
    <n v="2022"/>
    <s v="CSU-19107"/>
    <n v="28711"/>
    <x v="0"/>
    <d v="2022-09-13T00:00:00"/>
    <s v="LC"/>
    <s v="FC"/>
    <s v="FC-062"/>
    <x v="1"/>
    <s v="L"/>
    <s v="Cx."/>
    <x v="0"/>
    <s v="F"/>
    <m/>
    <n v="3"/>
    <n v="3"/>
    <n v="0"/>
    <s v="Negative"/>
    <m/>
  </r>
  <r>
    <n v="2022"/>
    <s v="CSU-19108"/>
    <n v="28712"/>
    <x v="0"/>
    <d v="2022-09-13T00:00:00"/>
    <s v="LC"/>
    <s v="FC"/>
    <s v="FC-062"/>
    <x v="1"/>
    <s v="L"/>
    <s v="Cx."/>
    <x v="1"/>
    <s v="F"/>
    <m/>
    <n v="4"/>
    <n v="4"/>
    <n v="0"/>
    <s v="Negative"/>
    <m/>
  </r>
  <r>
    <n v="2022"/>
    <s v="CSU-19109"/>
    <n v="28713"/>
    <x v="0"/>
    <d v="2022-09-13T00:00:00"/>
    <s v="LC"/>
    <s v="FC"/>
    <s v="FC-089gr"/>
    <x v="1"/>
    <s v="G"/>
    <s v="Cx."/>
    <x v="1"/>
    <s v="F"/>
    <n v="26"/>
    <m/>
    <n v="26"/>
    <n v="0"/>
    <s v="Negative"/>
    <m/>
  </r>
  <r>
    <n v="2022"/>
    <s v="CSU-19110"/>
    <n v="28714"/>
    <x v="0"/>
    <d v="2022-09-13T00:00:00"/>
    <s v="LC"/>
    <s v="FC"/>
    <s v="FC-071"/>
    <x v="1"/>
    <s v="L"/>
    <s v="Cx."/>
    <x v="0"/>
    <s v="F"/>
    <m/>
    <n v="1"/>
    <n v="1"/>
    <n v="0"/>
    <s v="Negative"/>
    <m/>
  </r>
  <r>
    <n v="2022"/>
    <s v="CSU-19111"/>
    <n v="28715"/>
    <x v="0"/>
    <d v="2022-09-13T00:00:00"/>
    <s v="LC"/>
    <s v="FC"/>
    <s v="FC-071"/>
    <x v="1"/>
    <s v="L"/>
    <s v="Cx."/>
    <x v="1"/>
    <s v="F"/>
    <m/>
    <n v="1"/>
    <n v="1"/>
    <n v="0"/>
    <s v="Negative"/>
    <m/>
  </r>
  <r>
    <n v="2022"/>
    <s v="CSU-19112"/>
    <n v="28716"/>
    <x v="0"/>
    <d v="2022-09-13T00:00:00"/>
    <s v="LC"/>
    <s v="FC"/>
    <s v="FC-037"/>
    <x v="1"/>
    <s v="L"/>
    <s v="Cx."/>
    <x v="0"/>
    <s v="F"/>
    <m/>
    <n v="24"/>
    <n v="24"/>
    <n v="0"/>
    <s v="Negative"/>
    <m/>
  </r>
  <r>
    <n v="2022"/>
    <s v="CSU-19113"/>
    <n v="28717"/>
    <x v="0"/>
    <d v="2022-09-13T00:00:00"/>
    <s v="LC"/>
    <s v="FC"/>
    <s v="FC-037"/>
    <x v="1"/>
    <s v="L"/>
    <s v="Cx."/>
    <x v="1"/>
    <s v="F"/>
    <m/>
    <n v="4"/>
    <n v="4"/>
    <n v="0"/>
    <s v="Negative"/>
    <m/>
  </r>
  <r>
    <n v="2022"/>
    <s v="CSU-19114"/>
    <n v="28718"/>
    <x v="0"/>
    <d v="2022-09-14T00:00:00"/>
    <s v="LC"/>
    <s v="FC"/>
    <s v="FC-038"/>
    <x v="2"/>
    <s v="L"/>
    <s v="Cx."/>
    <x v="0"/>
    <s v="F"/>
    <m/>
    <n v="6"/>
    <n v="6"/>
    <n v="0"/>
    <s v="Negative"/>
    <m/>
  </r>
  <r>
    <n v="2022"/>
    <s v="CSU-19115"/>
    <n v="28719"/>
    <x v="0"/>
    <d v="2022-09-14T00:00:00"/>
    <s v="LC"/>
    <s v="FC"/>
    <s v="FC-038"/>
    <x v="2"/>
    <s v="L"/>
    <s v="Cx."/>
    <x v="1"/>
    <s v="F"/>
    <m/>
    <n v="30"/>
    <n v="30"/>
    <n v="1"/>
    <s v="Positive"/>
    <m/>
  </r>
  <r>
    <n v="2022"/>
    <s v="CSU-19116"/>
    <n v="28720"/>
    <x v="0"/>
    <d v="2022-09-14T00:00:00"/>
    <s v="LC"/>
    <s v="FC"/>
    <s v="FC-034"/>
    <x v="2"/>
    <s v="L"/>
    <s v="Cx."/>
    <x v="0"/>
    <s v="F"/>
    <m/>
    <n v="7"/>
    <n v="7"/>
    <n v="0"/>
    <s v="Negative"/>
    <m/>
  </r>
  <r>
    <n v="2022"/>
    <s v="CSU-19117"/>
    <n v="28721"/>
    <x v="0"/>
    <d v="2022-09-14T00:00:00"/>
    <s v="LC"/>
    <s v="FC"/>
    <s v="FC-069"/>
    <x v="2"/>
    <s v="L"/>
    <s v="Cx."/>
    <x v="0"/>
    <s v="F"/>
    <m/>
    <n v="3"/>
    <n v="3"/>
    <n v="0"/>
    <s v="Negative"/>
    <m/>
  </r>
  <r>
    <n v="2022"/>
    <s v="CSU-19118"/>
    <n v="28722"/>
    <x v="0"/>
    <d v="2022-09-14T00:00:00"/>
    <s v="LC"/>
    <s v="FC"/>
    <s v="FC-069"/>
    <x v="2"/>
    <s v="L"/>
    <s v="Cx."/>
    <x v="1"/>
    <s v="F"/>
    <m/>
    <n v="1"/>
    <n v="1"/>
    <n v="0"/>
    <s v="Negative"/>
    <m/>
  </r>
  <r>
    <n v="2022"/>
    <s v="CSU-19119"/>
    <n v="28723"/>
    <x v="0"/>
    <d v="2022-09-14T00:00:00"/>
    <s v="LC"/>
    <s v="FC"/>
    <s v="FC-040"/>
    <x v="2"/>
    <s v="L"/>
    <s v="Cx."/>
    <x v="0"/>
    <s v="F"/>
    <m/>
    <n v="2"/>
    <n v="2"/>
    <n v="0"/>
    <s v="Negative"/>
    <m/>
  </r>
  <r>
    <n v="2022"/>
    <s v="CSU-19120"/>
    <n v="28724"/>
    <x v="0"/>
    <d v="2022-09-14T00:00:00"/>
    <s v="LC"/>
    <s v="FC"/>
    <s v="FC-040"/>
    <x v="2"/>
    <s v="L"/>
    <s v="Cx."/>
    <x v="1"/>
    <s v="F"/>
    <m/>
    <n v="50"/>
    <n v="50"/>
    <n v="0"/>
    <s v="Negative"/>
    <m/>
  </r>
  <r>
    <n v="2022"/>
    <s v="CSU-19121"/>
    <n v="28725"/>
    <x v="0"/>
    <d v="2022-09-14T00:00:00"/>
    <s v="LC"/>
    <s v="FC"/>
    <s v="FC-040"/>
    <x v="2"/>
    <s v="L"/>
    <s v="Cx."/>
    <x v="1"/>
    <s v="F"/>
    <m/>
    <n v="11"/>
    <n v="11"/>
    <n v="0"/>
    <s v="Negative"/>
    <m/>
  </r>
  <r>
    <n v="2022"/>
    <s v="CSU-19122"/>
    <n v="28726"/>
    <x v="0"/>
    <d v="2022-09-14T00:00:00"/>
    <s v="LC"/>
    <s v="FC"/>
    <s v="FC-036"/>
    <x v="3"/>
    <s v="L"/>
    <s v="Cx."/>
    <x v="1"/>
    <s v="F"/>
    <m/>
    <n v="9"/>
    <n v="9"/>
    <n v="0"/>
    <s v="Negative"/>
    <m/>
  </r>
  <r>
    <n v="2022"/>
    <s v="CSU-19123"/>
    <n v="28727"/>
    <x v="0"/>
    <d v="2022-09-14T00:00:00"/>
    <s v="LC"/>
    <s v="FC"/>
    <s v="FC-006"/>
    <x v="2"/>
    <s v="L"/>
    <s v="Cx."/>
    <x v="0"/>
    <s v="F"/>
    <m/>
    <n v="1"/>
    <n v="1"/>
    <n v="0"/>
    <s v="Negative"/>
    <m/>
  </r>
  <r>
    <n v="2022"/>
    <s v="CSU-19124"/>
    <n v="28728"/>
    <x v="0"/>
    <d v="2022-09-14T00:00:00"/>
    <s v="LC"/>
    <s v="FC"/>
    <s v="FC-006"/>
    <x v="2"/>
    <s v="L"/>
    <s v="Cx."/>
    <x v="1"/>
    <s v="F"/>
    <m/>
    <n v="8"/>
    <n v="8"/>
    <n v="1"/>
    <s v="Positive"/>
    <m/>
  </r>
  <r>
    <n v="2022"/>
    <s v="CSU-19125"/>
    <n v="28729"/>
    <x v="0"/>
    <d v="2022-09-14T00:00:00"/>
    <s v="LC"/>
    <s v="FC"/>
    <s v="FC-040gr"/>
    <x v="2"/>
    <s v="G"/>
    <s v="Cx."/>
    <x v="1"/>
    <s v="F"/>
    <n v="50"/>
    <m/>
    <n v="50"/>
    <n v="0"/>
    <s v="Negative"/>
    <m/>
  </r>
  <r>
    <n v="2022"/>
    <s v="CSU-19126"/>
    <n v="28730"/>
    <x v="0"/>
    <d v="2022-09-14T00:00:00"/>
    <s v="LC"/>
    <s v="FC"/>
    <s v="FC-040gr"/>
    <x v="2"/>
    <s v="G"/>
    <s v="Cx."/>
    <x v="1"/>
    <s v="F"/>
    <n v="18"/>
    <m/>
    <n v="18"/>
    <n v="0"/>
    <s v="Negative"/>
    <m/>
  </r>
  <r>
    <n v="2022"/>
    <s v="CSU-19127"/>
    <n v="28731"/>
    <x v="0"/>
    <d v="2022-09-14T00:00:00"/>
    <s v="LC"/>
    <s v="FC"/>
    <s v="FC-092gr"/>
    <x v="2"/>
    <s v="G"/>
    <s v="Cx."/>
    <x v="1"/>
    <s v="F"/>
    <n v="41"/>
    <m/>
    <n v="41"/>
    <n v="1"/>
    <s v="Positive"/>
    <m/>
  </r>
  <r>
    <n v="2022"/>
    <s v="CSU-19128"/>
    <n v="28732"/>
    <x v="0"/>
    <d v="2022-09-14T00:00:00"/>
    <s v="LC"/>
    <s v="FC"/>
    <s v="FC-072"/>
    <x v="2"/>
    <s v="L"/>
    <s v="Cx."/>
    <x v="0"/>
    <s v="F"/>
    <m/>
    <n v="7"/>
    <n v="7"/>
    <n v="0"/>
    <s v="Negative"/>
    <m/>
  </r>
  <r>
    <n v="2022"/>
    <s v="CSU-19129"/>
    <n v="28733"/>
    <x v="0"/>
    <d v="2022-09-14T00:00:00"/>
    <s v="LC"/>
    <s v="FC"/>
    <s v="FC-072"/>
    <x v="2"/>
    <s v="L"/>
    <s v="Cx."/>
    <x v="1"/>
    <s v="F"/>
    <m/>
    <n v="7"/>
    <n v="7"/>
    <n v="0"/>
    <s v="Negative"/>
    <m/>
  </r>
  <r>
    <n v="2022"/>
    <s v="CSU-19130"/>
    <n v="28734"/>
    <x v="0"/>
    <d v="2022-09-14T00:00:00"/>
    <s v="LC"/>
    <s v="FC"/>
    <s v="FC-091gr"/>
    <x v="2"/>
    <s v="G"/>
    <s v="Cx."/>
    <x v="0"/>
    <s v="F"/>
    <n v="1"/>
    <m/>
    <n v="1"/>
    <n v="0"/>
    <s v="Negative"/>
    <m/>
  </r>
  <r>
    <n v="2022"/>
    <s v="CSU-19131"/>
    <n v="28735"/>
    <x v="0"/>
    <d v="2022-09-14T00:00:00"/>
    <s v="LC"/>
    <s v="FC"/>
    <s v="FC-091gr"/>
    <x v="2"/>
    <s v="G"/>
    <s v="Cx."/>
    <x v="1"/>
    <s v="F"/>
    <n v="4"/>
    <m/>
    <n v="4"/>
    <n v="0"/>
    <s v="Negative"/>
    <m/>
  </r>
  <r>
    <n v="2022"/>
    <s v="CSU-19132"/>
    <n v="28736"/>
    <x v="0"/>
    <d v="2022-09-14T00:00:00"/>
    <s v="LC"/>
    <s v="FC"/>
    <s v="FC-019"/>
    <x v="2"/>
    <s v="L"/>
    <s v="Cx."/>
    <x v="0"/>
    <s v="F"/>
    <m/>
    <n v="3"/>
    <n v="3"/>
    <n v="0"/>
    <s v="Negative"/>
    <m/>
  </r>
  <r>
    <n v="2022"/>
    <s v="CSU-19133"/>
    <n v="28737"/>
    <x v="0"/>
    <d v="2022-09-14T00:00:00"/>
    <s v="LC"/>
    <s v="FC"/>
    <s v="FC-019"/>
    <x v="2"/>
    <s v="L"/>
    <s v="Cx."/>
    <x v="1"/>
    <s v="F"/>
    <m/>
    <n v="43"/>
    <n v="43"/>
    <n v="0"/>
    <s v="Negative"/>
    <m/>
  </r>
  <r>
    <n v="2022"/>
    <s v="CSU-19134"/>
    <n v="28738"/>
    <x v="0"/>
    <d v="2022-09-14T00:00:00"/>
    <s v="LC"/>
    <s v="FC"/>
    <s v="FC-067"/>
    <x v="2"/>
    <s v="L"/>
    <s v="Cx."/>
    <x v="0"/>
    <s v="F"/>
    <m/>
    <n v="8"/>
    <n v="8"/>
    <n v="0"/>
    <s v="Negative"/>
    <m/>
  </r>
  <r>
    <n v="2022"/>
    <s v="CSU-19135"/>
    <n v="28739"/>
    <x v="0"/>
    <d v="2022-09-14T00:00:00"/>
    <s v="LC"/>
    <s v="FC"/>
    <s v="FC-067"/>
    <x v="2"/>
    <s v="L"/>
    <s v="Cx."/>
    <x v="1"/>
    <s v="F"/>
    <m/>
    <n v="35"/>
    <n v="35"/>
    <n v="0"/>
    <s v="Negative"/>
    <m/>
  </r>
  <r>
    <n v="2022"/>
    <s v="CSU-19136"/>
    <n v="28740"/>
    <x v="0"/>
    <d v="2022-09-14T00:00:00"/>
    <s v="LC"/>
    <s v="FC"/>
    <s v="FC-066gr"/>
    <x v="2"/>
    <s v="G"/>
    <s v="Cx."/>
    <x v="0"/>
    <s v="F"/>
    <n v="1"/>
    <m/>
    <n v="1"/>
    <n v="0"/>
    <s v="Negative"/>
    <m/>
  </r>
  <r>
    <n v="2022"/>
    <s v="CSU-19137"/>
    <n v="28741"/>
    <x v="0"/>
    <d v="2022-09-14T00:00:00"/>
    <s v="LC"/>
    <s v="FC"/>
    <s v="FC-066gr"/>
    <x v="2"/>
    <s v="G"/>
    <s v="Cx."/>
    <x v="1"/>
    <s v="F"/>
    <n v="8"/>
    <m/>
    <n v="8"/>
    <n v="0"/>
    <s v="Negative"/>
    <m/>
  </r>
  <r>
    <n v="2022"/>
    <s v="CSU-19138"/>
    <n v="28742"/>
    <x v="0"/>
    <d v="2022-09-14T00:00:00"/>
    <s v="LC"/>
    <s v="FC"/>
    <s v="FC-066"/>
    <x v="2"/>
    <s v="L"/>
    <s v="Cx."/>
    <x v="0"/>
    <s v="F"/>
    <m/>
    <n v="3"/>
    <n v="3"/>
    <n v="0"/>
    <s v="Negative"/>
    <m/>
  </r>
  <r>
    <n v="2022"/>
    <s v="CSU-19139"/>
    <n v="28743"/>
    <x v="0"/>
    <d v="2022-09-14T00:00:00"/>
    <s v="LC"/>
    <s v="FC"/>
    <s v="FC-066"/>
    <x v="2"/>
    <s v="L"/>
    <s v="Cx."/>
    <x v="1"/>
    <s v="F"/>
    <m/>
    <n v="50"/>
    <n v="50"/>
    <n v="0"/>
    <s v="Negative"/>
    <m/>
  </r>
  <r>
    <n v="2022"/>
    <s v="CSU-19140"/>
    <n v="28744"/>
    <x v="0"/>
    <d v="2022-09-14T00:00:00"/>
    <s v="LC"/>
    <s v="FC"/>
    <s v="FC-066"/>
    <x v="2"/>
    <s v="L"/>
    <s v="Cx."/>
    <x v="1"/>
    <s v="F"/>
    <m/>
    <n v="50"/>
    <n v="50"/>
    <n v="0"/>
    <s v="Negative"/>
    <m/>
  </r>
  <r>
    <n v="2022"/>
    <s v="CSU-19141"/>
    <n v="28745"/>
    <x v="0"/>
    <d v="2022-09-14T00:00:00"/>
    <s v="LC"/>
    <s v="FC"/>
    <s v="FC-066"/>
    <x v="2"/>
    <s v="L"/>
    <s v="Cx."/>
    <x v="1"/>
    <s v="F"/>
    <m/>
    <n v="50"/>
    <n v="50"/>
    <n v="0"/>
    <s v="Negative"/>
    <m/>
  </r>
  <r>
    <n v="2022"/>
    <s v="CSU-19142"/>
    <n v="28746"/>
    <x v="0"/>
    <d v="2022-09-14T00:00:00"/>
    <s v="LC"/>
    <s v="FC"/>
    <s v="FC-066"/>
    <x v="2"/>
    <s v="L"/>
    <s v="Cx."/>
    <x v="1"/>
    <s v="F"/>
    <m/>
    <n v="50"/>
    <n v="50"/>
    <n v="1"/>
    <s v="Positive"/>
    <m/>
  </r>
  <r>
    <n v="2022"/>
    <s v="CSU-19143"/>
    <n v="28747"/>
    <x v="0"/>
    <d v="2022-09-14T00:00:00"/>
    <s v="LC"/>
    <s v="FC"/>
    <s v="FC-066"/>
    <x v="2"/>
    <s v="L"/>
    <s v="Cx."/>
    <x v="1"/>
    <s v="F"/>
    <m/>
    <n v="50"/>
    <n v="50"/>
    <n v="0"/>
    <s v="Negative"/>
    <m/>
  </r>
  <r>
    <n v="2022"/>
    <s v="CSU-19144"/>
    <n v="28748"/>
    <x v="0"/>
    <d v="2022-09-14T00:00:00"/>
    <s v="LC"/>
    <s v="FC"/>
    <s v="FC-066"/>
    <x v="2"/>
    <s v="L"/>
    <s v="Cx."/>
    <x v="1"/>
    <s v="F"/>
    <m/>
    <n v="50"/>
    <n v="50"/>
    <n v="0"/>
    <s v="Negative"/>
    <m/>
  </r>
  <r>
    <n v="2022"/>
    <s v="CSU-19145"/>
    <n v="28749"/>
    <x v="0"/>
    <d v="2022-09-14T00:00:00"/>
    <s v="LC"/>
    <s v="FC"/>
    <s v="FC-066"/>
    <x v="2"/>
    <s v="L"/>
    <s v="Cx."/>
    <x v="1"/>
    <s v="F"/>
    <m/>
    <n v="50"/>
    <n v="50"/>
    <n v="0"/>
    <s v="Negative"/>
    <m/>
  </r>
  <r>
    <n v="2022"/>
    <s v="CSU-19146"/>
    <n v="28750"/>
    <x v="0"/>
    <d v="2022-09-14T00:00:00"/>
    <s v="LC"/>
    <s v="FC"/>
    <s v="FC-066"/>
    <x v="2"/>
    <s v="L"/>
    <s v="Cx."/>
    <x v="1"/>
    <s v="F"/>
    <m/>
    <n v="50"/>
    <n v="50"/>
    <n v="0"/>
    <s v="Negative"/>
    <m/>
  </r>
  <r>
    <n v="2022"/>
    <s v="CSU-19147"/>
    <n v="28751"/>
    <x v="0"/>
    <d v="2022-09-14T00:00:00"/>
    <s v="LC"/>
    <s v="FC"/>
    <s v="FC-066"/>
    <x v="2"/>
    <s v="L"/>
    <s v="Cx."/>
    <x v="1"/>
    <s v="F"/>
    <m/>
    <n v="50"/>
    <n v="50"/>
    <n v="0"/>
    <s v="Negative"/>
    <m/>
  </r>
  <r>
    <n v="2022"/>
    <s v="CSU-19148"/>
    <n v="28752"/>
    <x v="0"/>
    <d v="2022-09-14T00:00:00"/>
    <s v="LC"/>
    <s v="FC"/>
    <s v="FC-066"/>
    <x v="2"/>
    <s v="L"/>
    <s v="Cx."/>
    <x v="1"/>
    <s v="F"/>
    <m/>
    <n v="26"/>
    <n v="26"/>
    <n v="0"/>
    <s v="Negative"/>
    <m/>
  </r>
  <r>
    <n v="2022"/>
    <s v="CSU-19149"/>
    <n v="28753"/>
    <x v="0"/>
    <d v="2022-09-14T00:00:00"/>
    <s v="LC"/>
    <s v="FC"/>
    <s v="FC-014"/>
    <x v="2"/>
    <s v="L"/>
    <s v="Cx."/>
    <x v="0"/>
    <s v="F"/>
    <m/>
    <n v="9"/>
    <n v="9"/>
    <n v="0"/>
    <s v="Negative"/>
    <m/>
  </r>
  <r>
    <n v="2022"/>
    <s v="CSU-19150"/>
    <n v="28754"/>
    <x v="0"/>
    <d v="2022-09-14T00:00:00"/>
    <s v="LC"/>
    <s v="FC"/>
    <s v="FC-014"/>
    <x v="2"/>
    <s v="L"/>
    <s v="Cx."/>
    <x v="1"/>
    <s v="F"/>
    <m/>
    <n v="50"/>
    <n v="50"/>
    <n v="0"/>
    <s v="Negative"/>
    <m/>
  </r>
  <r>
    <n v="2022"/>
    <s v="CSU-19151"/>
    <n v="28755"/>
    <x v="0"/>
    <d v="2022-09-14T00:00:00"/>
    <s v="LC"/>
    <s v="FC"/>
    <s v="FC-014"/>
    <x v="2"/>
    <s v="L"/>
    <s v="Cx."/>
    <x v="1"/>
    <s v="F"/>
    <m/>
    <n v="50"/>
    <n v="50"/>
    <n v="0"/>
    <s v="Negative"/>
    <m/>
  </r>
  <r>
    <n v="2022"/>
    <s v="CSU-19152"/>
    <n v="28756"/>
    <x v="0"/>
    <d v="2022-09-14T00:00:00"/>
    <s v="LC"/>
    <s v="FC"/>
    <s v="FC-014"/>
    <x v="2"/>
    <s v="L"/>
    <s v="Cx."/>
    <x v="1"/>
    <s v="F"/>
    <m/>
    <n v="50"/>
    <n v="50"/>
    <n v="0"/>
    <s v="Negative"/>
    <m/>
  </r>
  <r>
    <n v="2022"/>
    <s v="CSU-19153"/>
    <n v="28757"/>
    <x v="0"/>
    <d v="2022-09-14T00:00:00"/>
    <s v="LC"/>
    <s v="FC"/>
    <s v="FC-014"/>
    <x v="2"/>
    <s v="L"/>
    <s v="Cx."/>
    <x v="1"/>
    <s v="F"/>
    <m/>
    <n v="50"/>
    <n v="50"/>
    <n v="0"/>
    <s v="Negative"/>
    <m/>
  </r>
  <r>
    <n v="2022"/>
    <s v="CSU-19154"/>
    <n v="28758"/>
    <x v="0"/>
    <d v="2022-09-14T00:00:00"/>
    <s v="LC"/>
    <s v="FC"/>
    <s v="FC-014"/>
    <x v="2"/>
    <s v="L"/>
    <s v="Cx."/>
    <x v="1"/>
    <s v="F"/>
    <m/>
    <n v="50"/>
    <n v="50"/>
    <n v="0"/>
    <s v="Negative"/>
    <m/>
  </r>
  <r>
    <n v="2022"/>
    <s v="CSU-19155"/>
    <n v="28759"/>
    <x v="0"/>
    <d v="2022-09-14T00:00:00"/>
    <s v="LC"/>
    <s v="FC"/>
    <s v="FC-014"/>
    <x v="2"/>
    <s v="L"/>
    <s v="Cx."/>
    <x v="1"/>
    <s v="F"/>
    <m/>
    <n v="50"/>
    <n v="50"/>
    <n v="0"/>
    <s v="Negative"/>
    <m/>
  </r>
  <r>
    <n v="2022"/>
    <s v="CSU-19156"/>
    <n v="28760"/>
    <x v="0"/>
    <d v="2022-09-14T00:00:00"/>
    <s v="LC"/>
    <s v="FC"/>
    <s v="FC-014"/>
    <x v="2"/>
    <s v="L"/>
    <s v="Cx."/>
    <x v="1"/>
    <s v="F"/>
    <m/>
    <n v="50"/>
    <n v="50"/>
    <n v="0"/>
    <s v="Negative"/>
    <m/>
  </r>
  <r>
    <n v="2022"/>
    <s v="CSU-19157"/>
    <n v="28761"/>
    <x v="0"/>
    <d v="2022-09-14T00:00:00"/>
    <s v="LC"/>
    <s v="FC"/>
    <s v="FC-014"/>
    <x v="2"/>
    <s v="L"/>
    <s v="Cx."/>
    <x v="1"/>
    <s v="F"/>
    <m/>
    <n v="50"/>
    <n v="50"/>
    <n v="0"/>
    <s v="Negative"/>
    <m/>
  </r>
  <r>
    <n v="2022"/>
    <s v="CSU-19158"/>
    <n v="28762"/>
    <x v="0"/>
    <d v="2022-09-14T00:00:00"/>
    <s v="LC"/>
    <s v="FC"/>
    <s v="FC-014"/>
    <x v="2"/>
    <s v="L"/>
    <s v="Cx."/>
    <x v="1"/>
    <s v="F"/>
    <m/>
    <n v="50"/>
    <n v="50"/>
    <n v="0"/>
    <s v="Negative"/>
    <m/>
  </r>
  <r>
    <n v="2022"/>
    <s v="CSU-19159"/>
    <n v="28763"/>
    <x v="0"/>
    <d v="2022-09-14T00:00:00"/>
    <s v="LC"/>
    <s v="FC"/>
    <s v="FC-014"/>
    <x v="2"/>
    <s v="L"/>
    <s v="Cx."/>
    <x v="1"/>
    <s v="F"/>
    <m/>
    <n v="46"/>
    <n v="46"/>
    <n v="0"/>
    <s v="Negative"/>
    <m/>
  </r>
  <r>
    <n v="2022"/>
    <s v="CSU-19160"/>
    <n v="28764"/>
    <x v="0"/>
    <d v="2022-09-14T00:00:00"/>
    <s v="LC"/>
    <s v="FC"/>
    <s v="FC-061"/>
    <x v="3"/>
    <s v="L"/>
    <s v="Cx."/>
    <x v="1"/>
    <s v="F"/>
    <m/>
    <n v="1"/>
    <n v="1"/>
    <n v="0"/>
    <s v="Negative"/>
    <m/>
  </r>
  <r>
    <n v="2022"/>
    <s v="CSU-19161"/>
    <n v="28765"/>
    <x v="0"/>
    <d v="2022-09-14T00:00:00"/>
    <s v="LC"/>
    <s v="FC"/>
    <s v="FC-052"/>
    <x v="3"/>
    <s v="L"/>
    <s v="Cx."/>
    <x v="0"/>
    <s v="F"/>
    <m/>
    <n v="1"/>
    <n v="1"/>
    <n v="0"/>
    <s v="Negative"/>
    <m/>
  </r>
  <r>
    <n v="2022"/>
    <s v="CSU-19162"/>
    <n v="28766"/>
    <x v="0"/>
    <d v="2022-09-14T00:00:00"/>
    <s v="LC"/>
    <s v="FC"/>
    <s v="FC-052"/>
    <x v="3"/>
    <s v="L"/>
    <s v="Cx."/>
    <x v="1"/>
    <s v="F"/>
    <m/>
    <n v="1"/>
    <n v="1"/>
    <n v="0"/>
    <s v="Negative"/>
    <m/>
  </r>
  <r>
    <n v="2022"/>
    <s v="CSU-19163"/>
    <n v="28767"/>
    <x v="0"/>
    <d v="2022-09-14T00:00:00"/>
    <s v="LC"/>
    <s v="FC"/>
    <s v="FC-073"/>
    <x v="3"/>
    <s v="L"/>
    <s v="Cx."/>
    <x v="1"/>
    <s v="F"/>
    <m/>
    <n v="3"/>
    <n v="3"/>
    <n v="0"/>
    <s v="Negative"/>
    <m/>
  </r>
  <r>
    <n v="2022"/>
    <s v="CSU-19164"/>
    <n v="28768"/>
    <x v="0"/>
    <d v="2022-09-14T00:00:00"/>
    <s v="LC"/>
    <s v="FC"/>
    <s v="FC-090gr"/>
    <x v="3"/>
    <s v="G"/>
    <s v="Cx."/>
    <x v="1"/>
    <s v="F"/>
    <n v="2"/>
    <m/>
    <n v="2"/>
    <n v="0"/>
    <s v="Negative"/>
    <m/>
  </r>
  <r>
    <n v="2022"/>
    <s v="CSU-19165"/>
    <n v="28769"/>
    <x v="0"/>
    <d v="2022-09-14T00:00:00"/>
    <s v="LC"/>
    <s v="FC"/>
    <s v="FC-060"/>
    <x v="3"/>
    <s v="L"/>
    <s v="Cx."/>
    <x v="1"/>
    <s v="F"/>
    <m/>
    <n v="2"/>
    <n v="2"/>
    <n v="0"/>
    <s v="Negative"/>
    <m/>
  </r>
  <r>
    <n v="2022"/>
    <s v="CSU-19166"/>
    <n v="28770"/>
    <x v="0"/>
    <d v="2022-09-14T00:00:00"/>
    <s v="LC"/>
    <s v="FC"/>
    <s v="FC-041"/>
    <x v="3"/>
    <s v="L"/>
    <s v="Cx."/>
    <x v="0"/>
    <s v="F"/>
    <m/>
    <n v="2"/>
    <n v="2"/>
    <n v="0"/>
    <s v="Negative"/>
    <m/>
  </r>
  <r>
    <n v="2022"/>
    <s v="CSU-19167"/>
    <n v="28771"/>
    <x v="0"/>
    <d v="2022-09-14T00:00:00"/>
    <s v="LC"/>
    <s v="FC"/>
    <s v="FC-041"/>
    <x v="3"/>
    <s v="L"/>
    <s v="Cx."/>
    <x v="1"/>
    <s v="F"/>
    <m/>
    <n v="4"/>
    <n v="4"/>
    <n v="0"/>
    <s v="Negative"/>
    <m/>
  </r>
  <r>
    <n v="2022"/>
    <s v="CSU-19168"/>
    <n v="28772"/>
    <x v="0"/>
    <d v="2022-09-14T00:00:00"/>
    <s v="LC"/>
    <s v="FC"/>
    <s v="FC-063"/>
    <x v="3"/>
    <s v="L"/>
    <s v="Cx."/>
    <x v="1"/>
    <s v="F"/>
    <m/>
    <n v="1"/>
    <n v="1"/>
    <n v="0"/>
    <s v="Negative"/>
    <m/>
  </r>
  <r>
    <n v="2022"/>
    <s v="CSU-19169"/>
    <n v="28773"/>
    <x v="0"/>
    <d v="2022-09-14T00:00:00"/>
    <s v="LC"/>
    <s v="FC"/>
    <s v="FC-063gr"/>
    <x v="3"/>
    <s v="G"/>
    <s v="Cx."/>
    <x v="1"/>
    <s v="F"/>
    <n v="4"/>
    <m/>
    <n v="4"/>
    <n v="0"/>
    <s v="Negative"/>
    <m/>
  </r>
  <r>
    <n v="2022"/>
    <s v="CSU-19170"/>
    <n v="28774"/>
    <x v="0"/>
    <d v="2022-09-14T00:00:00"/>
    <s v="LC"/>
    <s v="FC"/>
    <s v="FC-015"/>
    <x v="3"/>
    <s v="L"/>
    <s v="Cx."/>
    <x v="0"/>
    <s v="F"/>
    <m/>
    <n v="5"/>
    <n v="5"/>
    <n v="0"/>
    <s v="Negative"/>
    <m/>
  </r>
  <r>
    <n v="2022"/>
    <s v="CSU-19171"/>
    <n v="28775"/>
    <x v="0"/>
    <d v="2022-09-14T00:00:00"/>
    <s v="LC"/>
    <s v="FC"/>
    <s v="FC-015"/>
    <x v="3"/>
    <s v="L"/>
    <s v="Cx."/>
    <x v="1"/>
    <s v="F"/>
    <m/>
    <n v="1"/>
    <n v="1"/>
    <n v="0"/>
    <s v="Negative"/>
    <m/>
  </r>
  <r>
    <n v="2022"/>
    <s v="CSU-19172"/>
    <n v="28776"/>
    <x v="0"/>
    <d v="2022-09-14T00:00:00"/>
    <s v="LC"/>
    <s v="FC"/>
    <s v="FC-011"/>
    <x v="3"/>
    <s v="L"/>
    <s v="Cx."/>
    <x v="0"/>
    <s v="F"/>
    <m/>
    <n v="1"/>
    <n v="1"/>
    <n v="0"/>
    <s v="Negative"/>
    <m/>
  </r>
  <r>
    <n v="2022"/>
    <s v="CSU-19173"/>
    <n v="28777"/>
    <x v="0"/>
    <d v="2022-09-14T00:00:00"/>
    <s v="LC"/>
    <s v="FC"/>
    <s v="FC-011"/>
    <x v="3"/>
    <s v="L"/>
    <s v="Cx."/>
    <x v="1"/>
    <s v="F"/>
    <m/>
    <n v="11"/>
    <n v="11"/>
    <n v="0"/>
    <s v="Negative"/>
    <m/>
  </r>
  <r>
    <n v="2022"/>
    <s v="CSU-19174"/>
    <n v="28778"/>
    <x v="0"/>
    <d v="2022-09-14T00:00:00"/>
    <s v="LC"/>
    <s v="FC"/>
    <s v="FC-049"/>
    <x v="3"/>
    <s v="L"/>
    <s v="Cx."/>
    <x v="0"/>
    <s v="F"/>
    <m/>
    <n v="2"/>
    <n v="2"/>
    <n v="0"/>
    <s v="Negative"/>
    <m/>
  </r>
  <r>
    <n v="2022"/>
    <s v="BOU-00135"/>
    <s v="N/A"/>
    <x v="0"/>
    <d v="2022-09-12T00:00:00"/>
    <s v="BC"/>
    <s v="BC"/>
    <s v="BC-19"/>
    <x v="4"/>
    <s v="L"/>
    <s v="Cx."/>
    <x v="0"/>
    <s v="F"/>
    <n v="0"/>
    <n v="5"/>
    <n v="5"/>
    <n v="0"/>
    <s v="Negative"/>
    <m/>
  </r>
  <r>
    <n v="2022"/>
    <s v="BOU-00136"/>
    <s v="N/A"/>
    <x v="0"/>
    <d v="2022-09-12T00:00:00"/>
    <s v="BC"/>
    <s v="BC"/>
    <s v="BC-17"/>
    <x v="4"/>
    <s v="L"/>
    <s v="Cx."/>
    <x v="0"/>
    <s v="F"/>
    <n v="0"/>
    <n v="3"/>
    <n v="3"/>
    <n v="0"/>
    <s v="Negative"/>
    <m/>
  </r>
  <r>
    <n v="2022"/>
    <s v="BOU-00137"/>
    <s v="N/A"/>
    <x v="0"/>
    <d v="2022-09-12T00:00:00"/>
    <s v="BC"/>
    <s v="BC"/>
    <s v="BC-17"/>
    <x v="4"/>
    <s v="L"/>
    <s v="Cx."/>
    <x v="1"/>
    <s v="F"/>
    <n v="0"/>
    <n v="7"/>
    <n v="7"/>
    <n v="0"/>
    <s v="Negative"/>
    <m/>
  </r>
  <r>
    <n v="2022"/>
    <s v="BOU-00138"/>
    <s v="N/A"/>
    <x v="0"/>
    <d v="2022-09-12T00:00:00"/>
    <s v="BC"/>
    <s v="BC"/>
    <s v="BC-09"/>
    <x v="4"/>
    <s v="L"/>
    <s v="Cx."/>
    <x v="0"/>
    <s v="F"/>
    <n v="0"/>
    <n v="6"/>
    <n v="6"/>
    <n v="0"/>
    <s v="Negative"/>
    <m/>
  </r>
  <r>
    <n v="2022"/>
    <s v="BOU-00139"/>
    <s v="N/A"/>
    <x v="0"/>
    <d v="2022-09-12T00:00:00"/>
    <s v="BC"/>
    <s v="BC"/>
    <s v="BC-13"/>
    <x v="4"/>
    <s v="L"/>
    <s v="Cx."/>
    <x v="1"/>
    <s v="F"/>
    <n v="0"/>
    <n v="3"/>
    <n v="3"/>
    <n v="0"/>
    <s v="Negative"/>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n v="2022"/>
    <s v="CSU-19068"/>
    <n v="28672"/>
    <x v="0"/>
    <x v="0"/>
    <s v="LC"/>
    <s v="FC"/>
    <s v="FC-039"/>
    <x v="0"/>
    <s v="L"/>
    <s v="Cx."/>
    <x v="0"/>
    <s v="F"/>
    <m/>
    <n v="2"/>
    <n v="2"/>
    <n v="0"/>
    <s v="Negative"/>
  </r>
  <r>
    <n v="2022"/>
    <s v="CSU-19069"/>
    <n v="28673"/>
    <x v="0"/>
    <x v="0"/>
    <s v="LC"/>
    <s v="FC"/>
    <s v="FC-039"/>
    <x v="0"/>
    <s v="L"/>
    <s v="Cx."/>
    <x v="1"/>
    <s v="F"/>
    <m/>
    <n v="5"/>
    <n v="5"/>
    <n v="0"/>
    <s v="Negative"/>
  </r>
  <r>
    <n v="2022"/>
    <s v="CSU-19070"/>
    <n v="28674"/>
    <x v="0"/>
    <x v="0"/>
    <s v="LC"/>
    <s v="FC"/>
    <s v="FC-064"/>
    <x v="0"/>
    <s v="L"/>
    <s v="Cx."/>
    <x v="0"/>
    <s v="F"/>
    <m/>
    <n v="1"/>
    <n v="1"/>
    <n v="0"/>
    <s v="Negative"/>
  </r>
  <r>
    <n v="2022"/>
    <s v="CSU-19071"/>
    <n v="28675"/>
    <x v="0"/>
    <x v="0"/>
    <s v="LC"/>
    <s v="FC"/>
    <s v="FC-064"/>
    <x v="0"/>
    <s v="L"/>
    <s v="Cx."/>
    <x v="1"/>
    <s v="F"/>
    <m/>
    <n v="2"/>
    <n v="2"/>
    <n v="0"/>
    <s v="Negative"/>
  </r>
  <r>
    <n v="2022"/>
    <s v="CSU-19072"/>
    <n v="28676"/>
    <x v="0"/>
    <x v="0"/>
    <s v="LC"/>
    <s v="FC"/>
    <s v="FC-053"/>
    <x v="0"/>
    <s v="L"/>
    <s v="Cx."/>
    <x v="1"/>
    <s v="F"/>
    <m/>
    <n v="3"/>
    <n v="3"/>
    <n v="0"/>
    <s v="Negative"/>
  </r>
  <r>
    <n v="2022"/>
    <s v="CSU-19073"/>
    <n v="28677"/>
    <x v="0"/>
    <x v="0"/>
    <s v="LC"/>
    <s v="FC"/>
    <s v="FC-075"/>
    <x v="0"/>
    <s v="L"/>
    <s v="Cx."/>
    <x v="1"/>
    <s v="F"/>
    <m/>
    <n v="1"/>
    <n v="1"/>
    <n v="0"/>
    <s v="Negative"/>
  </r>
  <r>
    <n v="2022"/>
    <s v="CSU-19074"/>
    <n v="28678"/>
    <x v="0"/>
    <x v="0"/>
    <s v="LC"/>
    <s v="FC"/>
    <s v="FC-074"/>
    <x v="0"/>
    <s v="L"/>
    <s v="Cx."/>
    <x v="0"/>
    <s v="F"/>
    <m/>
    <n v="8"/>
    <n v="8"/>
    <n v="0"/>
    <s v="Negative"/>
  </r>
  <r>
    <n v="2022"/>
    <s v="CSU-19075"/>
    <n v="28679"/>
    <x v="0"/>
    <x v="0"/>
    <s v="LC"/>
    <s v="FC"/>
    <s v="FC-074"/>
    <x v="0"/>
    <s v="L"/>
    <s v="Cx."/>
    <x v="1"/>
    <s v="F"/>
    <m/>
    <n v="17"/>
    <n v="17"/>
    <n v="0"/>
    <s v="Negative"/>
  </r>
  <r>
    <n v="2022"/>
    <s v="CSU-19076"/>
    <n v="28680"/>
    <x v="0"/>
    <x v="0"/>
    <s v="LC"/>
    <s v="FC"/>
    <s v="FC-088gr"/>
    <x v="0"/>
    <s v="G"/>
    <s v="Cx."/>
    <x v="1"/>
    <s v="F"/>
    <n v="18"/>
    <m/>
    <n v="18"/>
    <n v="0"/>
    <s v="Negative"/>
  </r>
  <r>
    <n v="2022"/>
    <s v="CSU-19077"/>
    <n v="28681"/>
    <x v="0"/>
    <x v="0"/>
    <s v="LC"/>
    <s v="FC"/>
    <s v="FC-004"/>
    <x v="0"/>
    <s v="L"/>
    <s v="Cx."/>
    <x v="0"/>
    <s v="F"/>
    <m/>
    <n v="4"/>
    <n v="4"/>
    <n v="0"/>
    <s v="Negative"/>
  </r>
  <r>
    <n v="2022"/>
    <s v="CSU-19078"/>
    <n v="28682"/>
    <x v="0"/>
    <x v="0"/>
    <s v="LC"/>
    <s v="FC"/>
    <s v="FC-004"/>
    <x v="0"/>
    <s v="L"/>
    <s v="Cx."/>
    <x v="1"/>
    <s v="F"/>
    <m/>
    <n v="50"/>
    <n v="50"/>
    <n v="0"/>
    <s v="Negative"/>
  </r>
  <r>
    <n v="2022"/>
    <s v="CSU-19079"/>
    <n v="28683"/>
    <x v="0"/>
    <x v="0"/>
    <s v="LC"/>
    <s v="FC"/>
    <s v="FC-004"/>
    <x v="0"/>
    <s v="L"/>
    <s v="Cx."/>
    <x v="1"/>
    <s v="F"/>
    <m/>
    <n v="40"/>
    <n v="40"/>
    <n v="0"/>
    <s v="Negative"/>
  </r>
  <r>
    <n v="2022"/>
    <s v="CSU-19080"/>
    <n v="28684"/>
    <x v="0"/>
    <x v="0"/>
    <s v="LC"/>
    <s v="FC"/>
    <s v="FC-027"/>
    <x v="0"/>
    <s v="L"/>
    <s v="Cx."/>
    <x v="0"/>
    <s v="F"/>
    <m/>
    <n v="3"/>
    <n v="3"/>
    <n v="0"/>
    <s v="Negative"/>
  </r>
  <r>
    <n v="2022"/>
    <s v="CSU-19081"/>
    <n v="28685"/>
    <x v="0"/>
    <x v="0"/>
    <s v="LC"/>
    <s v="FC"/>
    <s v="FC-027"/>
    <x v="0"/>
    <s v="L"/>
    <s v="Cx."/>
    <x v="1"/>
    <s v="F"/>
    <m/>
    <n v="50"/>
    <n v="50"/>
    <n v="0"/>
    <s v="Negative"/>
  </r>
  <r>
    <n v="2022"/>
    <s v="CSU-19082"/>
    <n v="28686"/>
    <x v="0"/>
    <x v="0"/>
    <s v="LC"/>
    <s v="FC"/>
    <s v="FC-027"/>
    <x v="0"/>
    <s v="L"/>
    <s v="Cx."/>
    <x v="1"/>
    <s v="F"/>
    <m/>
    <n v="23"/>
    <n v="23"/>
    <n v="0"/>
    <s v="Negative"/>
  </r>
  <r>
    <n v="2022"/>
    <s v="CSU-19083"/>
    <n v="28687"/>
    <x v="0"/>
    <x v="0"/>
    <s v="LC"/>
    <s v="FC"/>
    <s v="FC-023"/>
    <x v="0"/>
    <s v="L"/>
    <s v="Cx."/>
    <x v="0"/>
    <s v="F"/>
    <m/>
    <n v="2"/>
    <n v="2"/>
    <n v="0"/>
    <s v="Negative"/>
  </r>
  <r>
    <n v="2022"/>
    <s v="CSU-19084"/>
    <n v="28688"/>
    <x v="0"/>
    <x v="0"/>
    <s v="LC"/>
    <s v="FC"/>
    <s v="FC-023"/>
    <x v="0"/>
    <s v="L"/>
    <s v="Cx."/>
    <x v="1"/>
    <s v="F"/>
    <m/>
    <n v="11"/>
    <n v="11"/>
    <n v="0"/>
    <s v="Negative"/>
  </r>
  <r>
    <n v="2022"/>
    <s v="CSU-19085"/>
    <n v="28689"/>
    <x v="0"/>
    <x v="0"/>
    <s v="LC"/>
    <s v="FC"/>
    <s v="FC-059"/>
    <x v="0"/>
    <s v="L"/>
    <s v="Cx."/>
    <x v="0"/>
    <s v="F"/>
    <m/>
    <n v="4"/>
    <n v="4"/>
    <n v="0"/>
    <s v="Negative"/>
  </r>
  <r>
    <n v="2022"/>
    <s v="CSU-19086"/>
    <n v="28690"/>
    <x v="0"/>
    <x v="0"/>
    <s v="LC"/>
    <s v="FC"/>
    <s v="FC-059"/>
    <x v="0"/>
    <s v="L"/>
    <s v="Cx."/>
    <x v="1"/>
    <s v="F"/>
    <m/>
    <n v="50"/>
    <n v="50"/>
    <n v="0"/>
    <s v="Negative"/>
  </r>
  <r>
    <n v="2022"/>
    <s v="CSU-19087"/>
    <n v="28691"/>
    <x v="0"/>
    <x v="0"/>
    <s v="LC"/>
    <s v="FC"/>
    <s v="FC-059"/>
    <x v="0"/>
    <s v="L"/>
    <s v="Cx."/>
    <x v="1"/>
    <s v="F"/>
    <m/>
    <n v="30"/>
    <n v="30"/>
    <n v="0"/>
    <s v="Negative"/>
  </r>
  <r>
    <n v="2022"/>
    <s v="CSU-19088"/>
    <n v="28692"/>
    <x v="0"/>
    <x v="0"/>
    <s v="LC"/>
    <s v="FC"/>
    <s v="FC-050"/>
    <x v="0"/>
    <s v="L"/>
    <s v="Cx."/>
    <x v="0"/>
    <s v="F"/>
    <m/>
    <n v="2"/>
    <n v="2"/>
    <n v="0"/>
    <s v="Negative"/>
  </r>
  <r>
    <n v="2022"/>
    <s v="CSU-19089"/>
    <n v="28693"/>
    <x v="0"/>
    <x v="0"/>
    <s v="LC"/>
    <s v="FC"/>
    <s v="FC-050"/>
    <x v="0"/>
    <s v="L"/>
    <s v="Cx."/>
    <x v="1"/>
    <s v="F"/>
    <m/>
    <n v="50"/>
    <n v="50"/>
    <n v="0"/>
    <s v="Negative"/>
  </r>
  <r>
    <n v="2022"/>
    <s v="CSU-19090"/>
    <n v="28694"/>
    <x v="0"/>
    <x v="0"/>
    <s v="LC"/>
    <s v="FC"/>
    <s v="FC-050"/>
    <x v="0"/>
    <s v="L"/>
    <s v="Cx."/>
    <x v="1"/>
    <s v="F"/>
    <m/>
    <n v="43"/>
    <n v="43"/>
    <n v="0"/>
    <s v="Negative"/>
  </r>
  <r>
    <n v="2022"/>
    <s v="CSU-19091"/>
    <n v="28695"/>
    <x v="0"/>
    <x v="0"/>
    <s v="LC"/>
    <s v="FC"/>
    <s v="FC-046"/>
    <x v="0"/>
    <s v="L"/>
    <s v="Cx."/>
    <x v="0"/>
    <s v="F"/>
    <m/>
    <n v="9"/>
    <n v="9"/>
    <n v="0"/>
    <s v="Negative"/>
  </r>
  <r>
    <n v="2022"/>
    <s v="CSU-19092"/>
    <n v="28696"/>
    <x v="0"/>
    <x v="0"/>
    <s v="LC"/>
    <s v="FC"/>
    <s v="FC-046"/>
    <x v="0"/>
    <s v="L"/>
    <s v="Cx."/>
    <x v="1"/>
    <s v="F"/>
    <m/>
    <n v="13"/>
    <n v="13"/>
    <n v="0"/>
    <s v="Negative"/>
  </r>
  <r>
    <n v="2022"/>
    <s v="CSU-19093"/>
    <n v="28697"/>
    <x v="0"/>
    <x v="0"/>
    <s v="LC"/>
    <s v="FC"/>
    <s v="FC-075gr"/>
    <x v="0"/>
    <s v="G"/>
    <s v="Cx."/>
    <x v="1"/>
    <s v="F"/>
    <n v="2"/>
    <m/>
    <n v="2"/>
    <n v="0"/>
    <s v="Negative"/>
  </r>
  <r>
    <n v="2022"/>
    <s v="CSU-19094"/>
    <n v="28698"/>
    <x v="0"/>
    <x v="0"/>
    <s v="LC"/>
    <s v="FC"/>
    <s v="FC-031"/>
    <x v="0"/>
    <s v="L"/>
    <s v="Cx."/>
    <x v="1"/>
    <s v="F"/>
    <m/>
    <n v="1"/>
    <n v="1"/>
    <n v="0"/>
    <s v="Negative"/>
  </r>
  <r>
    <n v="2022"/>
    <s v="CSU-19095"/>
    <n v="28699"/>
    <x v="0"/>
    <x v="0"/>
    <s v="LC"/>
    <s v="FC"/>
    <s v="FC-047"/>
    <x v="0"/>
    <s v="L"/>
    <s v="Cx."/>
    <x v="0"/>
    <s v="F"/>
    <m/>
    <n v="1"/>
    <n v="1"/>
    <n v="0"/>
    <s v="Negative"/>
  </r>
  <r>
    <n v="2022"/>
    <s v="CSU-19096"/>
    <n v="28700"/>
    <x v="0"/>
    <x v="0"/>
    <s v="LC"/>
    <s v="FC"/>
    <s v="FC-047"/>
    <x v="0"/>
    <s v="L"/>
    <s v="Cx."/>
    <x v="1"/>
    <s v="F"/>
    <m/>
    <n v="2"/>
    <n v="2"/>
    <n v="0"/>
    <s v="Negative"/>
  </r>
  <r>
    <n v="2022"/>
    <s v="CSU-19097"/>
    <n v="28701"/>
    <x v="0"/>
    <x v="0"/>
    <s v="LC"/>
    <s v="FC"/>
    <s v="FC-057"/>
    <x v="1"/>
    <s v="L"/>
    <s v="Cx."/>
    <x v="0"/>
    <s v="F"/>
    <m/>
    <n v="8"/>
    <n v="8"/>
    <n v="0"/>
    <s v="Negative"/>
  </r>
  <r>
    <n v="2022"/>
    <s v="CSU-19098"/>
    <n v="28702"/>
    <x v="0"/>
    <x v="0"/>
    <s v="LC"/>
    <s v="FC"/>
    <s v="FC-054"/>
    <x v="0"/>
    <s v="L"/>
    <s v="Cx."/>
    <x v="1"/>
    <s v="F"/>
    <m/>
    <n v="1"/>
    <n v="1"/>
    <n v="0"/>
    <s v="Negative"/>
  </r>
  <r>
    <n v="2022"/>
    <s v="CSU-19099"/>
    <n v="28703"/>
    <x v="0"/>
    <x v="0"/>
    <s v="LC"/>
    <s v="FC"/>
    <s v="FC-001"/>
    <x v="1"/>
    <s v="L"/>
    <s v="Cx."/>
    <x v="0"/>
    <s v="F"/>
    <m/>
    <n v="2"/>
    <n v="2"/>
    <n v="0"/>
    <s v="Negative"/>
  </r>
  <r>
    <n v="2022"/>
    <s v="CSU-19100"/>
    <n v="28704"/>
    <x v="0"/>
    <x v="0"/>
    <s v="LC"/>
    <s v="FC"/>
    <s v="FC-001"/>
    <x v="1"/>
    <s v="L"/>
    <s v="Cx."/>
    <x v="1"/>
    <s v="F"/>
    <m/>
    <n v="10"/>
    <n v="10"/>
    <n v="0"/>
    <s v="Negative"/>
  </r>
  <r>
    <n v="2022"/>
    <s v="CSU-19101"/>
    <n v="28705"/>
    <x v="0"/>
    <x v="0"/>
    <s v="LC"/>
    <s v="FC"/>
    <s v="FC-029gr"/>
    <x v="0"/>
    <s v="G"/>
    <s v="Cx."/>
    <x v="1"/>
    <s v="F"/>
    <n v="19"/>
    <m/>
    <n v="19"/>
    <n v="1"/>
    <s v="Positive"/>
  </r>
  <r>
    <n v="2022"/>
    <s v="CSU-19102"/>
    <n v="28706"/>
    <x v="0"/>
    <x v="0"/>
    <s v="LC"/>
    <s v="FC"/>
    <s v="FC-068"/>
    <x v="1"/>
    <s v="L"/>
    <s v="Cx."/>
    <x v="0"/>
    <s v="F"/>
    <m/>
    <n v="3"/>
    <n v="3"/>
    <n v="0"/>
    <s v="Negative"/>
  </r>
  <r>
    <n v="2022"/>
    <s v="CSU-19103"/>
    <n v="28707"/>
    <x v="0"/>
    <x v="0"/>
    <s v="LC"/>
    <s v="FC"/>
    <s v="FC-068"/>
    <x v="1"/>
    <s v="L"/>
    <s v="Cx."/>
    <x v="1"/>
    <s v="F"/>
    <m/>
    <n v="2"/>
    <n v="2"/>
    <n v="0"/>
    <s v="Negative"/>
  </r>
  <r>
    <n v="2022"/>
    <s v="CSU-19104"/>
    <n v="28708"/>
    <x v="0"/>
    <x v="0"/>
    <s v="LC"/>
    <s v="FC"/>
    <s v="FC-029"/>
    <x v="0"/>
    <s v="L"/>
    <s v="Cx."/>
    <x v="0"/>
    <s v="F"/>
    <m/>
    <n v="3"/>
    <n v="3"/>
    <n v="0"/>
    <s v="Negative"/>
  </r>
  <r>
    <n v="2022"/>
    <s v="CSU-19105"/>
    <n v="28709"/>
    <x v="0"/>
    <x v="0"/>
    <s v="LC"/>
    <s v="FC"/>
    <s v="FC-029"/>
    <x v="0"/>
    <s v="L"/>
    <s v="Cx."/>
    <x v="1"/>
    <s v="F"/>
    <m/>
    <n v="3"/>
    <n v="3"/>
    <n v="0"/>
    <s v="Negative"/>
  </r>
  <r>
    <n v="2022"/>
    <s v="CSU-19106"/>
    <n v="28710"/>
    <x v="0"/>
    <x v="0"/>
    <s v="LC"/>
    <s v="FC"/>
    <s v="FC-093"/>
    <x v="1"/>
    <s v="L"/>
    <s v="Cx."/>
    <x v="1"/>
    <s v="F"/>
    <m/>
    <n v="2"/>
    <n v="2"/>
    <n v="0"/>
    <s v="Negative"/>
  </r>
  <r>
    <n v="2022"/>
    <s v="CSU-19107"/>
    <n v="28711"/>
    <x v="0"/>
    <x v="0"/>
    <s v="LC"/>
    <s v="FC"/>
    <s v="FC-062"/>
    <x v="1"/>
    <s v="L"/>
    <s v="Cx."/>
    <x v="0"/>
    <s v="F"/>
    <m/>
    <n v="3"/>
    <n v="3"/>
    <n v="0"/>
    <s v="Negative"/>
  </r>
  <r>
    <n v="2022"/>
    <s v="CSU-19108"/>
    <n v="28712"/>
    <x v="0"/>
    <x v="0"/>
    <s v="LC"/>
    <s v="FC"/>
    <s v="FC-062"/>
    <x v="1"/>
    <s v="L"/>
    <s v="Cx."/>
    <x v="1"/>
    <s v="F"/>
    <m/>
    <n v="4"/>
    <n v="4"/>
    <n v="0"/>
    <s v="Negative"/>
  </r>
  <r>
    <n v="2022"/>
    <s v="CSU-19109"/>
    <n v="28713"/>
    <x v="0"/>
    <x v="0"/>
    <s v="LC"/>
    <s v="FC"/>
    <s v="FC-089gr"/>
    <x v="1"/>
    <s v="G"/>
    <s v="Cx."/>
    <x v="1"/>
    <s v="F"/>
    <n v="26"/>
    <m/>
    <n v="26"/>
    <n v="0"/>
    <s v="Negative"/>
  </r>
  <r>
    <n v="2022"/>
    <s v="CSU-19110"/>
    <n v="28714"/>
    <x v="0"/>
    <x v="0"/>
    <s v="LC"/>
    <s v="FC"/>
    <s v="FC-071"/>
    <x v="1"/>
    <s v="L"/>
    <s v="Cx."/>
    <x v="0"/>
    <s v="F"/>
    <m/>
    <n v="1"/>
    <n v="1"/>
    <n v="0"/>
    <s v="Negative"/>
  </r>
  <r>
    <n v="2022"/>
    <s v="CSU-19111"/>
    <n v="28715"/>
    <x v="0"/>
    <x v="0"/>
    <s v="LC"/>
    <s v="FC"/>
    <s v="FC-071"/>
    <x v="1"/>
    <s v="L"/>
    <s v="Cx."/>
    <x v="1"/>
    <s v="F"/>
    <m/>
    <n v="1"/>
    <n v="1"/>
    <n v="0"/>
    <s v="Negative"/>
  </r>
  <r>
    <n v="2022"/>
    <s v="CSU-19112"/>
    <n v="28716"/>
    <x v="0"/>
    <x v="0"/>
    <s v="LC"/>
    <s v="FC"/>
    <s v="FC-037"/>
    <x v="1"/>
    <s v="L"/>
    <s v="Cx."/>
    <x v="0"/>
    <s v="F"/>
    <m/>
    <n v="24"/>
    <n v="24"/>
    <n v="0"/>
    <s v="Negative"/>
  </r>
  <r>
    <n v="2022"/>
    <s v="CSU-19113"/>
    <n v="28717"/>
    <x v="0"/>
    <x v="0"/>
    <s v="LC"/>
    <s v="FC"/>
    <s v="FC-037"/>
    <x v="1"/>
    <s v="L"/>
    <s v="Cx."/>
    <x v="1"/>
    <s v="F"/>
    <m/>
    <n v="4"/>
    <n v="4"/>
    <n v="0"/>
    <s v="Negative"/>
  </r>
  <r>
    <n v="2022"/>
    <s v="CSU-19114"/>
    <n v="28718"/>
    <x v="0"/>
    <x v="1"/>
    <s v="LC"/>
    <s v="FC"/>
    <s v="FC-038"/>
    <x v="2"/>
    <s v="L"/>
    <s v="Cx."/>
    <x v="0"/>
    <s v="F"/>
    <m/>
    <n v="6"/>
    <n v="6"/>
    <n v="0"/>
    <s v="Negative"/>
  </r>
  <r>
    <n v="2022"/>
    <s v="CSU-19115"/>
    <n v="28719"/>
    <x v="0"/>
    <x v="1"/>
    <s v="LC"/>
    <s v="FC"/>
    <s v="FC-038"/>
    <x v="2"/>
    <s v="L"/>
    <s v="Cx."/>
    <x v="1"/>
    <s v="F"/>
    <m/>
    <n v="30"/>
    <n v="30"/>
    <n v="1"/>
    <s v="Positive"/>
  </r>
  <r>
    <n v="2022"/>
    <s v="CSU-19116"/>
    <n v="28720"/>
    <x v="0"/>
    <x v="1"/>
    <s v="LC"/>
    <s v="FC"/>
    <s v="FC-034"/>
    <x v="2"/>
    <s v="L"/>
    <s v="Cx."/>
    <x v="0"/>
    <s v="F"/>
    <m/>
    <n v="7"/>
    <n v="7"/>
    <n v="0"/>
    <s v="Negative"/>
  </r>
  <r>
    <n v="2022"/>
    <s v="CSU-19117"/>
    <n v="28721"/>
    <x v="0"/>
    <x v="1"/>
    <s v="LC"/>
    <s v="FC"/>
    <s v="FC-069"/>
    <x v="2"/>
    <s v="L"/>
    <s v="Cx."/>
    <x v="0"/>
    <s v="F"/>
    <m/>
    <n v="3"/>
    <n v="3"/>
    <n v="0"/>
    <s v="Negative"/>
  </r>
  <r>
    <n v="2022"/>
    <s v="CSU-19118"/>
    <n v="28722"/>
    <x v="0"/>
    <x v="1"/>
    <s v="LC"/>
    <s v="FC"/>
    <s v="FC-069"/>
    <x v="2"/>
    <s v="L"/>
    <s v="Cx."/>
    <x v="1"/>
    <s v="F"/>
    <m/>
    <n v="1"/>
    <n v="1"/>
    <n v="0"/>
    <s v="Negative"/>
  </r>
  <r>
    <n v="2022"/>
    <s v="CSU-19119"/>
    <n v="28723"/>
    <x v="0"/>
    <x v="1"/>
    <s v="LC"/>
    <s v="FC"/>
    <s v="FC-040"/>
    <x v="2"/>
    <s v="L"/>
    <s v="Cx."/>
    <x v="0"/>
    <s v="F"/>
    <m/>
    <n v="2"/>
    <n v="2"/>
    <n v="0"/>
    <s v="Negative"/>
  </r>
  <r>
    <n v="2022"/>
    <s v="CSU-19120"/>
    <n v="28724"/>
    <x v="0"/>
    <x v="1"/>
    <s v="LC"/>
    <s v="FC"/>
    <s v="FC-040"/>
    <x v="2"/>
    <s v="L"/>
    <s v="Cx."/>
    <x v="1"/>
    <s v="F"/>
    <m/>
    <n v="50"/>
    <n v="50"/>
    <n v="0"/>
    <s v="Negative"/>
  </r>
  <r>
    <n v="2022"/>
    <s v="CSU-19121"/>
    <n v="28725"/>
    <x v="0"/>
    <x v="1"/>
    <s v="LC"/>
    <s v="FC"/>
    <s v="FC-040"/>
    <x v="2"/>
    <s v="L"/>
    <s v="Cx."/>
    <x v="1"/>
    <s v="F"/>
    <m/>
    <n v="11"/>
    <n v="11"/>
    <n v="0"/>
    <s v="Negative"/>
  </r>
  <r>
    <n v="2022"/>
    <s v="CSU-19122"/>
    <n v="28726"/>
    <x v="0"/>
    <x v="1"/>
    <s v="LC"/>
    <s v="FC"/>
    <s v="FC-036"/>
    <x v="3"/>
    <s v="L"/>
    <s v="Cx."/>
    <x v="1"/>
    <s v="F"/>
    <m/>
    <n v="9"/>
    <n v="9"/>
    <n v="0"/>
    <s v="Negative"/>
  </r>
  <r>
    <n v="2022"/>
    <s v="CSU-19123"/>
    <n v="28727"/>
    <x v="0"/>
    <x v="1"/>
    <s v="LC"/>
    <s v="FC"/>
    <s v="FC-006"/>
    <x v="2"/>
    <s v="L"/>
    <s v="Cx."/>
    <x v="0"/>
    <s v="F"/>
    <m/>
    <n v="1"/>
    <n v="1"/>
    <n v="0"/>
    <s v="Negative"/>
  </r>
  <r>
    <n v="2022"/>
    <s v="CSU-19124"/>
    <n v="28728"/>
    <x v="0"/>
    <x v="1"/>
    <s v="LC"/>
    <s v="FC"/>
    <s v="FC-006"/>
    <x v="2"/>
    <s v="L"/>
    <s v="Cx."/>
    <x v="1"/>
    <s v="F"/>
    <m/>
    <n v="8"/>
    <n v="8"/>
    <n v="1"/>
    <s v="Positive"/>
  </r>
  <r>
    <n v="2022"/>
    <s v="CSU-19125"/>
    <n v="28729"/>
    <x v="0"/>
    <x v="1"/>
    <s v="LC"/>
    <s v="FC"/>
    <s v="FC-040gr"/>
    <x v="2"/>
    <s v="G"/>
    <s v="Cx."/>
    <x v="1"/>
    <s v="F"/>
    <n v="50"/>
    <m/>
    <n v="50"/>
    <n v="0"/>
    <s v="Negative"/>
  </r>
  <r>
    <n v="2022"/>
    <s v="CSU-19126"/>
    <n v="28730"/>
    <x v="0"/>
    <x v="1"/>
    <s v="LC"/>
    <s v="FC"/>
    <s v="FC-040gr"/>
    <x v="2"/>
    <s v="G"/>
    <s v="Cx."/>
    <x v="1"/>
    <s v="F"/>
    <n v="18"/>
    <m/>
    <n v="18"/>
    <n v="0"/>
    <s v="Negative"/>
  </r>
  <r>
    <n v="2022"/>
    <s v="CSU-19127"/>
    <n v="28731"/>
    <x v="0"/>
    <x v="1"/>
    <s v="LC"/>
    <s v="FC"/>
    <s v="FC-092gr"/>
    <x v="2"/>
    <s v="G"/>
    <s v="Cx."/>
    <x v="1"/>
    <s v="F"/>
    <n v="41"/>
    <m/>
    <n v="41"/>
    <n v="1"/>
    <s v="Positive"/>
  </r>
  <r>
    <n v="2022"/>
    <s v="CSU-19128"/>
    <n v="28732"/>
    <x v="0"/>
    <x v="1"/>
    <s v="LC"/>
    <s v="FC"/>
    <s v="FC-072"/>
    <x v="2"/>
    <s v="L"/>
    <s v="Cx."/>
    <x v="0"/>
    <s v="F"/>
    <m/>
    <n v="7"/>
    <n v="7"/>
    <n v="0"/>
    <s v="Negative"/>
  </r>
  <r>
    <n v="2022"/>
    <s v="CSU-19129"/>
    <n v="28733"/>
    <x v="0"/>
    <x v="1"/>
    <s v="LC"/>
    <s v="FC"/>
    <s v="FC-072"/>
    <x v="2"/>
    <s v="L"/>
    <s v="Cx."/>
    <x v="1"/>
    <s v="F"/>
    <m/>
    <n v="7"/>
    <n v="7"/>
    <n v="0"/>
    <s v="Negative"/>
  </r>
  <r>
    <n v="2022"/>
    <s v="CSU-19130"/>
    <n v="28734"/>
    <x v="0"/>
    <x v="1"/>
    <s v="LC"/>
    <s v="FC"/>
    <s v="FC-091gr"/>
    <x v="2"/>
    <s v="G"/>
    <s v="Cx."/>
    <x v="0"/>
    <s v="F"/>
    <n v="1"/>
    <m/>
    <n v="1"/>
    <n v="0"/>
    <s v="Negative"/>
  </r>
  <r>
    <n v="2022"/>
    <s v="CSU-19131"/>
    <n v="28735"/>
    <x v="0"/>
    <x v="1"/>
    <s v="LC"/>
    <s v="FC"/>
    <s v="FC-091gr"/>
    <x v="2"/>
    <s v="G"/>
    <s v="Cx."/>
    <x v="1"/>
    <s v="F"/>
    <n v="4"/>
    <m/>
    <n v="4"/>
    <n v="0"/>
    <s v="Negative"/>
  </r>
  <r>
    <n v="2022"/>
    <s v="CSU-19132"/>
    <n v="28736"/>
    <x v="0"/>
    <x v="1"/>
    <s v="LC"/>
    <s v="FC"/>
    <s v="FC-019"/>
    <x v="2"/>
    <s v="L"/>
    <s v="Cx."/>
    <x v="0"/>
    <s v="F"/>
    <m/>
    <n v="3"/>
    <n v="3"/>
    <n v="0"/>
    <s v="Negative"/>
  </r>
  <r>
    <n v="2022"/>
    <s v="CSU-19133"/>
    <n v="28737"/>
    <x v="0"/>
    <x v="1"/>
    <s v="LC"/>
    <s v="FC"/>
    <s v="FC-019"/>
    <x v="2"/>
    <s v="L"/>
    <s v="Cx."/>
    <x v="1"/>
    <s v="F"/>
    <m/>
    <n v="43"/>
    <n v="43"/>
    <n v="0"/>
    <s v="Negative"/>
  </r>
  <r>
    <n v="2022"/>
    <s v="CSU-19134"/>
    <n v="28738"/>
    <x v="0"/>
    <x v="1"/>
    <s v="LC"/>
    <s v="FC"/>
    <s v="FC-067"/>
    <x v="2"/>
    <s v="L"/>
    <s v="Cx."/>
    <x v="0"/>
    <s v="F"/>
    <m/>
    <n v="8"/>
    <n v="8"/>
    <n v="0"/>
    <s v="Negative"/>
  </r>
  <r>
    <n v="2022"/>
    <s v="CSU-19135"/>
    <n v="28739"/>
    <x v="0"/>
    <x v="1"/>
    <s v="LC"/>
    <s v="FC"/>
    <s v="FC-067"/>
    <x v="2"/>
    <s v="L"/>
    <s v="Cx."/>
    <x v="1"/>
    <s v="F"/>
    <m/>
    <n v="35"/>
    <n v="35"/>
    <n v="0"/>
    <s v="Negative"/>
  </r>
  <r>
    <n v="2022"/>
    <s v="CSU-19136"/>
    <n v="28740"/>
    <x v="0"/>
    <x v="1"/>
    <s v="LC"/>
    <s v="FC"/>
    <s v="FC-066gr"/>
    <x v="2"/>
    <s v="G"/>
    <s v="Cx."/>
    <x v="0"/>
    <s v="F"/>
    <n v="1"/>
    <m/>
    <n v="1"/>
    <n v="0"/>
    <s v="Negative"/>
  </r>
  <r>
    <n v="2022"/>
    <s v="CSU-19137"/>
    <n v="28741"/>
    <x v="0"/>
    <x v="1"/>
    <s v="LC"/>
    <s v="FC"/>
    <s v="FC-066gr"/>
    <x v="2"/>
    <s v="G"/>
    <s v="Cx."/>
    <x v="1"/>
    <s v="F"/>
    <n v="8"/>
    <m/>
    <n v="8"/>
    <n v="0"/>
    <s v="Negative"/>
  </r>
  <r>
    <n v="2022"/>
    <s v="CSU-19138"/>
    <n v="28742"/>
    <x v="0"/>
    <x v="1"/>
    <s v="LC"/>
    <s v="FC"/>
    <s v="FC-066"/>
    <x v="2"/>
    <s v="L"/>
    <s v="Cx."/>
    <x v="0"/>
    <s v="F"/>
    <m/>
    <n v="3"/>
    <n v="3"/>
    <n v="0"/>
    <s v="Negative"/>
  </r>
  <r>
    <n v="2022"/>
    <s v="CSU-19139"/>
    <n v="28743"/>
    <x v="0"/>
    <x v="1"/>
    <s v="LC"/>
    <s v="FC"/>
    <s v="FC-066"/>
    <x v="2"/>
    <s v="L"/>
    <s v="Cx."/>
    <x v="1"/>
    <s v="F"/>
    <m/>
    <n v="50"/>
    <n v="50"/>
    <n v="0"/>
    <s v="Negative"/>
  </r>
  <r>
    <n v="2022"/>
    <s v="CSU-19140"/>
    <n v="28744"/>
    <x v="0"/>
    <x v="1"/>
    <s v="LC"/>
    <s v="FC"/>
    <s v="FC-066"/>
    <x v="2"/>
    <s v="L"/>
    <s v="Cx."/>
    <x v="1"/>
    <s v="F"/>
    <m/>
    <n v="50"/>
    <n v="50"/>
    <n v="0"/>
    <s v="Negative"/>
  </r>
  <r>
    <n v="2022"/>
    <s v="CSU-19141"/>
    <n v="28745"/>
    <x v="0"/>
    <x v="1"/>
    <s v="LC"/>
    <s v="FC"/>
    <s v="FC-066"/>
    <x v="2"/>
    <s v="L"/>
    <s v="Cx."/>
    <x v="1"/>
    <s v="F"/>
    <m/>
    <n v="50"/>
    <n v="50"/>
    <n v="0"/>
    <s v="Negative"/>
  </r>
  <r>
    <n v="2022"/>
    <s v="CSU-19142"/>
    <n v="28746"/>
    <x v="0"/>
    <x v="1"/>
    <s v="LC"/>
    <s v="FC"/>
    <s v="FC-066"/>
    <x v="2"/>
    <s v="L"/>
    <s v="Cx."/>
    <x v="1"/>
    <s v="F"/>
    <m/>
    <n v="50"/>
    <n v="50"/>
    <n v="1"/>
    <s v="Positive"/>
  </r>
  <r>
    <n v="2022"/>
    <s v="CSU-19143"/>
    <n v="28747"/>
    <x v="0"/>
    <x v="1"/>
    <s v="LC"/>
    <s v="FC"/>
    <s v="FC-066"/>
    <x v="2"/>
    <s v="L"/>
    <s v="Cx."/>
    <x v="1"/>
    <s v="F"/>
    <m/>
    <n v="50"/>
    <n v="50"/>
    <n v="0"/>
    <s v="Negative"/>
  </r>
  <r>
    <n v="2022"/>
    <s v="CSU-19144"/>
    <n v="28748"/>
    <x v="0"/>
    <x v="1"/>
    <s v="LC"/>
    <s v="FC"/>
    <s v="FC-066"/>
    <x v="2"/>
    <s v="L"/>
    <s v="Cx."/>
    <x v="1"/>
    <s v="F"/>
    <m/>
    <n v="50"/>
    <n v="50"/>
    <n v="0"/>
    <s v="Negative"/>
  </r>
  <r>
    <n v="2022"/>
    <s v="CSU-19145"/>
    <n v="28749"/>
    <x v="0"/>
    <x v="1"/>
    <s v="LC"/>
    <s v="FC"/>
    <s v="FC-066"/>
    <x v="2"/>
    <s v="L"/>
    <s v="Cx."/>
    <x v="1"/>
    <s v="F"/>
    <m/>
    <n v="50"/>
    <n v="50"/>
    <n v="0"/>
    <s v="Negative"/>
  </r>
  <r>
    <n v="2022"/>
    <s v="CSU-19146"/>
    <n v="28750"/>
    <x v="0"/>
    <x v="1"/>
    <s v="LC"/>
    <s v="FC"/>
    <s v="FC-066"/>
    <x v="2"/>
    <s v="L"/>
    <s v="Cx."/>
    <x v="1"/>
    <s v="F"/>
    <m/>
    <n v="50"/>
    <n v="50"/>
    <n v="0"/>
    <s v="Negative"/>
  </r>
  <r>
    <n v="2022"/>
    <s v="CSU-19147"/>
    <n v="28751"/>
    <x v="0"/>
    <x v="1"/>
    <s v="LC"/>
    <s v="FC"/>
    <s v="FC-066"/>
    <x v="2"/>
    <s v="L"/>
    <s v="Cx."/>
    <x v="1"/>
    <s v="F"/>
    <m/>
    <n v="50"/>
    <n v="50"/>
    <n v="0"/>
    <s v="Negative"/>
  </r>
  <r>
    <n v="2022"/>
    <s v="CSU-19148"/>
    <n v="28752"/>
    <x v="0"/>
    <x v="1"/>
    <s v="LC"/>
    <s v="FC"/>
    <s v="FC-066"/>
    <x v="2"/>
    <s v="L"/>
    <s v="Cx."/>
    <x v="1"/>
    <s v="F"/>
    <m/>
    <n v="26"/>
    <n v="26"/>
    <n v="0"/>
    <s v="Negative"/>
  </r>
  <r>
    <n v="2022"/>
    <s v="CSU-19149"/>
    <n v="28753"/>
    <x v="0"/>
    <x v="1"/>
    <s v="LC"/>
    <s v="FC"/>
    <s v="FC-014"/>
    <x v="2"/>
    <s v="L"/>
    <s v="Cx."/>
    <x v="0"/>
    <s v="F"/>
    <m/>
    <n v="9"/>
    <n v="9"/>
    <n v="0"/>
    <s v="Negative"/>
  </r>
  <r>
    <n v="2022"/>
    <s v="CSU-19150"/>
    <n v="28754"/>
    <x v="0"/>
    <x v="1"/>
    <s v="LC"/>
    <s v="FC"/>
    <s v="FC-014"/>
    <x v="2"/>
    <s v="L"/>
    <s v="Cx."/>
    <x v="1"/>
    <s v="F"/>
    <m/>
    <n v="50"/>
    <n v="50"/>
    <n v="0"/>
    <s v="Negative"/>
  </r>
  <r>
    <n v="2022"/>
    <s v="CSU-19151"/>
    <n v="28755"/>
    <x v="0"/>
    <x v="1"/>
    <s v="LC"/>
    <s v="FC"/>
    <s v="FC-014"/>
    <x v="2"/>
    <s v="L"/>
    <s v="Cx."/>
    <x v="1"/>
    <s v="F"/>
    <m/>
    <n v="50"/>
    <n v="50"/>
    <n v="0"/>
    <s v="Negative"/>
  </r>
  <r>
    <n v="2022"/>
    <s v="CSU-19152"/>
    <n v="28756"/>
    <x v="0"/>
    <x v="1"/>
    <s v="LC"/>
    <s v="FC"/>
    <s v="FC-014"/>
    <x v="2"/>
    <s v="L"/>
    <s v="Cx."/>
    <x v="1"/>
    <s v="F"/>
    <m/>
    <n v="50"/>
    <n v="50"/>
    <n v="0"/>
    <s v="Negative"/>
  </r>
  <r>
    <n v="2022"/>
    <s v="CSU-19153"/>
    <n v="28757"/>
    <x v="0"/>
    <x v="1"/>
    <s v="LC"/>
    <s v="FC"/>
    <s v="FC-014"/>
    <x v="2"/>
    <s v="L"/>
    <s v="Cx."/>
    <x v="1"/>
    <s v="F"/>
    <m/>
    <n v="50"/>
    <n v="50"/>
    <n v="0"/>
    <s v="Negative"/>
  </r>
  <r>
    <n v="2022"/>
    <s v="CSU-19154"/>
    <n v="28758"/>
    <x v="0"/>
    <x v="1"/>
    <s v="LC"/>
    <s v="FC"/>
    <s v="FC-014"/>
    <x v="2"/>
    <s v="L"/>
    <s v="Cx."/>
    <x v="1"/>
    <s v="F"/>
    <m/>
    <n v="50"/>
    <n v="50"/>
    <n v="0"/>
    <s v="Negative"/>
  </r>
  <r>
    <n v="2022"/>
    <s v="CSU-19155"/>
    <n v="28759"/>
    <x v="0"/>
    <x v="1"/>
    <s v="LC"/>
    <s v="FC"/>
    <s v="FC-014"/>
    <x v="2"/>
    <s v="L"/>
    <s v="Cx."/>
    <x v="1"/>
    <s v="F"/>
    <m/>
    <n v="50"/>
    <n v="50"/>
    <n v="0"/>
    <s v="Negative"/>
  </r>
  <r>
    <n v="2022"/>
    <s v="CSU-19156"/>
    <n v="28760"/>
    <x v="0"/>
    <x v="1"/>
    <s v="LC"/>
    <s v="FC"/>
    <s v="FC-014"/>
    <x v="2"/>
    <s v="L"/>
    <s v="Cx."/>
    <x v="1"/>
    <s v="F"/>
    <m/>
    <n v="50"/>
    <n v="50"/>
    <n v="0"/>
    <s v="Negative"/>
  </r>
  <r>
    <n v="2022"/>
    <s v="CSU-19157"/>
    <n v="28761"/>
    <x v="0"/>
    <x v="1"/>
    <s v="LC"/>
    <s v="FC"/>
    <s v="FC-014"/>
    <x v="2"/>
    <s v="L"/>
    <s v="Cx."/>
    <x v="1"/>
    <s v="F"/>
    <m/>
    <n v="50"/>
    <n v="50"/>
    <n v="0"/>
    <s v="Negative"/>
  </r>
  <r>
    <n v="2022"/>
    <s v="CSU-19158"/>
    <n v="28762"/>
    <x v="0"/>
    <x v="1"/>
    <s v="LC"/>
    <s v="FC"/>
    <s v="FC-014"/>
    <x v="2"/>
    <s v="L"/>
    <s v="Cx."/>
    <x v="1"/>
    <s v="F"/>
    <m/>
    <n v="50"/>
    <n v="50"/>
    <n v="0"/>
    <s v="Negative"/>
  </r>
  <r>
    <n v="2022"/>
    <s v="CSU-19159"/>
    <n v="28763"/>
    <x v="0"/>
    <x v="1"/>
    <s v="LC"/>
    <s v="FC"/>
    <s v="FC-014"/>
    <x v="2"/>
    <s v="L"/>
    <s v="Cx."/>
    <x v="1"/>
    <s v="F"/>
    <m/>
    <n v="46"/>
    <n v="46"/>
    <n v="0"/>
    <s v="Negative"/>
  </r>
  <r>
    <n v="2022"/>
    <s v="CSU-19160"/>
    <n v="28764"/>
    <x v="0"/>
    <x v="1"/>
    <s v="LC"/>
    <s v="FC"/>
    <s v="FC-061"/>
    <x v="3"/>
    <s v="L"/>
    <s v="Cx."/>
    <x v="1"/>
    <s v="F"/>
    <m/>
    <n v="1"/>
    <n v="1"/>
    <n v="0"/>
    <s v="Negative"/>
  </r>
  <r>
    <n v="2022"/>
    <s v="CSU-19161"/>
    <n v="28765"/>
    <x v="0"/>
    <x v="1"/>
    <s v="LC"/>
    <s v="FC"/>
    <s v="FC-052"/>
    <x v="3"/>
    <s v="L"/>
    <s v="Cx."/>
    <x v="0"/>
    <s v="F"/>
    <m/>
    <n v="1"/>
    <n v="1"/>
    <n v="0"/>
    <s v="Negative"/>
  </r>
  <r>
    <n v="2022"/>
    <s v="CSU-19162"/>
    <n v="28766"/>
    <x v="0"/>
    <x v="1"/>
    <s v="LC"/>
    <s v="FC"/>
    <s v="FC-052"/>
    <x v="3"/>
    <s v="L"/>
    <s v="Cx."/>
    <x v="1"/>
    <s v="F"/>
    <m/>
    <n v="1"/>
    <n v="1"/>
    <n v="0"/>
    <s v="Negative"/>
  </r>
  <r>
    <n v="2022"/>
    <s v="CSU-19163"/>
    <n v="28767"/>
    <x v="0"/>
    <x v="1"/>
    <s v="LC"/>
    <s v="FC"/>
    <s v="FC-073"/>
    <x v="3"/>
    <s v="L"/>
    <s v="Cx."/>
    <x v="1"/>
    <s v="F"/>
    <m/>
    <n v="3"/>
    <n v="3"/>
    <n v="0"/>
    <s v="Negative"/>
  </r>
  <r>
    <n v="2022"/>
    <s v="CSU-19164"/>
    <n v="28768"/>
    <x v="0"/>
    <x v="1"/>
    <s v="LC"/>
    <s v="FC"/>
    <s v="FC-090gr"/>
    <x v="3"/>
    <s v="G"/>
    <s v="Cx."/>
    <x v="1"/>
    <s v="F"/>
    <n v="2"/>
    <m/>
    <n v="2"/>
    <n v="0"/>
    <s v="Negative"/>
  </r>
  <r>
    <n v="2022"/>
    <s v="CSU-19165"/>
    <n v="28769"/>
    <x v="0"/>
    <x v="1"/>
    <s v="LC"/>
    <s v="FC"/>
    <s v="FC-060"/>
    <x v="3"/>
    <s v="L"/>
    <s v="Cx."/>
    <x v="1"/>
    <s v="F"/>
    <m/>
    <n v="2"/>
    <n v="2"/>
    <n v="0"/>
    <s v="Negative"/>
  </r>
  <r>
    <n v="2022"/>
    <s v="CSU-19166"/>
    <n v="28770"/>
    <x v="0"/>
    <x v="1"/>
    <s v="LC"/>
    <s v="FC"/>
    <s v="FC-041"/>
    <x v="3"/>
    <s v="L"/>
    <s v="Cx."/>
    <x v="0"/>
    <s v="F"/>
    <m/>
    <n v="2"/>
    <n v="2"/>
    <n v="0"/>
    <s v="Negative"/>
  </r>
  <r>
    <n v="2022"/>
    <s v="CSU-19167"/>
    <n v="28771"/>
    <x v="0"/>
    <x v="1"/>
    <s v="LC"/>
    <s v="FC"/>
    <s v="FC-041"/>
    <x v="3"/>
    <s v="L"/>
    <s v="Cx."/>
    <x v="1"/>
    <s v="F"/>
    <m/>
    <n v="4"/>
    <n v="4"/>
    <n v="0"/>
    <s v="Negative"/>
  </r>
  <r>
    <n v="2022"/>
    <s v="CSU-19168"/>
    <n v="28772"/>
    <x v="0"/>
    <x v="1"/>
    <s v="LC"/>
    <s v="FC"/>
    <s v="FC-063"/>
    <x v="3"/>
    <s v="L"/>
    <s v="Cx."/>
    <x v="1"/>
    <s v="F"/>
    <m/>
    <n v="1"/>
    <n v="1"/>
    <n v="0"/>
    <s v="Negative"/>
  </r>
  <r>
    <n v="2022"/>
    <s v="CSU-19169"/>
    <n v="28773"/>
    <x v="0"/>
    <x v="1"/>
    <s v="LC"/>
    <s v="FC"/>
    <s v="FC-063gr"/>
    <x v="3"/>
    <s v="G"/>
    <s v="Cx."/>
    <x v="1"/>
    <s v="F"/>
    <n v="4"/>
    <m/>
    <n v="4"/>
    <n v="0"/>
    <s v="Negative"/>
  </r>
  <r>
    <n v="2022"/>
    <s v="CSU-19170"/>
    <n v="28774"/>
    <x v="0"/>
    <x v="1"/>
    <s v="LC"/>
    <s v="FC"/>
    <s v="FC-015"/>
    <x v="3"/>
    <s v="L"/>
    <s v="Cx."/>
    <x v="0"/>
    <s v="F"/>
    <m/>
    <n v="5"/>
    <n v="5"/>
    <n v="0"/>
    <s v="Negative"/>
  </r>
  <r>
    <n v="2022"/>
    <s v="CSU-19171"/>
    <n v="28775"/>
    <x v="0"/>
    <x v="1"/>
    <s v="LC"/>
    <s v="FC"/>
    <s v="FC-015"/>
    <x v="3"/>
    <s v="L"/>
    <s v="Cx."/>
    <x v="1"/>
    <s v="F"/>
    <m/>
    <n v="1"/>
    <n v="1"/>
    <n v="0"/>
    <s v="Negative"/>
  </r>
  <r>
    <n v="2022"/>
    <s v="CSU-19172"/>
    <n v="28776"/>
    <x v="0"/>
    <x v="1"/>
    <s v="LC"/>
    <s v="FC"/>
    <s v="FC-011"/>
    <x v="3"/>
    <s v="L"/>
    <s v="Cx."/>
    <x v="0"/>
    <s v="F"/>
    <m/>
    <n v="1"/>
    <n v="1"/>
    <n v="0"/>
    <s v="Negative"/>
  </r>
  <r>
    <n v="2022"/>
    <s v="CSU-19173"/>
    <n v="28777"/>
    <x v="0"/>
    <x v="1"/>
    <s v="LC"/>
    <s v="FC"/>
    <s v="FC-011"/>
    <x v="3"/>
    <s v="L"/>
    <s v="Cx."/>
    <x v="1"/>
    <s v="F"/>
    <m/>
    <n v="11"/>
    <n v="11"/>
    <n v="0"/>
    <s v="Negative"/>
  </r>
  <r>
    <n v="2022"/>
    <s v="CSU-19174"/>
    <n v="28778"/>
    <x v="0"/>
    <x v="1"/>
    <s v="LC"/>
    <s v="FC"/>
    <s v="FC-049"/>
    <x v="3"/>
    <s v="L"/>
    <s v="Cx."/>
    <x v="0"/>
    <s v="F"/>
    <m/>
    <n v="2"/>
    <n v="2"/>
    <n v="0"/>
    <s v="Negative"/>
  </r>
  <r>
    <n v="2022"/>
    <s v="BOU-00135"/>
    <s v="N/A"/>
    <x v="0"/>
    <x v="2"/>
    <s v="BC"/>
    <s v="BC"/>
    <s v="BC-19"/>
    <x v="4"/>
    <s v="L"/>
    <s v="Cx."/>
    <x v="0"/>
    <s v="F"/>
    <n v="0"/>
    <n v="5"/>
    <n v="5"/>
    <n v="0"/>
    <s v="Negative"/>
  </r>
  <r>
    <n v="2022"/>
    <s v="BOU-00136"/>
    <s v="N/A"/>
    <x v="0"/>
    <x v="2"/>
    <s v="BC"/>
    <s v="BC"/>
    <s v="BC-17"/>
    <x v="4"/>
    <s v="L"/>
    <s v="Cx."/>
    <x v="0"/>
    <s v="F"/>
    <n v="0"/>
    <n v="3"/>
    <n v="3"/>
    <n v="0"/>
    <s v="Negative"/>
  </r>
  <r>
    <n v="2022"/>
    <s v="BOU-00137"/>
    <s v="N/A"/>
    <x v="0"/>
    <x v="2"/>
    <s v="BC"/>
    <s v="BC"/>
    <s v="BC-17"/>
    <x v="4"/>
    <s v="L"/>
    <s v="Cx."/>
    <x v="1"/>
    <s v="F"/>
    <n v="0"/>
    <n v="7"/>
    <n v="7"/>
    <n v="0"/>
    <s v="Negative"/>
  </r>
  <r>
    <n v="2022"/>
    <s v="BOU-00138"/>
    <s v="N/A"/>
    <x v="0"/>
    <x v="2"/>
    <s v="BC"/>
    <s v="BC"/>
    <s v="BC-09"/>
    <x v="4"/>
    <s v="L"/>
    <s v="Cx."/>
    <x v="0"/>
    <s v="F"/>
    <n v="0"/>
    <n v="6"/>
    <n v="6"/>
    <n v="0"/>
    <s v="Negative"/>
  </r>
  <r>
    <n v="2022"/>
    <s v="BOU-00139"/>
    <s v="N/A"/>
    <x v="0"/>
    <x v="2"/>
    <s v="BC"/>
    <s v="BC"/>
    <s v="BC-13"/>
    <x v="4"/>
    <s v="L"/>
    <s v="Cx."/>
    <x v="1"/>
    <s v="F"/>
    <n v="0"/>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79D365-7864-45FD-A38F-104AFD49566A}" name="PivotTable3" cacheId="1307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6">
        <item x="3"/>
        <item x="4"/>
        <item x="2"/>
        <item x="1"/>
        <item x="0"/>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6">
    <i>
      <x/>
    </i>
    <i>
      <x v="1"/>
    </i>
    <i>
      <x v="2"/>
    </i>
    <i>
      <x v="3"/>
    </i>
    <i>
      <x v="4"/>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0941C7-FACC-4C25-9F4F-8634504C781C}" name="PivotTable1" cacheId="1307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3">
        <item m="1" x="1"/>
        <item x="0"/>
        <item t="default"/>
      </items>
    </pivotField>
    <pivotField showAll="0"/>
    <pivotField showAll="0" defaultSubtotal="0"/>
    <pivotField showAll="0" defaultSubtotal="0"/>
    <pivotField showAll="0" defaultSubtotal="0"/>
    <pivotField axis="axisRow" showAll="0">
      <items count="7">
        <item m="1" x="5"/>
        <item x="2"/>
        <item x="3"/>
        <item x="0"/>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9C5A29-1E6C-4E84-97D0-14B10E1237EA}" name="PivotTable4" cacheId="1307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9">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3"/>
        <item x="0"/>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3C28FF-2277-46CB-876A-F4A2E85AA021}" name="PivotTable1" cacheId="1307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7">
        <item m="1" x="4"/>
        <item m="1" x="3"/>
        <item m="1" x="5"/>
        <item x="0"/>
        <item x="1"/>
        <item x="2"/>
        <item t="default"/>
      </items>
    </pivotField>
    <pivotField showAll="0"/>
    <pivotField showAll="0"/>
    <pivotField showAll="0" defaultSubtotal="0"/>
    <pivotField axis="axisRow" showAll="0">
      <items count="7">
        <item m="1" x="5"/>
        <item x="2"/>
        <item x="3"/>
        <item x="0"/>
        <item x="1"/>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B6" sqref="B6"/>
    </sheetView>
  </sheetViews>
  <sheetFormatPr defaultColWidth="8.85546875" defaultRowHeight="15"/>
  <cols>
    <col min="1" max="1" width="39.5703125" bestFit="1" customWidth="1"/>
    <col min="2" max="2" width="16.28515625" customWidth="1"/>
    <col min="3" max="3" width="7.5703125" bestFit="1" customWidth="1"/>
    <col min="4" max="6" width="11.28515625" bestFit="1" customWidth="1"/>
    <col min="7" max="7" width="12.42578125" customWidth="1"/>
    <col min="8" max="8" width="9.140625" customWidth="1"/>
  </cols>
  <sheetData>
    <row r="1" spans="1:10">
      <c r="A1" s="32" t="s">
        <v>344</v>
      </c>
      <c r="G1" s="93" t="s">
        <v>345</v>
      </c>
      <c r="H1" s="93"/>
    </row>
    <row r="2" spans="1:10">
      <c r="A2" s="2" t="s">
        <v>13</v>
      </c>
      <c r="B2" t="s">
        <v>336</v>
      </c>
    </row>
    <row r="4" spans="1:10">
      <c r="A4" s="2" t="s">
        <v>350</v>
      </c>
      <c r="B4" s="2" t="s">
        <v>347</v>
      </c>
      <c r="G4" s="23" t="s">
        <v>350</v>
      </c>
      <c r="H4" s="23" t="s">
        <v>347</v>
      </c>
      <c r="I4" s="23"/>
      <c r="J4" s="23"/>
    </row>
    <row r="5" spans="1:10">
      <c r="A5" s="2" t="s">
        <v>337</v>
      </c>
      <c r="B5" t="s">
        <v>44</v>
      </c>
      <c r="C5" t="s">
        <v>38</v>
      </c>
      <c r="D5" t="s">
        <v>342</v>
      </c>
      <c r="G5" s="24" t="s">
        <v>337</v>
      </c>
      <c r="H5" s="24" t="s">
        <v>348</v>
      </c>
      <c r="I5" s="24" t="s">
        <v>349</v>
      </c>
      <c r="J5" s="24" t="s">
        <v>342</v>
      </c>
    </row>
    <row r="6" spans="1:10">
      <c r="A6" s="1" t="s">
        <v>123</v>
      </c>
      <c r="B6">
        <v>33</v>
      </c>
      <c r="C6">
        <v>12</v>
      </c>
      <c r="D6">
        <v>45</v>
      </c>
      <c r="G6" s="1" t="s">
        <v>341</v>
      </c>
      <c r="H6" t="e">
        <f>GETPIVOTDATA("CSU Pool Number     (CMC enters)",$A$4,"Zone","LV","Spp","Pipiens")</f>
        <v>#REF!</v>
      </c>
      <c r="I6" t="e">
        <f>GETPIVOTDATA("CSU Pool Number     (CMC enters)",$A$4,"Zone","LV","Spp","Tarsalis")</f>
        <v>#REF!</v>
      </c>
      <c r="J6" t="e">
        <f>GETPIVOTDATA("CSU Pool Number     (CMC enters)",$A$4,"Zone","LV")</f>
        <v>#REF!</v>
      </c>
    </row>
    <row r="7" spans="1:10">
      <c r="A7" s="1" t="s">
        <v>138</v>
      </c>
      <c r="B7">
        <v>11</v>
      </c>
      <c r="C7">
        <v>5</v>
      </c>
      <c r="D7">
        <v>16</v>
      </c>
      <c r="G7" s="1" t="s">
        <v>123</v>
      </c>
      <c r="H7">
        <f>GETPIVOTDATA("CSU Pool Number     (CMC enters)",$A$4,"Zone","NE","Spp","Pipiens")</f>
        <v>33</v>
      </c>
      <c r="I7">
        <f>GETPIVOTDATA("CSU Pool Number     (CMC enters)",$A$4,"Zone","NE","Spp","Tarsalis")</f>
        <v>12</v>
      </c>
      <c r="J7">
        <f>GETPIVOTDATA("CSU Pool Number     (CMC enters)",$A$4,"Zone","NE")</f>
        <v>45</v>
      </c>
    </row>
    <row r="8" spans="1:10">
      <c r="A8" s="1" t="s">
        <v>35</v>
      </c>
      <c r="B8">
        <v>22</v>
      </c>
      <c r="C8">
        <v>11</v>
      </c>
      <c r="D8">
        <v>33</v>
      </c>
      <c r="G8" s="1" t="s">
        <v>138</v>
      </c>
      <c r="H8">
        <f>GETPIVOTDATA("CSU Pool Number     (CMC enters)",$A$4,"Zone","NW","Spp","Pipiens")</f>
        <v>11</v>
      </c>
      <c r="I8">
        <f>GETPIVOTDATA("CSU Pool Number     (CMC enters)",$A$4,"Zone","NW","Spp","Tarsalis")</f>
        <v>5</v>
      </c>
      <c r="J8">
        <f>GETPIVOTDATA("CSU Pool Number     (CMC enters)",$A$4,"Zone","NW")</f>
        <v>16</v>
      </c>
    </row>
    <row r="9" spans="1:10">
      <c r="A9" s="1" t="s">
        <v>91</v>
      </c>
      <c r="B9">
        <v>7</v>
      </c>
      <c r="C9">
        <v>6</v>
      </c>
      <c r="D9">
        <v>13</v>
      </c>
      <c r="G9" s="1" t="s">
        <v>35</v>
      </c>
      <c r="H9">
        <f>GETPIVOTDATA("CSU Pool Number     (CMC enters)",$A$4,"Zone","SE","Spp","Pipiens")</f>
        <v>22</v>
      </c>
      <c r="I9">
        <f>GETPIVOTDATA("CSU Pool Number     (CMC enters)",$A$4,"Zone","SE","Spp","Tarsalis")</f>
        <v>11</v>
      </c>
      <c r="J9">
        <f>GETPIVOTDATA("CSU Pool Number     (CMC enters)",$A$4,"Zone","SE")</f>
        <v>33</v>
      </c>
    </row>
    <row r="10" spans="1:10">
      <c r="A10" s="1" t="s">
        <v>216</v>
      </c>
      <c r="B10">
        <v>2</v>
      </c>
      <c r="C10">
        <v>3</v>
      </c>
      <c r="D10">
        <v>5</v>
      </c>
      <c r="G10" s="1" t="s">
        <v>91</v>
      </c>
      <c r="H10">
        <f>GETPIVOTDATA("CSU Pool Number     (CMC enters)",$A$4,"Zone","SW","Spp","Pipiens")</f>
        <v>7</v>
      </c>
      <c r="I10">
        <f>GETPIVOTDATA("CSU Pool Number     (CMC enters)",$A$4,"Zone","SW","Spp","Tarsalis")</f>
        <v>6</v>
      </c>
      <c r="J10">
        <f>GETPIVOTDATA("CSU Pool Number     (CMC enters)",$A$4,"Zone","SW")</f>
        <v>13</v>
      </c>
    </row>
    <row r="11" spans="1:10">
      <c r="A11" s="1" t="s">
        <v>342</v>
      </c>
      <c r="B11">
        <v>75</v>
      </c>
      <c r="C11">
        <v>37</v>
      </c>
      <c r="D11">
        <v>112</v>
      </c>
      <c r="G11" s="1" t="s">
        <v>343</v>
      </c>
      <c r="H11" t="e">
        <f>GETPIVOTDATA("CSU Pool Number     (CMC enters)",$A$4,"Zone","BE","Spp","Pipiens")</f>
        <v>#REF!</v>
      </c>
      <c r="I11" t="e">
        <f>GETPIVOTDATA("CSU Pool Number     (CMC enters)",$A$4,"Zone","BE","Spp","Tarsalis")</f>
        <v>#REF!</v>
      </c>
      <c r="J11" t="e">
        <f>GETPIVOTDATA("CSU Pool Number     (CMC enters)",$A$4,"Zone","BE")</f>
        <v>#REF!</v>
      </c>
    </row>
    <row r="12" spans="1:10">
      <c r="G12" s="1" t="s">
        <v>216</v>
      </c>
      <c r="H12">
        <v>0</v>
      </c>
      <c r="I12">
        <f>GETPIVOTDATA("CSU Pool Number     (CMC enters)",$A$4,"Zone","BC","Spp","Tarsalis")</f>
        <v>3</v>
      </c>
      <c r="J12">
        <f>GETPIVOTDATA("CSU Pool Number     (CMC enters)",$A$4,"Zone","BC")</f>
        <v>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1" sqref="B11"/>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93" t="s">
        <v>344</v>
      </c>
      <c r="B1" s="93"/>
      <c r="C1" s="93"/>
      <c r="F1" s="32" t="s">
        <v>345</v>
      </c>
    </row>
    <row r="3" spans="1:9">
      <c r="A3" s="2" t="s">
        <v>14</v>
      </c>
      <c r="B3" t="s">
        <v>336</v>
      </c>
    </row>
    <row r="5" spans="1:9">
      <c r="A5" s="2" t="s">
        <v>351</v>
      </c>
      <c r="B5" s="2" t="s">
        <v>347</v>
      </c>
      <c r="F5" s="23" t="s">
        <v>352</v>
      </c>
      <c r="G5" s="23" t="s">
        <v>347</v>
      </c>
      <c r="H5" s="23"/>
      <c r="I5" s="23"/>
    </row>
    <row r="6" spans="1:9">
      <c r="A6" s="2" t="s">
        <v>337</v>
      </c>
      <c r="B6" t="s">
        <v>44</v>
      </c>
      <c r="C6" t="s">
        <v>38</v>
      </c>
      <c r="D6" t="s">
        <v>342</v>
      </c>
      <c r="F6" s="24" t="s">
        <v>337</v>
      </c>
      <c r="G6" s="24" t="s">
        <v>348</v>
      </c>
      <c r="H6" s="24" t="s">
        <v>349</v>
      </c>
      <c r="I6" s="24" t="s">
        <v>342</v>
      </c>
    </row>
    <row r="7" spans="1:9">
      <c r="A7" s="1" t="s">
        <v>123</v>
      </c>
      <c r="B7">
        <v>4</v>
      </c>
      <c r="C7">
        <v>0</v>
      </c>
      <c r="D7">
        <v>4</v>
      </c>
      <c r="F7" s="1" t="s">
        <v>138</v>
      </c>
      <c r="G7">
        <f>GETPIVOTDATA("Test code (CSU enters)",$A$5,"Zone","NW","Spp","Pipiens")</f>
        <v>0</v>
      </c>
      <c r="H7">
        <f>GETPIVOTDATA("Test code (CSU enters)",$A$5,"Zone","NW","Spp","Tarsalis")</f>
        <v>0</v>
      </c>
      <c r="I7">
        <f>GETPIVOTDATA("Test code (CSU enters)",$A$5,"Zone","NW")</f>
        <v>0</v>
      </c>
    </row>
    <row r="8" spans="1:9">
      <c r="A8" s="1" t="s">
        <v>138</v>
      </c>
      <c r="B8">
        <v>0</v>
      </c>
      <c r="C8">
        <v>0</v>
      </c>
      <c r="D8">
        <v>0</v>
      </c>
      <c r="F8" s="1" t="s">
        <v>123</v>
      </c>
      <c r="G8">
        <f>GETPIVOTDATA("Test code (CSU enters)",$A$5,"Zone","NE","Spp","Pipiens")</f>
        <v>4</v>
      </c>
      <c r="H8">
        <f>GETPIVOTDATA("Test code (CSU enters)",$A$5,"Zone","NE","Spp","Tarsalis")</f>
        <v>0</v>
      </c>
      <c r="I8">
        <f>GETPIVOTDATA("Test code (CSU enters)",$A$5,"Zone","NE")</f>
        <v>4</v>
      </c>
    </row>
    <row r="9" spans="1:9">
      <c r="A9" s="1" t="s">
        <v>35</v>
      </c>
      <c r="B9">
        <v>1</v>
      </c>
      <c r="C9">
        <v>0</v>
      </c>
      <c r="D9">
        <v>1</v>
      </c>
      <c r="F9" s="1" t="s">
        <v>35</v>
      </c>
      <c r="G9">
        <f>GETPIVOTDATA("Test code (CSU enters)",$A$5,"Zone","SE","Spp","Pipiens")</f>
        <v>1</v>
      </c>
      <c r="H9">
        <f>GETPIVOTDATA("Test code (CSU enters)",$A$5,"Zone","SE","Spp","Tarsalis")</f>
        <v>0</v>
      </c>
      <c r="I9">
        <f>GETPIVOTDATA("Test code (CSU enters)",$A$5,"Zone","SE")</f>
        <v>1</v>
      </c>
    </row>
    <row r="10" spans="1:9">
      <c r="A10" s="1" t="s">
        <v>91</v>
      </c>
      <c r="B10">
        <v>0</v>
      </c>
      <c r="C10">
        <v>0</v>
      </c>
      <c r="D10">
        <v>0</v>
      </c>
      <c r="F10" s="1" t="s">
        <v>91</v>
      </c>
      <c r="G10">
        <f>GETPIVOTDATA("Test code (CSU enters)",$A$5,"Zone","SW","Spp","Pipiens")</f>
        <v>0</v>
      </c>
      <c r="H10">
        <f>GETPIVOTDATA("Test code (CSU enters)",$A$5,"Zone","SW","Spp","Tarsalis")</f>
        <v>0</v>
      </c>
      <c r="I10">
        <f>GETPIVOTDATA("Test code (CSU enters)",$A$5,"Zone","SW")</f>
        <v>0</v>
      </c>
    </row>
    <row r="11" spans="1:9">
      <c r="A11" s="1" t="s">
        <v>216</v>
      </c>
      <c r="B11">
        <v>0</v>
      </c>
      <c r="C11">
        <v>0</v>
      </c>
      <c r="D11">
        <v>0</v>
      </c>
      <c r="F11" s="1" t="s">
        <v>341</v>
      </c>
      <c r="G11" t="e">
        <f>GETPIVOTDATA("Test code (CSU enters)",$A$5,"Zone","LV","Spp","Pipiens")</f>
        <v>#REF!</v>
      </c>
      <c r="H11" t="e">
        <f>GETPIVOTDATA("Test code (CSU enters)",$A$5,"Zone","LV","Spp","Tarsalis")</f>
        <v>#REF!</v>
      </c>
      <c r="I11" t="e">
        <f>GETPIVOTDATA("Test code (CSU enters)",$A$5,"Zone","LV")</f>
        <v>#REF!</v>
      </c>
    </row>
    <row r="12" spans="1:9">
      <c r="A12" s="1" t="s">
        <v>342</v>
      </c>
      <c r="B12">
        <v>5</v>
      </c>
      <c r="C12">
        <v>0</v>
      </c>
      <c r="D12">
        <v>5</v>
      </c>
      <c r="F12" s="1" t="s">
        <v>343</v>
      </c>
      <c r="G12" t="e">
        <f>GETPIVOTDATA("Test code (CSU enters)",$A$5,"Zone","BE","Spp","Pipiens")</f>
        <v>#REF!</v>
      </c>
      <c r="H12" t="e">
        <f>GETPIVOTDATA("Test code (CSU enters)",$A$5,"Zone","BE","Spp","Tarsalis")</f>
        <v>#REF!</v>
      </c>
      <c r="I12" t="e">
        <f>GETPIVOTDATA("Test code (CSU enters)",$A$5,"Zone","BE")</f>
        <v>#REF!</v>
      </c>
    </row>
    <row r="13" spans="1:9">
      <c r="F13" s="1" t="s">
        <v>216</v>
      </c>
      <c r="G13">
        <f>GETPIVOTDATA("Test code (CSU enters)",$A$5,"Zone","BC","Spp","Pipiens")</f>
        <v>0</v>
      </c>
      <c r="H13">
        <f>GETPIVOTDATA("Test code (CSU enters)",$A$5,"Zone","BC","Spp","Tarsalis")</f>
        <v>0</v>
      </c>
      <c r="I13">
        <f>GETPIVOTDATA("Test code (CSU enters)",$A$5,"Zone","BC")</f>
        <v>0</v>
      </c>
    </row>
    <row r="14" spans="1:9">
      <c r="F14" s="73" t="s">
        <v>342</v>
      </c>
      <c r="G14" s="74">
        <f>GETPIVOTDATA("Test code (CSU enters)",$A$5,"Spp","Pipiens")</f>
        <v>5</v>
      </c>
      <c r="H14" s="74">
        <f>GETPIVOTDATA("Test code (CSU enters)",$A$5,"Spp","Tarsalis")</f>
        <v>0</v>
      </c>
      <c r="I14" s="74">
        <f>GETPIVOTDATA("Test code (CSU enters)",$A$5)</f>
        <v>5</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I4" sqref="I4"/>
    </sheetView>
  </sheetViews>
  <sheetFormatPr defaultColWidth="8.85546875" defaultRowHeight="15"/>
  <cols>
    <col min="1" max="1" width="15.85546875" customWidth="1"/>
    <col min="2" max="2" width="12.140625" customWidth="1"/>
    <col min="3" max="3" width="14.42578125" customWidth="1"/>
  </cols>
  <sheetData>
    <row r="1" spans="1:11">
      <c r="A1" s="33" t="s">
        <v>353</v>
      </c>
      <c r="B1" s="33" t="s">
        <v>354</v>
      </c>
      <c r="C1" s="33" t="s">
        <v>236</v>
      </c>
      <c r="J1" s="48" t="s">
        <v>29</v>
      </c>
      <c r="K1" s="53" t="s">
        <v>227</v>
      </c>
    </row>
    <row r="2" spans="1:11">
      <c r="A2" t="s">
        <v>33</v>
      </c>
      <c r="B2" t="s">
        <v>355</v>
      </c>
      <c r="C2" s="30">
        <v>2.8597446699003846</v>
      </c>
      <c r="H2" s="30"/>
      <c r="J2" t="s">
        <v>222</v>
      </c>
      <c r="K2" s="30">
        <v>0</v>
      </c>
    </row>
    <row r="3" spans="1:11">
      <c r="A3" t="s">
        <v>33</v>
      </c>
      <c r="B3" t="s">
        <v>356</v>
      </c>
      <c r="C3" s="30">
        <v>0</v>
      </c>
      <c r="I3" s="30"/>
      <c r="J3" t="s">
        <v>218</v>
      </c>
      <c r="K3" s="30">
        <v>0</v>
      </c>
    </row>
    <row r="4" spans="1:11">
      <c r="A4" t="s">
        <v>341</v>
      </c>
      <c r="B4" t="s">
        <v>355</v>
      </c>
      <c r="C4" s="30">
        <v>0</v>
      </c>
      <c r="I4" s="30"/>
      <c r="J4" t="s">
        <v>45</v>
      </c>
      <c r="K4" s="30">
        <v>2.8597446699003846</v>
      </c>
    </row>
    <row r="5" spans="1:11">
      <c r="A5" t="s">
        <v>341</v>
      </c>
      <c r="B5" t="s">
        <v>356</v>
      </c>
      <c r="C5" s="30">
        <v>0</v>
      </c>
      <c r="H5" s="30"/>
      <c r="J5" t="s">
        <v>41</v>
      </c>
      <c r="K5" s="30">
        <v>0</v>
      </c>
    </row>
    <row r="6" spans="1:11">
      <c r="A6" t="s">
        <v>343</v>
      </c>
      <c r="B6" t="s">
        <v>355</v>
      </c>
      <c r="C6" s="30">
        <v>0</v>
      </c>
      <c r="H6" s="30"/>
      <c r="K6" s="30"/>
    </row>
    <row r="7" spans="1:11">
      <c r="A7" t="s">
        <v>343</v>
      </c>
      <c r="B7" t="s">
        <v>356</v>
      </c>
      <c r="C7" s="66">
        <v>0</v>
      </c>
      <c r="H7" s="30"/>
      <c r="K7" s="30"/>
    </row>
    <row r="8" spans="1:11">
      <c r="A8" t="s">
        <v>216</v>
      </c>
      <c r="B8" t="s">
        <v>355</v>
      </c>
      <c r="C8" s="66">
        <v>0</v>
      </c>
      <c r="H8" s="30"/>
      <c r="K8" s="30"/>
    </row>
    <row r="9" spans="1:11">
      <c r="A9" t="s">
        <v>216</v>
      </c>
      <c r="B9" t="s">
        <v>356</v>
      </c>
      <c r="C9" s="30">
        <v>0</v>
      </c>
      <c r="H9" s="30"/>
      <c r="K9" s="30"/>
    </row>
    <row r="10" spans="1:11">
      <c r="H10" s="30"/>
      <c r="K10" s="30"/>
    </row>
    <row r="11" spans="1:11">
      <c r="H11" s="30"/>
      <c r="K11" s="30"/>
    </row>
    <row r="12" spans="1:11">
      <c r="H12" s="30"/>
      <c r="K12" s="30"/>
    </row>
    <row r="13" spans="1:11">
      <c r="H13" s="30"/>
      <c r="I13" s="30"/>
      <c r="K13" s="30"/>
    </row>
    <row r="14" spans="1:11">
      <c r="H14" s="30"/>
      <c r="I14" s="48"/>
      <c r="J14" s="53"/>
    </row>
    <row r="15" spans="1:11">
      <c r="H15" s="30"/>
      <c r="J15" s="30"/>
      <c r="K15" s="30"/>
    </row>
    <row r="16" spans="1:11">
      <c r="F16" s="30"/>
      <c r="G16" s="30"/>
      <c r="J16" s="30"/>
      <c r="K16" s="53"/>
    </row>
    <row r="17" spans="6:11">
      <c r="F17" s="30"/>
      <c r="G17" s="30"/>
      <c r="H17" s="53"/>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H8" sqref="H8"/>
    </sheetView>
  </sheetViews>
  <sheetFormatPr defaultColWidth="8.85546875" defaultRowHeight="15"/>
  <cols>
    <col min="2" max="2" width="15.7109375" customWidth="1"/>
    <col min="3" max="3" width="13.140625" customWidth="1"/>
  </cols>
  <sheetData>
    <row r="1" spans="1:12">
      <c r="A1" s="33" t="s">
        <v>357</v>
      </c>
      <c r="B1" s="33" t="s">
        <v>354</v>
      </c>
      <c r="C1" s="33" t="s">
        <v>236</v>
      </c>
      <c r="I1" s="48" t="s">
        <v>30</v>
      </c>
      <c r="J1" s="53" t="s">
        <v>227</v>
      </c>
    </row>
    <row r="2" spans="1:12">
      <c r="A2" t="s">
        <v>138</v>
      </c>
      <c r="B2" t="s">
        <v>355</v>
      </c>
      <c r="C2" s="30">
        <v>0</v>
      </c>
      <c r="G2" s="30"/>
      <c r="I2" t="s">
        <v>126</v>
      </c>
      <c r="J2" s="30">
        <v>3.231964182692769</v>
      </c>
    </row>
    <row r="3" spans="1:12">
      <c r="A3" t="s">
        <v>138</v>
      </c>
      <c r="B3" t="s">
        <v>356</v>
      </c>
      <c r="C3" s="30">
        <v>0</v>
      </c>
      <c r="G3" s="30"/>
      <c r="I3" t="s">
        <v>124</v>
      </c>
      <c r="J3" s="30">
        <v>0</v>
      </c>
    </row>
    <row r="4" spans="1:12">
      <c r="A4" t="s">
        <v>123</v>
      </c>
      <c r="B4" t="s">
        <v>355</v>
      </c>
      <c r="C4" s="30">
        <v>3.231964182692769</v>
      </c>
      <c r="G4" s="30"/>
      <c r="I4" t="s">
        <v>139</v>
      </c>
      <c r="J4" s="30">
        <v>0</v>
      </c>
    </row>
    <row r="5" spans="1:12">
      <c r="A5" t="s">
        <v>123</v>
      </c>
      <c r="B5" t="s">
        <v>356</v>
      </c>
      <c r="C5" s="30">
        <v>0</v>
      </c>
      <c r="G5" s="30"/>
      <c r="I5" t="s">
        <v>191</v>
      </c>
      <c r="J5" s="30">
        <v>0</v>
      </c>
    </row>
    <row r="6" spans="1:12">
      <c r="A6" t="s">
        <v>35</v>
      </c>
      <c r="B6" t="s">
        <v>355</v>
      </c>
      <c r="C6" s="30">
        <v>2.2512912743443971</v>
      </c>
      <c r="G6" s="30"/>
      <c r="I6" t="s">
        <v>46</v>
      </c>
      <c r="J6" s="30">
        <v>2.2512912743443971</v>
      </c>
    </row>
    <row r="7" spans="1:12">
      <c r="A7" t="s">
        <v>35</v>
      </c>
      <c r="B7" t="s">
        <v>356</v>
      </c>
      <c r="C7" s="30">
        <v>0</v>
      </c>
      <c r="G7" s="30"/>
      <c r="I7" t="s">
        <v>42</v>
      </c>
      <c r="J7" s="30">
        <v>0</v>
      </c>
    </row>
    <row r="8" spans="1:12">
      <c r="A8" t="s">
        <v>91</v>
      </c>
      <c r="B8" t="s">
        <v>355</v>
      </c>
      <c r="C8" s="30">
        <v>0</v>
      </c>
      <c r="G8" s="30"/>
      <c r="I8" t="s">
        <v>98</v>
      </c>
      <c r="J8" s="30">
        <v>0</v>
      </c>
    </row>
    <row r="9" spans="1:12">
      <c r="A9" t="s">
        <v>91</v>
      </c>
      <c r="B9" t="s">
        <v>356</v>
      </c>
      <c r="C9" s="30">
        <v>0</v>
      </c>
      <c r="G9" s="30"/>
      <c r="I9" t="s">
        <v>92</v>
      </c>
      <c r="J9" s="30">
        <v>0</v>
      </c>
      <c r="L9" s="30"/>
    </row>
    <row r="10" spans="1:12">
      <c r="I10" s="30"/>
      <c r="J10" s="30"/>
      <c r="L10" s="30"/>
    </row>
    <row r="11" spans="1:12">
      <c r="I11" s="30"/>
      <c r="J11" s="30"/>
      <c r="L11" s="30"/>
    </row>
    <row r="12" spans="1:12">
      <c r="B12" s="30"/>
      <c r="I12" s="30"/>
      <c r="J12" s="30"/>
      <c r="L12" s="30"/>
    </row>
    <row r="13" spans="1:12">
      <c r="B13" s="30"/>
      <c r="I13" s="30"/>
      <c r="J13" s="30"/>
      <c r="K13" s="53"/>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79" zoomScale="70" zoomScaleNormal="70" workbookViewId="0">
      <selection activeCell="A88" sqref="A88"/>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358</v>
      </c>
      <c r="B1" s="3"/>
      <c r="C1" s="106" t="s">
        <v>359</v>
      </c>
      <c r="D1" s="108"/>
      <c r="E1" s="106" t="s">
        <v>360</v>
      </c>
      <c r="F1" s="108"/>
      <c r="G1" s="123"/>
      <c r="H1" s="124"/>
      <c r="I1" s="125"/>
    </row>
    <row r="2" spans="1:15" ht="27" customHeight="1">
      <c r="B2" s="4"/>
      <c r="C2" s="109"/>
      <c r="D2" s="111"/>
      <c r="E2" s="109" t="s">
        <v>361</v>
      </c>
      <c r="F2" s="111"/>
      <c r="G2" s="126" t="s">
        <v>362</v>
      </c>
      <c r="H2" s="127"/>
      <c r="I2" s="128"/>
    </row>
    <row r="3" spans="1:15" ht="15.75" thickBot="1">
      <c r="B3" s="4"/>
      <c r="C3" s="112"/>
      <c r="D3" s="114"/>
      <c r="E3" s="103"/>
      <c r="F3" s="105"/>
      <c r="G3" s="103"/>
      <c r="H3" s="104"/>
      <c r="I3" s="105"/>
    </row>
    <row r="4" spans="1:15" ht="15.75" customHeight="1">
      <c r="B4" s="4" t="s">
        <v>363</v>
      </c>
      <c r="C4" s="115" t="s">
        <v>355</v>
      </c>
      <c r="D4" s="115" t="s">
        <v>356</v>
      </c>
      <c r="E4" s="6" t="s">
        <v>364</v>
      </c>
      <c r="F4" s="6" t="s">
        <v>364</v>
      </c>
      <c r="G4" s="121" t="s">
        <v>365</v>
      </c>
      <c r="H4" s="121" t="s">
        <v>366</v>
      </c>
      <c r="I4" s="8" t="s">
        <v>367</v>
      </c>
    </row>
    <row r="5" spans="1:15" ht="15.75" thickBot="1">
      <c r="B5" s="5"/>
      <c r="C5" s="116"/>
      <c r="D5" s="116"/>
      <c r="E5" s="7" t="s">
        <v>348</v>
      </c>
      <c r="F5" s="7" t="s">
        <v>349</v>
      </c>
      <c r="G5" s="122"/>
      <c r="H5" s="122"/>
      <c r="I5" s="9" t="s">
        <v>368</v>
      </c>
    </row>
    <row r="6" spans="1:15" ht="38.25" customHeight="1" thickBot="1">
      <c r="B6" s="10" t="s">
        <v>369</v>
      </c>
      <c r="C6" s="25">
        <f t="shared" ref="C6:D10" si="0">G40</f>
        <v>3.6666666666666665</v>
      </c>
      <c r="D6" s="25">
        <f t="shared" si="0"/>
        <v>1</v>
      </c>
      <c r="E6" s="40">
        <f t="shared" ref="E6:F10" si="1">L73/1000</f>
        <v>0</v>
      </c>
      <c r="F6" s="40">
        <f t="shared" si="1"/>
        <v>0</v>
      </c>
      <c r="G6" s="31">
        <f t="shared" ref="G6:H10" si="2">C6*E6</f>
        <v>0</v>
      </c>
      <c r="H6" s="31">
        <f t="shared" si="2"/>
        <v>0</v>
      </c>
      <c r="I6" s="31">
        <f>G6+H6</f>
        <v>0</v>
      </c>
    </row>
    <row r="7" spans="1:15" ht="26.25" thickBot="1">
      <c r="B7" s="10" t="s">
        <v>370</v>
      </c>
      <c r="C7" s="25">
        <f t="shared" si="0"/>
        <v>115.7</v>
      </c>
      <c r="D7" s="25">
        <f t="shared" si="0"/>
        <v>4.9000000000000004</v>
      </c>
      <c r="E7" s="40">
        <f t="shared" si="1"/>
        <v>3.2319641826927688E-3</v>
      </c>
      <c r="F7" s="40">
        <f t="shared" si="1"/>
        <v>0</v>
      </c>
      <c r="G7" s="31">
        <f t="shared" si="2"/>
        <v>0.37393825593755337</v>
      </c>
      <c r="H7" s="31">
        <f t="shared" si="2"/>
        <v>0</v>
      </c>
      <c r="I7" s="31">
        <f>G7+H7</f>
        <v>0.37393825593755337</v>
      </c>
    </row>
    <row r="8" spans="1:15" ht="26.25" thickBot="1">
      <c r="B8" s="10" t="s">
        <v>371</v>
      </c>
      <c r="C8" s="25">
        <f t="shared" si="0"/>
        <v>26.333333333333332</v>
      </c>
      <c r="D8" s="25">
        <f t="shared" si="0"/>
        <v>2.6</v>
      </c>
      <c r="E8" s="40">
        <f t="shared" si="1"/>
        <v>2.2512912743443973E-3</v>
      </c>
      <c r="F8" s="40">
        <f t="shared" si="1"/>
        <v>0</v>
      </c>
      <c r="G8" s="31">
        <f t="shared" si="2"/>
        <v>5.9284003557735797E-2</v>
      </c>
      <c r="H8" s="31">
        <f t="shared" si="2"/>
        <v>0</v>
      </c>
      <c r="I8" s="31">
        <f>G8+H8</f>
        <v>5.9284003557735797E-2</v>
      </c>
    </row>
    <row r="9" spans="1:15" ht="26.25" thickBot="1">
      <c r="B9" s="10" t="s">
        <v>372</v>
      </c>
      <c r="C9" s="25">
        <f t="shared" si="0"/>
        <v>2.5555555555555554</v>
      </c>
      <c r="D9" s="25">
        <f>H43</f>
        <v>4.7777777777777777</v>
      </c>
      <c r="E9" s="40">
        <f t="shared" si="1"/>
        <v>0</v>
      </c>
      <c r="F9" s="40">
        <f t="shared" si="1"/>
        <v>0</v>
      </c>
      <c r="G9" s="31">
        <f t="shared" si="2"/>
        <v>0</v>
      </c>
      <c r="H9" s="31">
        <f t="shared" si="2"/>
        <v>0</v>
      </c>
      <c r="I9" s="31">
        <f>G9+H9</f>
        <v>0</v>
      </c>
    </row>
    <row r="10" spans="1:15" ht="26.25" thickBot="1">
      <c r="B10" s="10" t="s">
        <v>373</v>
      </c>
      <c r="C10" s="25">
        <f t="shared" si="0"/>
        <v>37.395348837209305</v>
      </c>
      <c r="D10" s="25">
        <f t="shared" si="0"/>
        <v>3.2558139534883721</v>
      </c>
      <c r="E10" s="40">
        <f t="shared" si="1"/>
        <v>2.8597446699003847E-3</v>
      </c>
      <c r="F10" s="40">
        <f t="shared" si="1"/>
        <v>0</v>
      </c>
      <c r="G10" s="31">
        <f t="shared" si="2"/>
        <v>0.10694114951627486</v>
      </c>
      <c r="H10" s="31">
        <f t="shared" si="2"/>
        <v>0</v>
      </c>
      <c r="I10" s="31">
        <f>G10+H10</f>
        <v>0.10694114951627486</v>
      </c>
      <c r="N10" s="30"/>
    </row>
    <row r="11" spans="1:15" ht="15.75" thickBot="1">
      <c r="B11" s="10"/>
      <c r="C11" s="11"/>
      <c r="D11" s="11"/>
      <c r="E11" s="40"/>
      <c r="F11" s="40"/>
      <c r="G11" s="31"/>
      <c r="H11" s="31"/>
      <c r="I11" s="31"/>
    </row>
    <row r="12" spans="1:15" ht="15.75" thickBot="1">
      <c r="B12" s="10" t="s">
        <v>341</v>
      </c>
      <c r="C12" s="28" t="e">
        <f t="shared" ref="C12:D14" si="3">G46</f>
        <v>#REF!</v>
      </c>
      <c r="D12" s="28" t="e">
        <f t="shared" si="3"/>
        <v>#REF!</v>
      </c>
      <c r="E12" s="40" t="e">
        <f t="shared" ref="E12:F14" si="4">L79/1000</f>
        <v>#VALUE!</v>
      </c>
      <c r="F12" s="40" t="e">
        <f t="shared" si="4"/>
        <v>#VALUE!</v>
      </c>
      <c r="G12" s="31" t="e">
        <f t="shared" ref="G12:H14" si="5">C12*E12</f>
        <v>#REF!</v>
      </c>
      <c r="H12" s="31" t="e">
        <f t="shared" si="5"/>
        <v>#REF!</v>
      </c>
      <c r="I12" s="31" t="e">
        <f>G12+H12</f>
        <v>#REF!</v>
      </c>
    </row>
    <row r="13" spans="1:15" ht="15.75" thickBot="1">
      <c r="B13" s="10" t="s">
        <v>343</v>
      </c>
      <c r="C13" s="28" t="e">
        <f t="shared" si="3"/>
        <v>#REF!</v>
      </c>
      <c r="D13" s="28" t="e">
        <f t="shared" si="3"/>
        <v>#REF!</v>
      </c>
      <c r="E13" s="40" t="e">
        <f t="shared" si="4"/>
        <v>#VALUE!</v>
      </c>
      <c r="F13" s="40" t="e">
        <f t="shared" si="4"/>
        <v>#VALUE!</v>
      </c>
      <c r="G13" s="31" t="e">
        <f t="shared" si="5"/>
        <v>#REF!</v>
      </c>
      <c r="H13" s="31" t="e">
        <f t="shared" si="5"/>
        <v>#REF!</v>
      </c>
      <c r="I13" s="31" t="e">
        <f>G13+H13</f>
        <v>#REF!</v>
      </c>
    </row>
    <row r="14" spans="1:15" ht="15.75" thickBot="1">
      <c r="B14" s="10" t="s">
        <v>216</v>
      </c>
      <c r="C14" s="28">
        <f t="shared" si="3"/>
        <v>0.94736842105263153</v>
      </c>
      <c r="D14" s="28">
        <f t="shared" si="3"/>
        <v>1.631578947368421</v>
      </c>
      <c r="E14" s="40">
        <f t="shared" si="4"/>
        <v>0</v>
      </c>
      <c r="F14" s="40">
        <f t="shared" si="4"/>
        <v>0</v>
      </c>
      <c r="G14" s="31">
        <f t="shared" si="5"/>
        <v>0</v>
      </c>
      <c r="H14" s="31">
        <f t="shared" si="5"/>
        <v>0</v>
      </c>
      <c r="I14" s="31">
        <f>G14+H14</f>
        <v>0</v>
      </c>
    </row>
    <row r="15" spans="1:15" ht="15.75" thickBot="1"/>
    <row r="16" spans="1:15" ht="15" customHeight="1">
      <c r="A16" t="s">
        <v>374</v>
      </c>
      <c r="B16" s="15"/>
      <c r="C16" s="94" t="s">
        <v>369</v>
      </c>
      <c r="D16" s="96"/>
      <c r="E16" s="94" t="s">
        <v>370</v>
      </c>
      <c r="F16" s="96"/>
      <c r="G16" s="94" t="s">
        <v>371</v>
      </c>
      <c r="H16" s="96"/>
      <c r="I16" s="94" t="s">
        <v>372</v>
      </c>
      <c r="J16" s="96"/>
      <c r="K16" s="94" t="s">
        <v>373</v>
      </c>
      <c r="L16" s="96"/>
      <c r="M16" s="18"/>
      <c r="N16" s="18"/>
      <c r="O16" s="18"/>
    </row>
    <row r="17" spans="2:15" ht="15.75" thickBot="1">
      <c r="B17" s="16"/>
      <c r="C17" s="100"/>
      <c r="D17" s="102"/>
      <c r="E17" s="100"/>
      <c r="F17" s="102"/>
      <c r="G17" s="100"/>
      <c r="H17" s="102"/>
      <c r="I17" s="100"/>
      <c r="J17" s="102"/>
      <c r="K17" s="100"/>
      <c r="L17" s="102"/>
      <c r="M17" s="19"/>
      <c r="N17" s="19"/>
      <c r="O17" s="19"/>
    </row>
    <row r="18" spans="2:15" ht="26.25" thickBot="1">
      <c r="B18" s="17" t="s">
        <v>375</v>
      </c>
      <c r="C18" s="20" t="s">
        <v>376</v>
      </c>
      <c r="D18" s="20" t="s">
        <v>377</v>
      </c>
      <c r="E18" s="20" t="s">
        <v>376</v>
      </c>
      <c r="F18" s="20" t="s">
        <v>377</v>
      </c>
      <c r="G18" s="20" t="s">
        <v>376</v>
      </c>
      <c r="H18" s="20" t="s">
        <v>377</v>
      </c>
      <c r="I18" s="20" t="s">
        <v>376</v>
      </c>
      <c r="J18" s="20" t="s">
        <v>377</v>
      </c>
      <c r="K18" s="20" t="s">
        <v>376</v>
      </c>
      <c r="L18" s="20" t="s">
        <v>377</v>
      </c>
      <c r="M18" s="20" t="s">
        <v>341</v>
      </c>
      <c r="N18" s="20" t="s">
        <v>343</v>
      </c>
      <c r="O18" s="20" t="s">
        <v>216</v>
      </c>
    </row>
    <row r="19" spans="2:15" ht="15.75" thickBot="1">
      <c r="B19" s="17">
        <v>23</v>
      </c>
      <c r="C19" s="45">
        <v>0</v>
      </c>
      <c r="D19" s="45">
        <v>1.2345666666666666E-2</v>
      </c>
      <c r="E19" s="45">
        <v>0</v>
      </c>
      <c r="F19" s="45">
        <v>2.2222222222222223E-2</v>
      </c>
      <c r="G19" s="45">
        <v>0</v>
      </c>
      <c r="H19" s="45">
        <v>1.5397222222222222E-2</v>
      </c>
      <c r="I19" s="45">
        <v>0</v>
      </c>
      <c r="J19" s="45">
        <v>1.5873000000000002E-2</v>
      </c>
      <c r="K19" s="45">
        <v>0</v>
      </c>
      <c r="L19" s="45">
        <v>1.5442208306585107E-2</v>
      </c>
      <c r="M19" s="45">
        <v>0</v>
      </c>
      <c r="N19" s="45">
        <v>0</v>
      </c>
      <c r="O19" s="45" t="s">
        <v>215</v>
      </c>
    </row>
    <row r="20" spans="2:15" ht="15.75" thickBot="1">
      <c r="B20" s="41">
        <v>24</v>
      </c>
      <c r="C20" s="45">
        <v>0</v>
      </c>
      <c r="D20" s="42">
        <v>0</v>
      </c>
      <c r="E20" s="45">
        <v>0</v>
      </c>
      <c r="F20" s="42">
        <v>0</v>
      </c>
      <c r="G20" s="45">
        <v>0</v>
      </c>
      <c r="H20" s="42">
        <v>4.2481333333333334E-3</v>
      </c>
      <c r="I20" s="45">
        <v>0</v>
      </c>
      <c r="J20" s="42">
        <v>0</v>
      </c>
      <c r="K20" s="45">
        <v>0</v>
      </c>
      <c r="L20" s="42">
        <v>1.5405815698847807E-3</v>
      </c>
      <c r="M20" s="45">
        <v>0</v>
      </c>
      <c r="N20" s="45">
        <v>0</v>
      </c>
      <c r="O20" s="45">
        <v>0</v>
      </c>
    </row>
    <row r="21" spans="2:15" ht="15.75" thickBot="1">
      <c r="B21" s="41">
        <v>25</v>
      </c>
      <c r="C21" s="45">
        <v>0</v>
      </c>
      <c r="D21" s="42">
        <v>0</v>
      </c>
      <c r="E21" s="45">
        <v>0</v>
      </c>
      <c r="F21" s="42">
        <v>1.17339375E-2</v>
      </c>
      <c r="G21" s="45">
        <v>0</v>
      </c>
      <c r="H21" s="42">
        <v>0</v>
      </c>
      <c r="I21" s="45">
        <v>0</v>
      </c>
      <c r="J21" s="42">
        <v>0</v>
      </c>
      <c r="K21" s="45">
        <v>0</v>
      </c>
      <c r="L21" s="42">
        <v>2.3550581551273412E-3</v>
      </c>
      <c r="M21" s="45">
        <v>0</v>
      </c>
      <c r="N21" s="45">
        <v>0</v>
      </c>
      <c r="O21" s="45">
        <v>0</v>
      </c>
    </row>
    <row r="22" spans="2:15" ht="15.75" thickBot="1">
      <c r="B22" s="41">
        <v>26</v>
      </c>
      <c r="C22" s="45">
        <v>0</v>
      </c>
      <c r="D22" s="42">
        <v>0</v>
      </c>
      <c r="E22" s="45">
        <v>0</v>
      </c>
      <c r="F22" s="42">
        <v>6.1110000000000001E-3</v>
      </c>
      <c r="G22" s="45">
        <v>0</v>
      </c>
      <c r="H22" s="42">
        <v>1.1563562499999999E-2</v>
      </c>
      <c r="I22" s="45">
        <v>0</v>
      </c>
      <c r="J22" s="42">
        <v>7.2678125E-3</v>
      </c>
      <c r="K22" s="45">
        <v>0</v>
      </c>
      <c r="L22" s="42">
        <v>7.1675300862485518E-3</v>
      </c>
      <c r="M22" s="45">
        <v>0</v>
      </c>
      <c r="N22" s="45">
        <v>0</v>
      </c>
      <c r="O22" s="45">
        <v>0</v>
      </c>
    </row>
    <row r="23" spans="2:15" ht="15.75" thickBot="1">
      <c r="B23" s="41">
        <v>27</v>
      </c>
      <c r="C23" s="45">
        <v>0</v>
      </c>
      <c r="D23" s="42">
        <v>0</v>
      </c>
      <c r="E23" s="45">
        <v>0</v>
      </c>
      <c r="F23" s="42">
        <v>2.5404720583594997E-2</v>
      </c>
      <c r="G23" s="45">
        <v>0</v>
      </c>
      <c r="H23" s="42">
        <v>1.1513701260925688E-2</v>
      </c>
      <c r="I23" s="45">
        <v>0</v>
      </c>
      <c r="J23" s="42">
        <v>0</v>
      </c>
      <c r="K23" s="45">
        <v>0</v>
      </c>
      <c r="L23" s="42">
        <v>1.0652309957063578E-2</v>
      </c>
      <c r="M23" s="45">
        <v>0</v>
      </c>
      <c r="N23" s="45">
        <v>0</v>
      </c>
      <c r="O23" s="45">
        <v>0</v>
      </c>
    </row>
    <row r="24" spans="2:15" ht="15.75" thickBot="1">
      <c r="B24" s="41">
        <v>28</v>
      </c>
      <c r="C24" s="45">
        <v>0</v>
      </c>
      <c r="D24" s="42">
        <v>0</v>
      </c>
      <c r="E24" s="45">
        <v>0</v>
      </c>
      <c r="F24" s="42">
        <v>2.8804238053698538E-2</v>
      </c>
      <c r="G24" s="45">
        <v>0.206108679113927</v>
      </c>
      <c r="H24" s="42">
        <v>9.3248009589658384E-2</v>
      </c>
      <c r="I24" s="45">
        <v>1.7986342505790738E-2</v>
      </c>
      <c r="J24" s="42">
        <v>6.881E-3</v>
      </c>
      <c r="K24" s="45">
        <v>8.4957330148785676E-2</v>
      </c>
      <c r="L24" s="42">
        <v>3.9035511454192297E-2</v>
      </c>
      <c r="M24" s="45">
        <v>0</v>
      </c>
      <c r="N24" s="45">
        <v>0</v>
      </c>
      <c r="O24" s="45">
        <v>0.20678878369332029</v>
      </c>
    </row>
    <row r="25" spans="2:15" ht="15.75" thickBot="1">
      <c r="B25" s="41">
        <v>29</v>
      </c>
      <c r="C25" s="45">
        <v>0.10877449878464779</v>
      </c>
      <c r="D25" s="42">
        <v>7.881842660916176E-2</v>
      </c>
      <c r="E25" s="45">
        <v>0</v>
      </c>
      <c r="F25" s="42">
        <v>0.10066278260665905</v>
      </c>
      <c r="G25" s="45">
        <v>0.27646895248696957</v>
      </c>
      <c r="H25" s="42">
        <v>0.24006060240205426</v>
      </c>
      <c r="I25" s="45">
        <v>0</v>
      </c>
      <c r="J25" s="42">
        <v>2.9207396813399102E-2</v>
      </c>
      <c r="K25" s="45">
        <v>0.11838646397304055</v>
      </c>
      <c r="L25" s="42">
        <v>0.12525313578356162</v>
      </c>
      <c r="M25" s="45">
        <v>0.14824897755685532</v>
      </c>
      <c r="N25" s="45">
        <v>0</v>
      </c>
      <c r="O25" s="45">
        <v>0</v>
      </c>
    </row>
    <row r="26" spans="2:15" ht="15.75" thickBot="1">
      <c r="B26" s="41">
        <v>30</v>
      </c>
      <c r="C26" s="45">
        <v>0</v>
      </c>
      <c r="D26" s="42">
        <v>9.0015763095919035E-2</v>
      </c>
      <c r="E26" s="45">
        <v>0.19370593937191205</v>
      </c>
      <c r="F26" s="42">
        <v>0.13643311434437214</v>
      </c>
      <c r="G26" s="45">
        <v>0.11032080864877414</v>
      </c>
      <c r="H26" s="42">
        <v>0.26647608055159538</v>
      </c>
      <c r="I26" s="45">
        <v>0</v>
      </c>
      <c r="J26" s="42">
        <v>7.2534988260470445E-2</v>
      </c>
      <c r="K26" s="45">
        <v>8.6642419454515951E-2</v>
      </c>
      <c r="L26" s="42">
        <v>0.15596794283438792</v>
      </c>
      <c r="M26" s="45">
        <v>0.2073406354243654</v>
      </c>
      <c r="N26" s="45">
        <v>0.18545700079202054</v>
      </c>
      <c r="O26" s="45">
        <v>0</v>
      </c>
    </row>
    <row r="27" spans="2:15" ht="15.75" thickBot="1">
      <c r="B27" s="41">
        <v>31</v>
      </c>
      <c r="C27" s="45">
        <v>0</v>
      </c>
      <c r="D27" s="42">
        <v>0.14921113284786036</v>
      </c>
      <c r="E27" s="45">
        <v>0</v>
      </c>
      <c r="F27" s="42">
        <v>0.17536656974245057</v>
      </c>
      <c r="G27" s="45">
        <v>0.27184266666666668</v>
      </c>
      <c r="H27" s="42">
        <v>0.22987326773823807</v>
      </c>
      <c r="I27" s="45">
        <v>0.18217777777777777</v>
      </c>
      <c r="J27" s="42">
        <v>7.1310047367394824E-2</v>
      </c>
      <c r="K27" s="45">
        <v>0.1538886046511628</v>
      </c>
      <c r="L27" s="42">
        <v>0.18374451720109464</v>
      </c>
      <c r="M27" s="45">
        <v>0.43712108108108105</v>
      </c>
      <c r="N27" s="45">
        <v>0.20217000000000002</v>
      </c>
      <c r="O27" s="45">
        <v>0</v>
      </c>
    </row>
    <row r="28" spans="2:15" ht="15.75" thickBot="1">
      <c r="B28" s="41">
        <v>32</v>
      </c>
      <c r="C28" s="45">
        <v>5.8949793176429212E-2</v>
      </c>
      <c r="D28" s="42">
        <v>0.16451330254273394</v>
      </c>
      <c r="E28" s="45">
        <v>0.10161074624953492</v>
      </c>
      <c r="F28" s="42">
        <v>0.27410413081767515</v>
      </c>
      <c r="G28" s="45">
        <v>0.13719038359749128</v>
      </c>
      <c r="H28" s="42">
        <v>0.32633843649953914</v>
      </c>
      <c r="I28" s="45">
        <v>0.45596444444444451</v>
      </c>
      <c r="J28" s="42">
        <v>0.1158105765322104</v>
      </c>
      <c r="K28" s="45">
        <v>0.13922334557846119</v>
      </c>
      <c r="L28" s="42">
        <v>0.23905658093056262</v>
      </c>
      <c r="M28" s="45">
        <v>0.10440478289929671</v>
      </c>
      <c r="N28" s="45">
        <v>1.1841419943781406</v>
      </c>
      <c r="O28" s="45">
        <v>0</v>
      </c>
    </row>
    <row r="29" spans="2:15" ht="15.75" thickBot="1">
      <c r="B29" s="41">
        <v>33</v>
      </c>
      <c r="C29" s="45">
        <v>0.11311413292900026</v>
      </c>
      <c r="D29" s="42">
        <v>0.14524456762988933</v>
      </c>
      <c r="E29" s="45">
        <v>0.79475103257401369</v>
      </c>
      <c r="F29" s="42">
        <v>0.38185063195546642</v>
      </c>
      <c r="G29" s="45">
        <v>0.33115742287767536</v>
      </c>
      <c r="H29" s="42">
        <v>0.25540325425272292</v>
      </c>
      <c r="I29" s="45">
        <v>8.5247844928535224E-2</v>
      </c>
      <c r="J29" s="42">
        <v>9.7019373063043049E-2</v>
      </c>
      <c r="K29" s="45">
        <v>0.34595585982984567</v>
      </c>
      <c r="L29" s="42">
        <v>0.23077939819578688</v>
      </c>
      <c r="M29" s="45">
        <v>0.30365091231523073</v>
      </c>
      <c r="N29" s="45">
        <v>0</v>
      </c>
      <c r="O29" s="45">
        <v>0</v>
      </c>
    </row>
    <row r="30" spans="2:15" ht="15.75" thickBot="1">
      <c r="B30" s="41">
        <v>34</v>
      </c>
      <c r="C30" s="45">
        <v>0.17866426986599521</v>
      </c>
      <c r="D30" s="42">
        <v>0.12241031554963437</v>
      </c>
      <c r="E30" s="45">
        <v>0.69318252062186148</v>
      </c>
      <c r="F30" s="42">
        <v>0.16991281508418771</v>
      </c>
      <c r="G30" s="45">
        <v>0.28016909871232809</v>
      </c>
      <c r="H30" s="42">
        <v>0.27953594128263248</v>
      </c>
      <c r="I30" s="45">
        <v>0.55398978769668406</v>
      </c>
      <c r="J30" s="42">
        <v>4.229312525393962E-2</v>
      </c>
      <c r="K30" s="45">
        <v>0.46496983346493226</v>
      </c>
      <c r="L30" s="42">
        <v>0.17314716471742342</v>
      </c>
      <c r="M30" s="45">
        <v>0.22719179364437347</v>
      </c>
      <c r="N30" s="45">
        <v>0</v>
      </c>
      <c r="O30" s="45">
        <v>0</v>
      </c>
    </row>
    <row r="31" spans="2:15" ht="15.75" thickBot="1">
      <c r="B31" s="41">
        <v>35</v>
      </c>
      <c r="C31" s="45">
        <v>9.1925550852037768E-2</v>
      </c>
      <c r="D31" s="42">
        <v>5.3940379206453996E-2</v>
      </c>
      <c r="E31" s="45">
        <v>0.33736673304115078</v>
      </c>
      <c r="F31" s="42">
        <v>0.18293259518045987</v>
      </c>
      <c r="G31" s="45">
        <v>0.70214793332865977</v>
      </c>
      <c r="H31" s="42">
        <v>0.21478121179325557</v>
      </c>
      <c r="I31" s="45">
        <v>0.33783222308954219</v>
      </c>
      <c r="J31" s="42">
        <v>9.8723169099289049E-2</v>
      </c>
      <c r="K31" s="45">
        <v>0.41737025217698243</v>
      </c>
      <c r="L31" s="42">
        <v>0.15289304532280781</v>
      </c>
      <c r="M31" s="45">
        <v>0.22348946518118959</v>
      </c>
      <c r="N31" s="45">
        <v>0.13829416736200367</v>
      </c>
      <c r="O31" s="45">
        <v>0</v>
      </c>
    </row>
    <row r="32" spans="2:15" ht="15.75" thickBot="1">
      <c r="B32" s="41">
        <v>36</v>
      </c>
      <c r="C32" s="45">
        <v>5.9307890249896626E-2</v>
      </c>
      <c r="D32" s="44">
        <v>2.3229928316190602E-2</v>
      </c>
      <c r="E32" s="45">
        <v>9.3214519536395229E-2</v>
      </c>
      <c r="F32" s="44">
        <v>7.7008690268532048E-2</v>
      </c>
      <c r="G32" s="45">
        <v>0.10839451932406716</v>
      </c>
      <c r="H32" s="44">
        <v>4.0239037276695602E-2</v>
      </c>
      <c r="I32" s="45">
        <v>0</v>
      </c>
      <c r="J32" s="44">
        <v>1.7609875471946035E-2</v>
      </c>
      <c r="K32" s="45">
        <v>7.7436930337274223E-2</v>
      </c>
      <c r="L32" s="44">
        <v>4.4818526984517368E-2</v>
      </c>
      <c r="M32" s="45">
        <v>0.21908902107714961</v>
      </c>
      <c r="N32" s="43" t="s">
        <v>215</v>
      </c>
      <c r="O32" s="45">
        <v>0</v>
      </c>
    </row>
    <row r="33" spans="1:15" ht="15.75" thickBot="1">
      <c r="B33" s="41">
        <v>37</v>
      </c>
      <c r="C33" s="45">
        <v>0</v>
      </c>
      <c r="D33" s="45">
        <v>3.6696424225769651E-2</v>
      </c>
      <c r="E33" s="45">
        <v>0.37393825593755337</v>
      </c>
      <c r="F33" s="45">
        <v>4.6930926286658278E-2</v>
      </c>
      <c r="G33" s="45">
        <v>5.9284003557735797E-2</v>
      </c>
      <c r="H33" s="45">
        <v>1.9956906254998102E-2</v>
      </c>
      <c r="I33" s="45">
        <v>0</v>
      </c>
      <c r="J33" s="45">
        <v>0</v>
      </c>
      <c r="K33" s="45">
        <v>0.10694114951627486</v>
      </c>
      <c r="L33" s="45">
        <v>2.7769952071552258E-2</v>
      </c>
      <c r="M33" s="45" t="s">
        <v>215</v>
      </c>
      <c r="N33" s="43" t="s">
        <v>215</v>
      </c>
      <c r="O33" s="45">
        <v>0</v>
      </c>
    </row>
    <row r="34" spans="1:15" ht="15.75" thickBot="1"/>
    <row r="35" spans="1:15">
      <c r="A35" t="s">
        <v>378</v>
      </c>
      <c r="B35" s="3"/>
      <c r="C35" s="106" t="s">
        <v>379</v>
      </c>
      <c r="D35" s="107"/>
      <c r="E35" s="108"/>
      <c r="F35" s="14"/>
      <c r="G35" s="106" t="s">
        <v>380</v>
      </c>
      <c r="H35" s="107"/>
      <c r="I35" s="108"/>
    </row>
    <row r="36" spans="1:15" ht="38.25">
      <c r="B36" s="4"/>
      <c r="C36" s="109" t="s">
        <v>381</v>
      </c>
      <c r="D36" s="110"/>
      <c r="E36" s="111"/>
      <c r="F36" s="13" t="s">
        <v>382</v>
      </c>
      <c r="G36" s="109"/>
      <c r="H36" s="110"/>
      <c r="I36" s="111"/>
    </row>
    <row r="37" spans="1:15" ht="15.75" thickBot="1">
      <c r="B37" s="4"/>
      <c r="C37" s="103"/>
      <c r="D37" s="104"/>
      <c r="E37" s="105"/>
      <c r="F37" s="21"/>
      <c r="G37" s="112"/>
      <c r="H37" s="113"/>
      <c r="I37" s="114"/>
    </row>
    <row r="38" spans="1:15" ht="25.5">
      <c r="B38" s="4" t="s">
        <v>363</v>
      </c>
      <c r="C38" s="115" t="s">
        <v>355</v>
      </c>
      <c r="D38" s="115" t="s">
        <v>356</v>
      </c>
      <c r="E38" s="117" t="s">
        <v>383</v>
      </c>
      <c r="F38" s="21"/>
      <c r="G38" s="119" t="s">
        <v>384</v>
      </c>
      <c r="H38" s="119" t="s">
        <v>385</v>
      </c>
      <c r="I38" s="26" t="s">
        <v>367</v>
      </c>
    </row>
    <row r="39" spans="1:15" ht="15.75" thickBot="1">
      <c r="B39" s="5"/>
      <c r="C39" s="116"/>
      <c r="D39" s="116"/>
      <c r="E39" s="118"/>
      <c r="F39" s="12"/>
      <c r="G39" s="120"/>
      <c r="H39" s="120"/>
      <c r="I39" s="27" t="s">
        <v>386</v>
      </c>
    </row>
    <row r="40" spans="1:15" ht="44.25" customHeight="1" thickBot="1">
      <c r="B40" s="10" t="s">
        <v>369</v>
      </c>
      <c r="C40" s="46">
        <f>'Total Number Of Ind'!H7</f>
        <v>33</v>
      </c>
      <c r="D40" s="46">
        <f>'Total Number Of Ind'!I7</f>
        <v>9</v>
      </c>
      <c r="E40" s="46">
        <f>C40+D40</f>
        <v>42</v>
      </c>
      <c r="F40" s="46">
        <v>9</v>
      </c>
      <c r="G40" s="25">
        <f>C40/F40</f>
        <v>3.6666666666666665</v>
      </c>
      <c r="H40" s="25">
        <f>D40/F40</f>
        <v>1</v>
      </c>
      <c r="I40" s="25">
        <f>E40/F40</f>
        <v>4.666666666666667</v>
      </c>
    </row>
    <row r="41" spans="1:15" ht="26.25" thickBot="1">
      <c r="B41" s="10" t="s">
        <v>370</v>
      </c>
      <c r="C41" s="46">
        <f>'Total Number Of Ind'!H6</f>
        <v>1157</v>
      </c>
      <c r="D41" s="46">
        <f>'Total Number Of Ind'!I6</f>
        <v>49</v>
      </c>
      <c r="E41" s="46">
        <f>C41+D41</f>
        <v>1206</v>
      </c>
      <c r="F41" s="46">
        <v>10</v>
      </c>
      <c r="G41" s="25">
        <f t="shared" ref="G41:G48" si="6">C41/F41</f>
        <v>115.7</v>
      </c>
      <c r="H41" s="25">
        <f>D41/F41</f>
        <v>4.9000000000000004</v>
      </c>
      <c r="I41" s="25">
        <f>E41/F41</f>
        <v>120.6</v>
      </c>
    </row>
    <row r="42" spans="1:15" ht="26.25" thickBot="1">
      <c r="B42" s="10" t="s">
        <v>371</v>
      </c>
      <c r="C42" s="46">
        <f>'Total Number Of Ind'!H8</f>
        <v>395</v>
      </c>
      <c r="D42" s="46">
        <f>'Total Number Of Ind'!I8</f>
        <v>39</v>
      </c>
      <c r="E42" s="46">
        <f>C42+D42</f>
        <v>434</v>
      </c>
      <c r="F42" s="46">
        <v>15</v>
      </c>
      <c r="G42" s="25">
        <f t="shared" si="6"/>
        <v>26.333333333333332</v>
      </c>
      <c r="H42" s="25">
        <f>D42/F42</f>
        <v>2.6</v>
      </c>
      <c r="I42" s="25">
        <f>E42/F42</f>
        <v>28.933333333333334</v>
      </c>
    </row>
    <row r="43" spans="1:15" ht="26.25" thickBot="1">
      <c r="B43" s="10" t="s">
        <v>372</v>
      </c>
      <c r="C43" s="46">
        <f>'Total Number Of Ind'!H9</f>
        <v>23</v>
      </c>
      <c r="D43" s="46">
        <f>'Total Number Of Ind'!I9</f>
        <v>43</v>
      </c>
      <c r="E43" s="46">
        <f>C43+D43</f>
        <v>66</v>
      </c>
      <c r="F43" s="46">
        <v>9</v>
      </c>
      <c r="G43" s="25">
        <f t="shared" si="6"/>
        <v>2.5555555555555554</v>
      </c>
      <c r="H43" s="25">
        <f>D43/F43</f>
        <v>4.7777777777777777</v>
      </c>
      <c r="I43" s="25">
        <f>E43/F43</f>
        <v>7.333333333333333</v>
      </c>
    </row>
    <row r="44" spans="1:15" ht="26.25" thickBot="1">
      <c r="B44" s="10" t="s">
        <v>373</v>
      </c>
      <c r="C44" s="46">
        <f>SUM(C40:C43)</f>
        <v>1608</v>
      </c>
      <c r="D44" s="46">
        <f>SUM(D40:D43)</f>
        <v>140</v>
      </c>
      <c r="E44" s="46">
        <f>SUM(E40:E43)</f>
        <v>1748</v>
      </c>
      <c r="F44" s="46">
        <f>SUM(F40:F43)</f>
        <v>43</v>
      </c>
      <c r="G44" s="25">
        <f t="shared" si="6"/>
        <v>37.395348837209305</v>
      </c>
      <c r="H44" s="25">
        <f>D44/F44</f>
        <v>3.2558139534883721</v>
      </c>
      <c r="I44" s="25">
        <f>E44/F44</f>
        <v>40.651162790697676</v>
      </c>
    </row>
    <row r="45" spans="1:15" ht="15.75" thickBot="1">
      <c r="B45" s="10"/>
      <c r="C45" s="46"/>
      <c r="D45" s="46"/>
      <c r="E45" s="46"/>
      <c r="F45" s="46"/>
      <c r="G45" s="25"/>
      <c r="H45" s="25"/>
      <c r="I45" s="25"/>
    </row>
    <row r="46" spans="1:15" ht="15.75" thickBot="1">
      <c r="B46" s="10" t="s">
        <v>341</v>
      </c>
      <c r="C46" s="46" t="e">
        <f>'Total Number Of Ind'!H5</f>
        <v>#REF!</v>
      </c>
      <c r="D46" s="46" t="e">
        <f>'Total Number Of Ind'!I5</f>
        <v>#REF!</v>
      </c>
      <c r="E46" s="46" t="e">
        <f>C46+D46</f>
        <v>#REF!</v>
      </c>
      <c r="F46" s="46">
        <v>0</v>
      </c>
      <c r="G46" s="25" t="e">
        <f t="shared" si="6"/>
        <v>#REF!</v>
      </c>
      <c r="H46" s="25" t="e">
        <f>D46/F46</f>
        <v>#REF!</v>
      </c>
      <c r="I46" s="25" t="e">
        <f>E46/F46</f>
        <v>#REF!</v>
      </c>
    </row>
    <row r="47" spans="1:15" ht="15.75" thickBot="1">
      <c r="B47" s="10" t="s">
        <v>343</v>
      </c>
      <c r="C47" s="46" t="e">
        <f>'Total Number Of Ind'!H10</f>
        <v>#REF!</v>
      </c>
      <c r="D47" s="46" t="e">
        <f>'Total Number Of Ind'!I10</f>
        <v>#REF!</v>
      </c>
      <c r="E47" s="46" t="e">
        <f>C47+D47</f>
        <v>#REF!</v>
      </c>
      <c r="F47" s="46">
        <v>0</v>
      </c>
      <c r="G47" s="25" t="e">
        <f>C47/F47</f>
        <v>#REF!</v>
      </c>
      <c r="H47" s="25" t="e">
        <f>D47/F47</f>
        <v>#REF!</v>
      </c>
      <c r="I47" s="25" t="e">
        <f>E47/F47</f>
        <v>#REF!</v>
      </c>
    </row>
    <row r="48" spans="1:15" ht="15.75" thickBot="1">
      <c r="B48" s="10" t="s">
        <v>216</v>
      </c>
      <c r="C48" s="46">
        <f>'Total Number Of Ind'!H11</f>
        <v>18</v>
      </c>
      <c r="D48" s="46">
        <f>'Total Number Of Ind'!I11</f>
        <v>31</v>
      </c>
      <c r="E48" s="46">
        <f>C48+D48</f>
        <v>49</v>
      </c>
      <c r="F48" s="46">
        <v>19</v>
      </c>
      <c r="G48" s="25">
        <f t="shared" si="6"/>
        <v>0.94736842105263153</v>
      </c>
      <c r="H48" s="25">
        <f>D48/F48</f>
        <v>1.631578947368421</v>
      </c>
      <c r="I48" s="25">
        <f>E48/F48</f>
        <v>2.5789473684210527</v>
      </c>
    </row>
    <row r="49" spans="1:15" ht="15.75" thickBot="1"/>
    <row r="50" spans="1:15">
      <c r="A50" t="s">
        <v>387</v>
      </c>
      <c r="B50" s="15"/>
      <c r="C50" s="94" t="s">
        <v>369</v>
      </c>
      <c r="D50" s="96"/>
      <c r="E50" s="94" t="s">
        <v>370</v>
      </c>
      <c r="F50" s="96"/>
      <c r="G50" s="94" t="s">
        <v>371</v>
      </c>
      <c r="H50" s="96"/>
      <c r="I50" s="94" t="s">
        <v>372</v>
      </c>
      <c r="J50" s="96"/>
      <c r="K50" s="94" t="s">
        <v>373</v>
      </c>
      <c r="L50" s="96"/>
      <c r="M50" s="18"/>
      <c r="N50" s="18"/>
      <c r="O50" s="18"/>
    </row>
    <row r="51" spans="1:15" ht="15.75" thickBot="1">
      <c r="B51" s="16"/>
      <c r="C51" s="100"/>
      <c r="D51" s="102"/>
      <c r="E51" s="100"/>
      <c r="F51" s="102"/>
      <c r="G51" s="100"/>
      <c r="H51" s="102"/>
      <c r="I51" s="100"/>
      <c r="J51" s="102"/>
      <c r="K51" s="100"/>
      <c r="L51" s="102"/>
      <c r="M51" s="19"/>
      <c r="N51" s="19"/>
      <c r="O51" s="19"/>
    </row>
    <row r="52" spans="1:15" ht="26.25" thickBot="1">
      <c r="B52" s="17" t="s">
        <v>13</v>
      </c>
      <c r="C52" s="20" t="s">
        <v>376</v>
      </c>
      <c r="D52" s="20" t="s">
        <v>377</v>
      </c>
      <c r="E52" s="20" t="s">
        <v>376</v>
      </c>
      <c r="F52" s="20" t="s">
        <v>377</v>
      </c>
      <c r="G52" s="20" t="s">
        <v>376</v>
      </c>
      <c r="H52" s="20" t="s">
        <v>377</v>
      </c>
      <c r="I52" s="20" t="s">
        <v>376</v>
      </c>
      <c r="J52" s="20" t="s">
        <v>377</v>
      </c>
      <c r="K52" s="20" t="s">
        <v>376</v>
      </c>
      <c r="L52" s="20" t="s">
        <v>377</v>
      </c>
      <c r="M52" s="20" t="s">
        <v>341</v>
      </c>
      <c r="N52" s="20" t="s">
        <v>343</v>
      </c>
      <c r="O52" s="20" t="s">
        <v>216</v>
      </c>
    </row>
    <row r="53" spans="1:15" ht="15.75" thickBot="1">
      <c r="B53" s="17">
        <v>23</v>
      </c>
      <c r="C53" s="45">
        <v>1.7777777777777777</v>
      </c>
      <c r="D53" s="45">
        <v>2.9237654320987652</v>
      </c>
      <c r="E53" s="45">
        <v>5.9</v>
      </c>
      <c r="F53" s="45">
        <v>5.4382716049382722</v>
      </c>
      <c r="G53" s="45">
        <v>6.2142857142857144</v>
      </c>
      <c r="H53" s="45">
        <v>8.246921596921597</v>
      </c>
      <c r="I53" s="45">
        <v>3</v>
      </c>
      <c r="J53" s="45">
        <v>0.46825396825396826</v>
      </c>
      <c r="K53" s="45">
        <v>4.5750000000000002</v>
      </c>
      <c r="L53" s="45">
        <v>5.7949762322823588</v>
      </c>
      <c r="M53" s="45">
        <v>9.0357142857142865</v>
      </c>
      <c r="N53" s="45">
        <v>10.5</v>
      </c>
      <c r="O53" s="45" t="s">
        <v>215</v>
      </c>
    </row>
    <row r="54" spans="1:15" ht="15.75" thickBot="1">
      <c r="B54" s="17">
        <v>24</v>
      </c>
      <c r="C54" s="45">
        <v>8.4444444444444446</v>
      </c>
      <c r="D54" s="69">
        <v>2.5347407407407401</v>
      </c>
      <c r="E54" s="45">
        <v>13.4</v>
      </c>
      <c r="F54" s="69">
        <v>6.8065319865319873</v>
      </c>
      <c r="G54" s="45">
        <v>5.666666666666667</v>
      </c>
      <c r="H54" s="69">
        <v>9.2193015873015884</v>
      </c>
      <c r="I54" s="45">
        <v>3.8888888888888888</v>
      </c>
      <c r="J54" s="69">
        <v>1.6876666666666664</v>
      </c>
      <c r="K54" s="45">
        <v>7.6744186046511631</v>
      </c>
      <c r="L54" s="69">
        <v>5.6799398073260141</v>
      </c>
      <c r="M54" s="45">
        <v>12.891891891891891</v>
      </c>
      <c r="N54" s="45">
        <v>12</v>
      </c>
      <c r="O54" s="45">
        <v>14.6</v>
      </c>
    </row>
    <row r="55" spans="1:15" ht="15.75" thickBot="1">
      <c r="B55" s="17">
        <v>25</v>
      </c>
      <c r="C55" s="45">
        <v>2.6666666666666665</v>
      </c>
      <c r="D55" s="69">
        <v>6.2803670634920623</v>
      </c>
      <c r="E55" s="45">
        <v>21</v>
      </c>
      <c r="F55" s="69">
        <v>16.9453125</v>
      </c>
      <c r="G55" s="45">
        <v>9.7333333333333325</v>
      </c>
      <c r="H55" s="69">
        <v>22.17946199633699</v>
      </c>
      <c r="I55" s="45">
        <v>2.5555555555555554</v>
      </c>
      <c r="J55" s="69">
        <v>4.0359375000000002</v>
      </c>
      <c r="K55" s="45">
        <v>9.3720930232558146</v>
      </c>
      <c r="L55" s="69">
        <v>13.749254246375438</v>
      </c>
      <c r="M55" s="45">
        <v>9.7027027027027035</v>
      </c>
      <c r="N55" s="45">
        <v>6.8</v>
      </c>
      <c r="O55" s="45">
        <v>14.6</v>
      </c>
    </row>
    <row r="56" spans="1:15" ht="15.75" thickBot="1">
      <c r="B56" s="17">
        <v>26</v>
      </c>
      <c r="C56" s="45">
        <v>6.7777777777777777</v>
      </c>
      <c r="D56" s="69">
        <v>13.159444444444444</v>
      </c>
      <c r="E56" s="45">
        <v>11.7</v>
      </c>
      <c r="F56" s="69">
        <v>32.098611111111111</v>
      </c>
      <c r="G56" s="45">
        <v>28.066666666666666</v>
      </c>
      <c r="H56" s="69">
        <v>33.50931547619048</v>
      </c>
      <c r="I56" s="45">
        <v>1.8888888888888888</v>
      </c>
      <c r="J56" s="69">
        <v>8.4555208333333329</v>
      </c>
      <c r="K56" s="45">
        <v>14.325581395348838</v>
      </c>
      <c r="L56" s="69">
        <v>23.631549113866136</v>
      </c>
      <c r="M56" s="45">
        <v>19.027027027027028</v>
      </c>
      <c r="N56" s="45">
        <v>49.8</v>
      </c>
      <c r="O56" s="45">
        <v>16.399999999999999</v>
      </c>
    </row>
    <row r="57" spans="1:15" ht="15.75" thickBot="1">
      <c r="B57" s="17">
        <v>27</v>
      </c>
      <c r="C57" s="45">
        <v>10.111111111111111</v>
      </c>
      <c r="D57" s="69">
        <v>27.208333333333332</v>
      </c>
      <c r="E57" s="45">
        <v>55.2</v>
      </c>
      <c r="F57" s="69">
        <v>59.73749999999999</v>
      </c>
      <c r="G57" s="45">
        <v>96.066666666666663</v>
      </c>
      <c r="H57" s="69">
        <v>43.268324175824169</v>
      </c>
      <c r="I57" s="45">
        <v>13.888888888888889</v>
      </c>
      <c r="J57" s="69">
        <v>11.736527777777777</v>
      </c>
      <c r="K57" s="45">
        <v>51.372093023255815</v>
      </c>
      <c r="L57" s="69">
        <v>38.751240699041055</v>
      </c>
      <c r="M57" s="45">
        <v>38.054054054054056</v>
      </c>
      <c r="N57" s="45">
        <v>36</v>
      </c>
      <c r="O57" s="45">
        <v>37.799999999999997</v>
      </c>
    </row>
    <row r="58" spans="1:15" ht="15.75" thickBot="1">
      <c r="B58" s="17">
        <v>28</v>
      </c>
      <c r="C58" s="45">
        <v>46.777777777777779</v>
      </c>
      <c r="D58" s="69">
        <v>40.78862103174604</v>
      </c>
      <c r="E58" s="45">
        <v>173.3</v>
      </c>
      <c r="F58" s="69">
        <v>79.894270833333337</v>
      </c>
      <c r="G58" s="45">
        <v>106.13333333333334</v>
      </c>
      <c r="H58" s="69">
        <v>86.485625000000013</v>
      </c>
      <c r="I58" s="45">
        <v>55.666666666666664</v>
      </c>
      <c r="J58" s="69">
        <v>15.33138888888889</v>
      </c>
      <c r="K58" s="45">
        <v>98.767441860465112</v>
      </c>
      <c r="L58" s="69">
        <v>60.711326862953172</v>
      </c>
      <c r="M58" s="45">
        <v>61.729729729729726</v>
      </c>
      <c r="N58" s="45">
        <v>29.2</v>
      </c>
      <c r="O58" s="45">
        <v>35</v>
      </c>
    </row>
    <row r="59" spans="1:15" ht="15.75" thickBot="1">
      <c r="B59" s="17">
        <v>29</v>
      </c>
      <c r="C59" s="45">
        <v>44.777777777777779</v>
      </c>
      <c r="D59" s="69">
        <v>48.087643849206344</v>
      </c>
      <c r="E59" s="45">
        <v>175.3</v>
      </c>
      <c r="F59" s="69">
        <v>81.15347222222222</v>
      </c>
      <c r="G59" s="45">
        <v>109.8</v>
      </c>
      <c r="H59" s="69">
        <v>71.803363095238097</v>
      </c>
      <c r="I59" s="45">
        <v>60</v>
      </c>
      <c r="J59" s="69">
        <v>20.174409722222222</v>
      </c>
      <c r="K59" s="45">
        <v>101</v>
      </c>
      <c r="L59" s="69">
        <v>59.283580252751932</v>
      </c>
      <c r="M59" s="45">
        <v>69.405405405405403</v>
      </c>
      <c r="N59" s="45">
        <v>95.8</v>
      </c>
      <c r="O59" s="45">
        <v>38.157894736842103</v>
      </c>
    </row>
    <row r="60" spans="1:15" ht="15.75" thickBot="1">
      <c r="B60" s="17">
        <v>30</v>
      </c>
      <c r="C60" s="45">
        <v>26</v>
      </c>
      <c r="D60" s="69">
        <v>49.284999999999997</v>
      </c>
      <c r="E60" s="45">
        <v>115.5</v>
      </c>
      <c r="F60" s="69">
        <v>107.36597222222221</v>
      </c>
      <c r="G60" s="45">
        <v>58.8</v>
      </c>
      <c r="H60" s="69">
        <v>82.321517857142851</v>
      </c>
      <c r="I60" s="45">
        <v>29.25</v>
      </c>
      <c r="J60" s="69">
        <v>21.72034722222222</v>
      </c>
      <c r="K60" s="45">
        <v>59.642857142857146</v>
      </c>
      <c r="L60" s="69">
        <v>68.918472799003311</v>
      </c>
      <c r="M60" s="45">
        <v>68.540540540540547</v>
      </c>
      <c r="N60" s="45">
        <v>31.8</v>
      </c>
      <c r="O60" s="45">
        <v>17.105263157894736</v>
      </c>
    </row>
    <row r="61" spans="1:15" ht="15.75" thickBot="1">
      <c r="B61" s="17">
        <v>31</v>
      </c>
      <c r="C61" s="45">
        <v>34.777777777777779</v>
      </c>
      <c r="D61" s="69">
        <v>56.347013888888895</v>
      </c>
      <c r="E61" s="45">
        <v>108.4</v>
      </c>
      <c r="F61" s="69">
        <v>96.218181818181819</v>
      </c>
      <c r="G61" s="45">
        <v>54.533333333333331</v>
      </c>
      <c r="H61" s="69">
        <v>64.256536172161162</v>
      </c>
      <c r="I61" s="45">
        <v>32.555555555555557</v>
      </c>
      <c r="J61" s="69">
        <v>19.083497354497357</v>
      </c>
      <c r="K61" s="45">
        <v>58.325581395348834</v>
      </c>
      <c r="L61" s="69">
        <v>63.317044880481625</v>
      </c>
      <c r="M61" s="45">
        <v>58.054054054054056</v>
      </c>
      <c r="N61" s="45">
        <v>63.8</v>
      </c>
      <c r="O61" s="45">
        <v>21.578947368421051</v>
      </c>
    </row>
    <row r="62" spans="1:15" ht="15.75" thickBot="1">
      <c r="B62" s="17">
        <v>32</v>
      </c>
      <c r="C62" s="45">
        <v>24.555555555555557</v>
      </c>
      <c r="D62" s="69">
        <v>40.800347222222221</v>
      </c>
      <c r="E62" s="45">
        <v>172.9</v>
      </c>
      <c r="F62" s="69">
        <v>72.536111111111111</v>
      </c>
      <c r="G62" s="45">
        <v>65.86666666666666</v>
      </c>
      <c r="H62" s="69">
        <v>51.908640109890108</v>
      </c>
      <c r="I62" s="45">
        <v>86.888888888888886</v>
      </c>
      <c r="J62" s="69">
        <v>16.549935515873017</v>
      </c>
      <c r="K62" s="45">
        <v>86.511627906976742</v>
      </c>
      <c r="L62" s="69">
        <v>47.407127850347322</v>
      </c>
      <c r="M62" s="45">
        <v>56.783783783783782</v>
      </c>
      <c r="N62" s="45">
        <v>108.2</v>
      </c>
      <c r="O62" s="45">
        <v>15.26</v>
      </c>
    </row>
    <row r="63" spans="1:15" ht="15.75" thickBot="1">
      <c r="A63" s="30"/>
      <c r="B63" s="17">
        <v>33</v>
      </c>
      <c r="C63" s="45">
        <v>25.666666666666668</v>
      </c>
      <c r="D63" s="69">
        <v>29.007111111111115</v>
      </c>
      <c r="E63" s="45">
        <v>174.2</v>
      </c>
      <c r="F63" s="69">
        <v>61.461868686868691</v>
      </c>
      <c r="G63" s="45">
        <v>91.333333333333329</v>
      </c>
      <c r="H63" s="69">
        <v>39.369255952380954</v>
      </c>
      <c r="I63" s="45">
        <v>40.666666666666664</v>
      </c>
      <c r="J63" s="69">
        <v>12.451074074074075</v>
      </c>
      <c r="K63" s="45">
        <v>86.255813953488371</v>
      </c>
      <c r="L63" s="69">
        <v>37.857421371051906</v>
      </c>
      <c r="M63" s="45">
        <v>32.027027027027025</v>
      </c>
      <c r="N63" s="45">
        <v>29.8</v>
      </c>
      <c r="O63" s="45">
        <v>5.5263157894736841</v>
      </c>
    </row>
    <row r="64" spans="1:15" ht="15.75" thickBot="1">
      <c r="B64" s="17">
        <v>34</v>
      </c>
      <c r="C64" s="45">
        <v>57.777777777777779</v>
      </c>
      <c r="D64" s="69">
        <v>19.16394708994709</v>
      </c>
      <c r="E64" s="45">
        <v>221.2</v>
      </c>
      <c r="F64" s="69">
        <v>43.201657196969698</v>
      </c>
      <c r="G64" s="45">
        <v>62.142857142857146</v>
      </c>
      <c r="H64" s="69">
        <v>25.587351190476191</v>
      </c>
      <c r="I64" s="45">
        <v>49.111111111111114</v>
      </c>
      <c r="J64" s="69">
        <v>7.7705925925925925</v>
      </c>
      <c r="K64" s="45">
        <v>96.285714285714292</v>
      </c>
      <c r="L64" s="69">
        <v>25.511912483790251</v>
      </c>
      <c r="M64" s="45">
        <v>48.324324324324323</v>
      </c>
      <c r="N64" s="45">
        <v>37.6</v>
      </c>
      <c r="O64" s="45">
        <v>7.8421052631578947</v>
      </c>
    </row>
    <row r="65" spans="1:25" ht="15.75" thickBot="1">
      <c r="B65" s="17">
        <v>35</v>
      </c>
      <c r="C65" s="45">
        <v>16.666666666666668</v>
      </c>
      <c r="D65" s="69">
        <v>10.443428571428571</v>
      </c>
      <c r="E65" s="45">
        <v>41.2</v>
      </c>
      <c r="F65" s="69">
        <v>26.477579365079368</v>
      </c>
      <c r="G65" s="45">
        <v>48.266666666666666</v>
      </c>
      <c r="H65" s="69">
        <v>16.040982142857146</v>
      </c>
      <c r="I65" s="45">
        <v>20.222222222222221</v>
      </c>
      <c r="J65" s="69">
        <v>5.4684444444444456</v>
      </c>
      <c r="K65" s="45">
        <v>34.139534883720927</v>
      </c>
      <c r="L65" s="69">
        <v>15.243968328601017</v>
      </c>
      <c r="M65" s="45">
        <v>20.648648648648649</v>
      </c>
      <c r="N65" s="45">
        <v>32.799999999999997</v>
      </c>
      <c r="O65" s="45">
        <v>3.263157894736842</v>
      </c>
    </row>
    <row r="66" spans="1:25" ht="15.75" thickBot="1">
      <c r="B66" s="17">
        <v>36</v>
      </c>
      <c r="C66" s="45">
        <v>6.4444444444444446</v>
      </c>
      <c r="D66" s="45">
        <v>11.859818594104308</v>
      </c>
      <c r="E66" s="45">
        <v>67</v>
      </c>
      <c r="F66" s="45">
        <v>32.071428571428569</v>
      </c>
      <c r="G66" s="45">
        <v>24.933333333333334</v>
      </c>
      <c r="H66" s="45">
        <v>12.237619047619047</v>
      </c>
      <c r="I66" s="45">
        <v>3.3333333333333335</v>
      </c>
      <c r="J66" s="45">
        <v>5.17063492063492</v>
      </c>
      <c r="K66" s="45">
        <v>25.357142857142858</v>
      </c>
      <c r="L66" s="45">
        <v>15.387103306438856</v>
      </c>
      <c r="M66" s="45">
        <v>37</v>
      </c>
      <c r="N66" s="43" t="s">
        <v>215</v>
      </c>
      <c r="O66" s="45">
        <v>4</v>
      </c>
    </row>
    <row r="67" spans="1:25" ht="15.75" thickBot="1">
      <c r="B67" s="17">
        <v>37</v>
      </c>
      <c r="C67" s="45">
        <v>4.666666666666667</v>
      </c>
      <c r="D67" s="45">
        <v>9.0011111111111113</v>
      </c>
      <c r="E67" s="45">
        <v>120.6</v>
      </c>
      <c r="F67" s="45">
        <v>12.766666666666667</v>
      </c>
      <c r="G67" s="45">
        <v>28.933333333333334</v>
      </c>
      <c r="H67" s="45">
        <v>6.6174999999999997</v>
      </c>
      <c r="I67" s="45">
        <v>7.333333333333333</v>
      </c>
      <c r="J67" s="45">
        <v>2.0702777777777781</v>
      </c>
      <c r="K67" s="45">
        <v>40.651162790697676</v>
      </c>
      <c r="L67" s="45">
        <v>7.7042337507453791</v>
      </c>
      <c r="M67" s="43" t="s">
        <v>215</v>
      </c>
      <c r="N67" s="43" t="s">
        <v>215</v>
      </c>
      <c r="O67" s="45">
        <v>2.5789473684210527</v>
      </c>
    </row>
    <row r="68" spans="1:25" ht="15.75" thickBot="1"/>
    <row r="69" spans="1:25">
      <c r="A69" t="s">
        <v>388</v>
      </c>
      <c r="B69" s="15"/>
      <c r="C69" s="94" t="s">
        <v>389</v>
      </c>
      <c r="D69" s="95"/>
      <c r="E69" s="96"/>
      <c r="F69" s="94" t="s">
        <v>390</v>
      </c>
      <c r="G69" s="95"/>
      <c r="H69" s="96"/>
      <c r="I69" s="94" t="s">
        <v>391</v>
      </c>
      <c r="J69" s="95"/>
      <c r="K69" s="96"/>
      <c r="L69" s="94" t="s">
        <v>392</v>
      </c>
      <c r="M69" s="95"/>
      <c r="N69" s="96"/>
      <c r="Q69" s="48"/>
      <c r="R69" s="53"/>
    </row>
    <row r="70" spans="1:25">
      <c r="B70" s="16"/>
      <c r="C70" s="97"/>
      <c r="D70" s="98"/>
      <c r="E70" s="99"/>
      <c r="F70" s="97"/>
      <c r="G70" s="98"/>
      <c r="H70" s="99"/>
      <c r="I70" s="97" t="s">
        <v>393</v>
      </c>
      <c r="J70" s="98"/>
      <c r="K70" s="99"/>
      <c r="L70" s="97"/>
      <c r="M70" s="98"/>
      <c r="N70" s="99"/>
      <c r="P70" s="48"/>
      <c r="Q70" s="53"/>
      <c r="R70" s="53"/>
      <c r="S70" s="53"/>
      <c r="T70" s="48"/>
      <c r="U70" s="48"/>
      <c r="V70" s="48"/>
      <c r="W70" s="48"/>
      <c r="X70" s="48"/>
      <c r="Y70" s="48"/>
    </row>
    <row r="71" spans="1:25" ht="15.75" thickBot="1">
      <c r="B71" s="16"/>
      <c r="C71" s="100"/>
      <c r="D71" s="101"/>
      <c r="E71" s="102"/>
      <c r="F71" s="100"/>
      <c r="G71" s="101"/>
      <c r="H71" s="102"/>
      <c r="I71" s="103"/>
      <c r="J71" s="104"/>
      <c r="K71" s="105"/>
      <c r="L71" s="100"/>
      <c r="M71" s="101"/>
      <c r="N71" s="102"/>
      <c r="P71" s="48"/>
      <c r="Q71" s="53"/>
      <c r="R71" s="30"/>
      <c r="S71" s="30"/>
      <c r="T71" s="71"/>
      <c r="U71" s="72"/>
      <c r="V71" s="72"/>
    </row>
    <row r="72" spans="1:25" ht="24.75" thickBot="1">
      <c r="B72" s="17" t="s">
        <v>363</v>
      </c>
      <c r="C72" s="22" t="s">
        <v>355</v>
      </c>
      <c r="D72" s="22" t="s">
        <v>356</v>
      </c>
      <c r="E72" s="20" t="s">
        <v>394</v>
      </c>
      <c r="F72" s="22" t="s">
        <v>355</v>
      </c>
      <c r="G72" s="22" t="s">
        <v>356</v>
      </c>
      <c r="H72" s="20" t="s">
        <v>394</v>
      </c>
      <c r="I72" s="22" t="s">
        <v>355</v>
      </c>
      <c r="J72" s="22" t="s">
        <v>356</v>
      </c>
      <c r="K72" s="20" t="s">
        <v>394</v>
      </c>
      <c r="L72" s="22" t="s">
        <v>355</v>
      </c>
      <c r="M72" s="22" t="s">
        <v>356</v>
      </c>
      <c r="N72" s="20" t="s">
        <v>394</v>
      </c>
      <c r="Q72" s="30"/>
      <c r="R72" s="30"/>
      <c r="S72" s="30"/>
      <c r="T72" s="71"/>
      <c r="U72" s="72"/>
      <c r="V72" s="72"/>
    </row>
    <row r="73" spans="1:25" ht="24.75" thickBot="1">
      <c r="B73" s="17" t="s">
        <v>369</v>
      </c>
      <c r="C73" s="46">
        <f>'Total Number Ind Examined '!I8</f>
        <v>39</v>
      </c>
      <c r="D73" s="46">
        <f>'Total Number Ind Examined '!J8</f>
        <v>11</v>
      </c>
      <c r="E73" s="46">
        <f>C73+D73</f>
        <v>50</v>
      </c>
      <c r="F73" s="47">
        <f>'Total Number of Pools Examined'!H8</f>
        <v>11</v>
      </c>
      <c r="G73" s="47">
        <f>'Total Number of Pools Examined'!I8</f>
        <v>5</v>
      </c>
      <c r="H73" s="47">
        <f>F73+G73</f>
        <v>16</v>
      </c>
      <c r="I73" s="47">
        <f>'Total Number of WNV + Pools'!G7</f>
        <v>0</v>
      </c>
      <c r="J73" s="47">
        <f>'Total Number of WNV + Pools'!H7</f>
        <v>0</v>
      </c>
      <c r="K73" s="47">
        <f>'Total Number of WNV + Pools'!I7</f>
        <v>0</v>
      </c>
      <c r="L73" s="29">
        <f>ZONEINFRATE!C2</f>
        <v>0</v>
      </c>
      <c r="M73" s="29">
        <f>ZONEINFRATE!C3</f>
        <v>0</v>
      </c>
      <c r="N73" s="29">
        <v>0</v>
      </c>
      <c r="Q73" s="48" t="s">
        <v>18</v>
      </c>
      <c r="R73" s="53" t="s">
        <v>227</v>
      </c>
      <c r="S73" s="30"/>
      <c r="T73" s="71"/>
      <c r="U73" s="72"/>
      <c r="V73" s="72"/>
    </row>
    <row r="74" spans="1:25" ht="24.75" thickBot="1">
      <c r="B74" s="17" t="s">
        <v>370</v>
      </c>
      <c r="C74" s="46">
        <f>'Total Number Ind Examined '!I7</f>
        <v>1278</v>
      </c>
      <c r="D74" s="46">
        <f>'Total Number Ind Examined '!J7</f>
        <v>51</v>
      </c>
      <c r="E74" s="46">
        <f>C74+D74</f>
        <v>1329</v>
      </c>
      <c r="F74" s="47">
        <f>'Total Number of Pools Examined'!H7</f>
        <v>33</v>
      </c>
      <c r="G74" s="47">
        <f>'Total Number of Pools Examined'!I7</f>
        <v>12</v>
      </c>
      <c r="H74" s="47">
        <f>F74+G74</f>
        <v>45</v>
      </c>
      <c r="I74" s="47">
        <f>'Total Number of WNV + Pools'!G8</f>
        <v>4</v>
      </c>
      <c r="J74" s="47">
        <f>'Total Number of WNV + Pools'!H8</f>
        <v>0</v>
      </c>
      <c r="K74" s="47">
        <f>'Total Number of WNV + Pools'!I8</f>
        <v>4</v>
      </c>
      <c r="L74" s="29">
        <f>ZONEINFRATE!C4</f>
        <v>3.231964182692769</v>
      </c>
      <c r="M74" s="29">
        <f>ZONEINFRATE!C5</f>
        <v>0</v>
      </c>
      <c r="N74" s="29">
        <v>3.1062412252469103</v>
      </c>
      <c r="Q74" t="s">
        <v>216</v>
      </c>
      <c r="R74" s="30">
        <v>0</v>
      </c>
      <c r="S74" s="30"/>
      <c r="T74" s="71"/>
      <c r="U74" s="72"/>
      <c r="V74" s="72"/>
    </row>
    <row r="75" spans="1:25" ht="24.75" thickBot="1">
      <c r="B75" s="17" t="s">
        <v>371</v>
      </c>
      <c r="C75" s="46">
        <f>'Total Number Ind Examined '!I9</f>
        <v>434</v>
      </c>
      <c r="D75" s="46">
        <f>'Total Number Ind Examined '!J9</f>
        <v>39</v>
      </c>
      <c r="E75" s="46">
        <f>C75+D75</f>
        <v>473</v>
      </c>
      <c r="F75" s="47">
        <f>'Total Number of Pools Examined'!H9</f>
        <v>22</v>
      </c>
      <c r="G75" s="47">
        <f>'Total Number of Pools Examined'!I9</f>
        <v>11</v>
      </c>
      <c r="H75" s="47">
        <f>F75+G75</f>
        <v>33</v>
      </c>
      <c r="I75" s="47">
        <f>'Total Number of WNV + Pools'!G9</f>
        <v>1</v>
      </c>
      <c r="J75" s="47">
        <f>'Total Number of WNV + Pools'!H9</f>
        <v>0</v>
      </c>
      <c r="K75" s="47">
        <f>'Total Number of WNV + Pools'!I9</f>
        <v>1</v>
      </c>
      <c r="L75" s="29">
        <f>ZONEINFRATE!C6</f>
        <v>2.2512912743443971</v>
      </c>
      <c r="M75" s="29">
        <f>ZONEINFRATE!C7</f>
        <v>0</v>
      </c>
      <c r="N75" s="29">
        <v>2.076601883926223</v>
      </c>
      <c r="Q75" t="s">
        <v>123</v>
      </c>
      <c r="R75" s="30">
        <v>3.1062412252469103</v>
      </c>
      <c r="S75" s="30"/>
      <c r="T75" s="71"/>
      <c r="U75" s="72"/>
      <c r="V75" s="72"/>
    </row>
    <row r="76" spans="1:25" ht="24.75" thickBot="1">
      <c r="B76" s="17" t="s">
        <v>372</v>
      </c>
      <c r="C76" s="46">
        <f>'Total Number Ind Examined '!I10</f>
        <v>49</v>
      </c>
      <c r="D76" s="46">
        <f>'Total Number Ind Examined '!J10</f>
        <v>41</v>
      </c>
      <c r="E76" s="46">
        <f>C76+D76</f>
        <v>90</v>
      </c>
      <c r="F76" s="47">
        <f>'Total Number of Pools Examined'!H10</f>
        <v>7</v>
      </c>
      <c r="G76" s="47">
        <f>'Total Number of Pools Examined'!I10</f>
        <v>6</v>
      </c>
      <c r="H76" s="47">
        <f>F76+G76</f>
        <v>13</v>
      </c>
      <c r="I76" s="47">
        <f>'Total Number of WNV + Pools'!G10</f>
        <v>0</v>
      </c>
      <c r="J76" s="47">
        <f>'Total Number of WNV + Pools'!H10</f>
        <v>0</v>
      </c>
      <c r="K76" s="47">
        <f>'Total Number of WNV + Pools'!I10</f>
        <v>0</v>
      </c>
      <c r="L76" s="29">
        <f>ZONEINFRATE!C8</f>
        <v>0</v>
      </c>
      <c r="M76" s="29">
        <f>ZONEINFRATE!C9</f>
        <v>0</v>
      </c>
      <c r="N76" s="29">
        <v>0</v>
      </c>
      <c r="Q76" t="s">
        <v>138</v>
      </c>
      <c r="R76" s="30">
        <v>0</v>
      </c>
      <c r="S76" s="30"/>
      <c r="T76" s="71"/>
      <c r="U76" s="72"/>
      <c r="V76" s="72"/>
    </row>
    <row r="77" spans="1:25" ht="24.75" thickBot="1">
      <c r="B77" s="17" t="s">
        <v>373</v>
      </c>
      <c r="C77" s="46">
        <f>SUM(C73:C76)</f>
        <v>1800</v>
      </c>
      <c r="D77" s="46">
        <f>SUM(D73:D76)</f>
        <v>142</v>
      </c>
      <c r="E77" s="46">
        <f>C77+D77</f>
        <v>1942</v>
      </c>
      <c r="F77" s="47">
        <f t="shared" ref="F77:K77" si="7">SUM(F73:F76)</f>
        <v>73</v>
      </c>
      <c r="G77" s="47">
        <f t="shared" si="7"/>
        <v>34</v>
      </c>
      <c r="H77" s="47">
        <f>F77+G77</f>
        <v>107</v>
      </c>
      <c r="I77" s="47">
        <f t="shared" si="7"/>
        <v>5</v>
      </c>
      <c r="J77" s="47">
        <f t="shared" si="7"/>
        <v>0</v>
      </c>
      <c r="K77" s="47">
        <f t="shared" si="7"/>
        <v>5</v>
      </c>
      <c r="L77" s="29">
        <f>CITYINFRATE!C2</f>
        <v>2.8597446699003846</v>
      </c>
      <c r="M77" s="29">
        <f>CITYINFRATE!C3</f>
        <v>0</v>
      </c>
      <c r="N77" s="29">
        <v>2.6468146334156435</v>
      </c>
      <c r="Q77" t="s">
        <v>35</v>
      </c>
      <c r="R77" s="30">
        <v>2.076601883926223</v>
      </c>
      <c r="S77" s="30"/>
      <c r="T77" s="71"/>
      <c r="U77" s="72"/>
      <c r="V77" s="72"/>
    </row>
    <row r="78" spans="1:25" ht="15.75" thickBot="1">
      <c r="B78" s="17"/>
      <c r="C78" s="47"/>
      <c r="D78" s="47"/>
      <c r="E78" s="47"/>
      <c r="F78" s="47"/>
      <c r="G78" s="47"/>
      <c r="H78" s="47"/>
      <c r="I78" s="47"/>
      <c r="J78" s="47"/>
      <c r="K78" s="47"/>
      <c r="L78" s="29"/>
      <c r="M78" s="29"/>
      <c r="N78" s="29"/>
      <c r="P78" s="30"/>
      <c r="Q78" t="s">
        <v>91</v>
      </c>
      <c r="R78" s="30">
        <v>0</v>
      </c>
      <c r="S78" s="30"/>
    </row>
    <row r="79" spans="1:25" ht="15.75" thickBot="1">
      <c r="B79" s="17" t="s">
        <v>341</v>
      </c>
      <c r="C79" s="47" t="e">
        <f>'Total Number Ind Examined '!I6</f>
        <v>#REF!</v>
      </c>
      <c r="D79" s="47" t="e">
        <f>'Total Number Ind Examined '!J6</f>
        <v>#REF!</v>
      </c>
      <c r="E79" s="47" t="e">
        <f>C79+D79</f>
        <v>#REF!</v>
      </c>
      <c r="F79" s="47" t="e">
        <f>'Total Number of Pools Examined'!H6</f>
        <v>#REF!</v>
      </c>
      <c r="G79" s="47" t="e">
        <f>'Total Number of Pools Examined'!I6</f>
        <v>#REF!</v>
      </c>
      <c r="H79" s="47" t="e">
        <f>F79+G79</f>
        <v>#REF!</v>
      </c>
      <c r="I79" s="47" t="e">
        <f>'Total Number of WNV + Pools'!G11</f>
        <v>#REF!</v>
      </c>
      <c r="J79" s="47" t="e">
        <f>'Total Number of WNV + Pools'!H11</f>
        <v>#REF!</v>
      </c>
      <c r="K79" s="47" t="e">
        <f>I79+J79</f>
        <v>#REF!</v>
      </c>
      <c r="L79" s="29" t="s">
        <v>215</v>
      </c>
      <c r="M79" s="29" t="s">
        <v>215</v>
      </c>
      <c r="N79" s="29" t="s">
        <v>215</v>
      </c>
      <c r="R79" s="30"/>
      <c r="S79" s="30"/>
      <c r="T79" s="30"/>
    </row>
    <row r="80" spans="1:25" ht="15.75" thickBot="1">
      <c r="B80" s="17" t="s">
        <v>343</v>
      </c>
      <c r="C80" s="47" t="e">
        <f>'Total Number Ind Examined '!I11</f>
        <v>#REF!</v>
      </c>
      <c r="D80" s="47" t="e">
        <f>'Total Number Ind Examined '!J11</f>
        <v>#REF!</v>
      </c>
      <c r="E80" s="47" t="e">
        <f>C80+D80</f>
        <v>#REF!</v>
      </c>
      <c r="F80" s="47" t="e">
        <f>'Total Number of Pools Examined'!H11</f>
        <v>#REF!</v>
      </c>
      <c r="G80" s="47" t="e">
        <f>'Total Number of Pools Examined'!I11</f>
        <v>#REF!</v>
      </c>
      <c r="H80" s="47" t="e">
        <f>F80+G80</f>
        <v>#REF!</v>
      </c>
      <c r="I80" s="47" t="e">
        <f>'Total Number of WNV + Pools'!G12</f>
        <v>#REF!</v>
      </c>
      <c r="J80" s="47" t="e">
        <f>'Total Number of WNV + Pools'!H12</f>
        <v>#REF!</v>
      </c>
      <c r="K80" s="47" t="e">
        <f>I80+J80</f>
        <v>#REF!</v>
      </c>
      <c r="L80" s="29" t="s">
        <v>215</v>
      </c>
      <c r="M80" s="29" t="s">
        <v>215</v>
      </c>
      <c r="N80" s="29" t="s">
        <v>215</v>
      </c>
      <c r="Q80" s="48" t="s">
        <v>16</v>
      </c>
      <c r="R80" s="53" t="s">
        <v>227</v>
      </c>
      <c r="S80" s="30"/>
      <c r="T80" s="30"/>
    </row>
    <row r="81" spans="1:20" ht="15.75" thickBot="1">
      <c r="B81" s="17" t="s">
        <v>216</v>
      </c>
      <c r="C81" s="47">
        <f>'Total Number Ind Examined '!I12</f>
        <v>10</v>
      </c>
      <c r="D81" s="47">
        <f>'Total Number Ind Examined '!J12</f>
        <v>14</v>
      </c>
      <c r="E81" s="47">
        <f>C81+D81</f>
        <v>24</v>
      </c>
      <c r="F81" s="47">
        <f>'Total Number of Pools Examined'!H12</f>
        <v>0</v>
      </c>
      <c r="G81" s="47">
        <v>5</v>
      </c>
      <c r="H81" s="47">
        <f>F81+G81</f>
        <v>5</v>
      </c>
      <c r="I81" s="47">
        <f>'Total Number of WNV + Pools'!G13</f>
        <v>0</v>
      </c>
      <c r="J81" s="47">
        <f>'Total Number of WNV + Pools'!H13</f>
        <v>0</v>
      </c>
      <c r="K81" s="47">
        <f>I81+J81</f>
        <v>0</v>
      </c>
      <c r="L81" s="29">
        <f>CITYINFRATE!C8</f>
        <v>0</v>
      </c>
      <c r="M81" s="29">
        <f>CITYINFRATE!C9</f>
        <v>0</v>
      </c>
      <c r="N81" s="29">
        <v>0</v>
      </c>
      <c r="Q81" t="s">
        <v>216</v>
      </c>
      <c r="R81" s="30">
        <v>0</v>
      </c>
      <c r="S81" s="30"/>
      <c r="T81" s="30"/>
    </row>
    <row r="82" spans="1:20" ht="15.75" thickBot="1">
      <c r="Q82" t="s">
        <v>33</v>
      </c>
      <c r="R82" s="30">
        <v>2.6468146334156435</v>
      </c>
      <c r="S82" s="53"/>
      <c r="T82" s="30"/>
    </row>
    <row r="83" spans="1:20" ht="15" customHeight="1">
      <c r="A83" t="s">
        <v>395</v>
      </c>
      <c r="B83" s="15"/>
      <c r="C83" s="94" t="s">
        <v>369</v>
      </c>
      <c r="D83" s="96"/>
      <c r="E83" s="94" t="s">
        <v>370</v>
      </c>
      <c r="F83" s="96"/>
      <c r="G83" s="94" t="s">
        <v>371</v>
      </c>
      <c r="H83" s="96"/>
      <c r="I83" s="94" t="s">
        <v>372</v>
      </c>
      <c r="J83" s="96"/>
      <c r="K83" s="94" t="s">
        <v>373</v>
      </c>
      <c r="L83" s="96"/>
      <c r="M83" s="18"/>
      <c r="N83" s="18"/>
      <c r="O83" s="18"/>
      <c r="S83" s="30"/>
    </row>
    <row r="84" spans="1:20" ht="15.75" thickBot="1">
      <c r="B84" s="16"/>
      <c r="C84" s="100"/>
      <c r="D84" s="102"/>
      <c r="E84" s="100"/>
      <c r="F84" s="102"/>
      <c r="G84" s="100"/>
      <c r="H84" s="102"/>
      <c r="I84" s="100"/>
      <c r="J84" s="102"/>
      <c r="K84" s="100"/>
      <c r="L84" s="102"/>
      <c r="M84" s="19"/>
      <c r="N84" s="19"/>
      <c r="O84" s="19"/>
      <c r="S84" s="30"/>
    </row>
    <row r="85" spans="1:20" ht="26.25" thickBot="1">
      <c r="B85" s="17" t="s">
        <v>13</v>
      </c>
      <c r="C85" s="20" t="s">
        <v>376</v>
      </c>
      <c r="D85" s="20" t="s">
        <v>377</v>
      </c>
      <c r="E85" s="20" t="s">
        <v>376</v>
      </c>
      <c r="F85" s="20" t="s">
        <v>377</v>
      </c>
      <c r="G85" s="20" t="s">
        <v>376</v>
      </c>
      <c r="H85" s="20" t="s">
        <v>377</v>
      </c>
      <c r="I85" s="20" t="s">
        <v>376</v>
      </c>
      <c r="J85" s="20" t="s">
        <v>377</v>
      </c>
      <c r="K85" s="20" t="s">
        <v>376</v>
      </c>
      <c r="L85" s="20" t="s">
        <v>377</v>
      </c>
      <c r="M85" s="20" t="s">
        <v>341</v>
      </c>
      <c r="N85" s="20" t="s">
        <v>343</v>
      </c>
      <c r="O85" s="20" t="s">
        <v>216</v>
      </c>
      <c r="S85" s="30"/>
    </row>
    <row r="86" spans="1:20" ht="15.75" thickBot="1">
      <c r="B86" s="17">
        <v>23</v>
      </c>
      <c r="C86" s="45">
        <v>0</v>
      </c>
      <c r="D86" s="45">
        <v>0</v>
      </c>
      <c r="E86" s="45">
        <v>0</v>
      </c>
      <c r="F86" s="45">
        <v>0</v>
      </c>
      <c r="G86" s="45">
        <v>0</v>
      </c>
      <c r="H86" s="45">
        <v>1.7731002705211838</v>
      </c>
      <c r="I86" s="45">
        <v>0</v>
      </c>
      <c r="J86" s="45">
        <v>0</v>
      </c>
      <c r="K86" s="45">
        <v>0</v>
      </c>
      <c r="L86" s="45">
        <v>0.57753392895019295</v>
      </c>
      <c r="M86" s="45">
        <v>0</v>
      </c>
      <c r="N86" s="45">
        <v>0</v>
      </c>
      <c r="O86" s="45" t="s">
        <v>215</v>
      </c>
      <c r="S86" s="30"/>
    </row>
    <row r="87" spans="1:20" ht="15.75" thickBot="1">
      <c r="B87" s="17">
        <v>24</v>
      </c>
      <c r="C87" s="45">
        <v>0</v>
      </c>
      <c r="D87" s="42">
        <v>0</v>
      </c>
      <c r="E87" s="45">
        <v>0</v>
      </c>
      <c r="F87" s="42">
        <v>0</v>
      </c>
      <c r="G87" s="45">
        <v>0</v>
      </c>
      <c r="H87" s="42">
        <v>0.91461867631970462</v>
      </c>
      <c r="I87" s="45">
        <v>0</v>
      </c>
      <c r="J87" s="42">
        <v>0</v>
      </c>
      <c r="K87" s="45">
        <v>0</v>
      </c>
      <c r="L87" s="42">
        <v>0.34958416122508951</v>
      </c>
      <c r="M87" s="45">
        <v>0</v>
      </c>
      <c r="N87" s="45">
        <v>0</v>
      </c>
      <c r="O87" s="45">
        <v>0</v>
      </c>
    </row>
    <row r="88" spans="1:20" ht="15.75" thickBot="1">
      <c r="B88" s="17">
        <v>25</v>
      </c>
      <c r="C88" s="45">
        <v>0</v>
      </c>
      <c r="D88" s="42">
        <v>0</v>
      </c>
      <c r="E88" s="45">
        <v>0</v>
      </c>
      <c r="F88" s="42">
        <v>0.3889349324634922</v>
      </c>
      <c r="G88" s="45">
        <v>0</v>
      </c>
      <c r="H88" s="42">
        <v>0</v>
      </c>
      <c r="I88" s="45">
        <v>0</v>
      </c>
      <c r="J88" s="42">
        <v>0</v>
      </c>
      <c r="K88" s="45">
        <v>0</v>
      </c>
      <c r="L88" s="42">
        <v>5.1234108828167764E-2</v>
      </c>
      <c r="M88" s="45">
        <v>0</v>
      </c>
      <c r="N88" s="45">
        <v>0</v>
      </c>
      <c r="O88" s="45">
        <v>0</v>
      </c>
    </row>
    <row r="89" spans="1:20" ht="15.75" thickBot="1">
      <c r="B89" s="17">
        <v>26</v>
      </c>
      <c r="C89" s="45">
        <v>0</v>
      </c>
      <c r="D89" s="42">
        <v>0</v>
      </c>
      <c r="E89" s="45">
        <v>0</v>
      </c>
      <c r="F89" s="42">
        <v>6.7500000000000004E-2</v>
      </c>
      <c r="G89" s="45">
        <v>0</v>
      </c>
      <c r="H89" s="42">
        <v>0.29483486861485103</v>
      </c>
      <c r="I89" s="45">
        <v>0</v>
      </c>
      <c r="J89" s="42">
        <v>0.30132918877620068</v>
      </c>
      <c r="K89" s="45">
        <v>0</v>
      </c>
      <c r="L89" s="42">
        <v>0.18314728112150008</v>
      </c>
      <c r="M89" s="45">
        <v>0</v>
      </c>
      <c r="N89" s="45">
        <v>0</v>
      </c>
      <c r="O89" s="45">
        <v>0</v>
      </c>
    </row>
    <row r="90" spans="1:20" ht="15.75" thickBot="1">
      <c r="B90" s="17">
        <v>27</v>
      </c>
      <c r="C90" s="45">
        <v>0</v>
      </c>
      <c r="D90" s="42">
        <v>0</v>
      </c>
      <c r="E90" s="45">
        <v>0</v>
      </c>
      <c r="F90" s="42">
        <v>0.15170706172953</v>
      </c>
      <c r="G90" s="45">
        <v>0</v>
      </c>
      <c r="H90" s="42">
        <v>0.30066928830586492</v>
      </c>
      <c r="I90" s="45">
        <v>0</v>
      </c>
      <c r="J90" s="42">
        <v>0</v>
      </c>
      <c r="K90" s="45">
        <v>0</v>
      </c>
      <c r="L90" s="42">
        <v>0.21607841706262376</v>
      </c>
      <c r="M90" s="45">
        <v>0</v>
      </c>
      <c r="N90" s="45">
        <v>0</v>
      </c>
      <c r="O90" s="45">
        <v>0</v>
      </c>
    </row>
    <row r="91" spans="1:20" ht="15.75" thickBot="1">
      <c r="B91" s="17">
        <v>28</v>
      </c>
      <c r="C91" s="45">
        <v>0</v>
      </c>
      <c r="D91" s="42">
        <v>0</v>
      </c>
      <c r="E91" s="45">
        <v>0</v>
      </c>
      <c r="F91" s="42">
        <v>0.44504732059930419</v>
      </c>
      <c r="G91" s="45">
        <v>1.8487039560912155</v>
      </c>
      <c r="H91" s="42">
        <v>0.69062412187327937</v>
      </c>
      <c r="I91" s="45">
        <v>1.7956493426558853</v>
      </c>
      <c r="J91" s="42">
        <v>0.51306167001138703</v>
      </c>
      <c r="K91" s="45">
        <v>0.91</v>
      </c>
      <c r="L91" s="42">
        <v>0.47989620742139305</v>
      </c>
      <c r="M91" s="45">
        <v>0</v>
      </c>
      <c r="N91" s="45">
        <v>0</v>
      </c>
      <c r="O91" s="45">
        <v>5.91</v>
      </c>
    </row>
    <row r="92" spans="1:20" ht="15.75" thickBot="1">
      <c r="B92" s="17">
        <v>29</v>
      </c>
      <c r="C92" s="45">
        <v>1.6862033469409377</v>
      </c>
      <c r="D92" s="42">
        <v>1.3534878023800936</v>
      </c>
      <c r="E92" s="45">
        <v>0</v>
      </c>
      <c r="F92" s="42">
        <v>0.91051896454903003</v>
      </c>
      <c r="G92" s="45">
        <v>2.1591237205314067</v>
      </c>
      <c r="H92" s="42">
        <v>2.0973925951242518</v>
      </c>
      <c r="I92" s="45">
        <v>0</v>
      </c>
      <c r="J92" s="42">
        <v>0.89014134649403398</v>
      </c>
      <c r="K92" s="45">
        <v>1.0148697371909978</v>
      </c>
      <c r="L92" s="42">
        <v>1.403575102869312</v>
      </c>
      <c r="M92" s="45">
        <v>2.254395112018309</v>
      </c>
      <c r="N92" s="45">
        <v>0</v>
      </c>
      <c r="O92" s="45">
        <v>0</v>
      </c>
    </row>
    <row r="93" spans="1:20" ht="15.75" thickBot="1">
      <c r="B93" s="17">
        <v>30</v>
      </c>
      <c r="C93" s="45">
        <v>0</v>
      </c>
      <c r="D93" s="42">
        <v>2.0979856552056728</v>
      </c>
      <c r="E93" s="45">
        <v>1.7043326641850971</v>
      </c>
      <c r="F93" s="42">
        <v>1.6097148230341611</v>
      </c>
      <c r="G93" s="45">
        <v>2.0822928148872561</v>
      </c>
      <c r="H93" s="42">
        <v>3.552923366306378</v>
      </c>
      <c r="I93" s="45">
        <v>0</v>
      </c>
      <c r="J93" s="42">
        <v>2.1928111694680927</v>
      </c>
      <c r="K93" s="45">
        <v>1.4856344109002806</v>
      </c>
      <c r="L93" s="42">
        <v>2.4617844697840252</v>
      </c>
      <c r="M93" s="45">
        <v>3.2570464669438932</v>
      </c>
      <c r="N93" s="45">
        <v>5.6485387067582469</v>
      </c>
      <c r="O93" s="45">
        <v>0</v>
      </c>
    </row>
    <row r="94" spans="1:20" ht="15.75" thickBot="1">
      <c r="B94" s="17">
        <v>31</v>
      </c>
      <c r="C94" s="45">
        <v>0</v>
      </c>
      <c r="D94" s="42">
        <v>3.1244305631899043</v>
      </c>
      <c r="E94" s="45">
        <v>0</v>
      </c>
      <c r="F94" s="42">
        <v>1.9359427005937422</v>
      </c>
      <c r="G94" s="45">
        <v>6.2010641939833002</v>
      </c>
      <c r="H94" s="42">
        <v>4.6827291630281422</v>
      </c>
      <c r="I94" s="45">
        <v>7.4150330831815321</v>
      </c>
      <c r="J94" s="42">
        <v>3.1291002064609281</v>
      </c>
      <c r="K94" s="45">
        <v>3.0934147393963873</v>
      </c>
      <c r="L94" s="42">
        <v>3.2867075500621601</v>
      </c>
      <c r="M94" s="45">
        <v>7.6949561148416592</v>
      </c>
      <c r="N94" s="45">
        <v>3.1797845753842751</v>
      </c>
      <c r="O94" s="45">
        <v>0</v>
      </c>
    </row>
    <row r="95" spans="1:20" ht="15.75" thickBot="1">
      <c r="B95" s="17">
        <v>32</v>
      </c>
      <c r="C95" s="45">
        <v>3.6579000000000002</v>
      </c>
      <c r="D95" s="42">
        <v>4.346229942910826</v>
      </c>
      <c r="E95" s="45">
        <v>0.57530000000000003</v>
      </c>
      <c r="F95" s="42">
        <v>4.7847882880306774</v>
      </c>
      <c r="G95" s="45">
        <v>1.9363999999999999</v>
      </c>
      <c r="H95" s="42">
        <v>7.165533557698156</v>
      </c>
      <c r="I95" s="45">
        <v>2.4973000000000001</v>
      </c>
      <c r="J95" s="42">
        <v>9.6349125641885038</v>
      </c>
      <c r="K95" s="45">
        <v>1.5831999999999999</v>
      </c>
      <c r="L95" s="42">
        <v>5.4625903114181167</v>
      </c>
      <c r="M95" s="45">
        <v>1.8512</v>
      </c>
      <c r="N95" s="45">
        <v>11.397</v>
      </c>
      <c r="O95" s="45">
        <v>0</v>
      </c>
    </row>
    <row r="96" spans="1:20" ht="15.75" thickBot="1">
      <c r="B96" s="17">
        <v>33</v>
      </c>
      <c r="C96" s="45">
        <v>4.1439036821123514</v>
      </c>
      <c r="D96" s="42">
        <v>6.5541977308328221</v>
      </c>
      <c r="E96" s="45">
        <v>4.5160313263990401</v>
      </c>
      <c r="F96" s="42">
        <v>6.6333651534209253</v>
      </c>
      <c r="G96" s="45">
        <v>3.7106891949964638</v>
      </c>
      <c r="H96" s="42">
        <v>9.723562285408585</v>
      </c>
      <c r="I96" s="45">
        <v>2.4914068194018282</v>
      </c>
      <c r="J96" s="42">
        <v>6.9502573599264679</v>
      </c>
      <c r="K96" s="45">
        <v>4.0392625883703568</v>
      </c>
      <c r="L96" s="42">
        <v>7.7215256518057034</v>
      </c>
      <c r="M96" s="45">
        <v>8.8579342210072234</v>
      </c>
      <c r="N96" s="45">
        <v>0</v>
      </c>
      <c r="O96" s="45">
        <v>0</v>
      </c>
    </row>
    <row r="97" spans="2:16" ht="15.75" thickBot="1">
      <c r="B97" s="17">
        <v>34</v>
      </c>
      <c r="C97" s="45">
        <v>3.3892904353981552</v>
      </c>
      <c r="D97" s="42">
        <v>8.1851769546008306</v>
      </c>
      <c r="E97" s="45">
        <v>2.6795367888567445</v>
      </c>
      <c r="F97" s="42">
        <v>4.1334061577386034</v>
      </c>
      <c r="G97" s="45">
        <v>4.5970157214357492</v>
      </c>
      <c r="H97" s="42">
        <v>10.737502922692824</v>
      </c>
      <c r="I97" s="45">
        <v>11.664783617504485</v>
      </c>
      <c r="J97" s="42">
        <v>9.7655387014895592</v>
      </c>
      <c r="K97" s="45">
        <v>4.4799632365374906</v>
      </c>
      <c r="L97" s="42">
        <v>7.5701154595413467</v>
      </c>
      <c r="M97" s="45">
        <v>4.8678206043626382</v>
      </c>
      <c r="N97" s="45">
        <v>0</v>
      </c>
      <c r="O97" s="45">
        <v>0</v>
      </c>
      <c r="P97" s="30"/>
    </row>
    <row r="98" spans="2:16" ht="15.75" thickBot="1">
      <c r="B98" s="17">
        <v>35</v>
      </c>
      <c r="C98" s="45">
        <v>4.9062574711212479</v>
      </c>
      <c r="D98" s="42">
        <v>9.6859173066162629</v>
      </c>
      <c r="E98" s="45">
        <v>8.3098756910528326</v>
      </c>
      <c r="F98" s="42">
        <v>5.6519388232886651</v>
      </c>
      <c r="G98" s="45">
        <v>13.61337196172634</v>
      </c>
      <c r="H98" s="42">
        <v>14.768558800677216</v>
      </c>
      <c r="I98" s="45">
        <v>18.743010849114167</v>
      </c>
      <c r="J98" s="42">
        <v>37.129605670330271</v>
      </c>
      <c r="K98" s="45">
        <v>11.915798568769866</v>
      </c>
      <c r="L98" s="42">
        <v>10.01966402965145</v>
      </c>
      <c r="M98" s="45">
        <v>12.933465868548048</v>
      </c>
      <c r="N98" s="45">
        <v>5.5981458914037461</v>
      </c>
      <c r="O98" s="45">
        <v>0</v>
      </c>
    </row>
    <row r="99" spans="2:16" ht="15.75" thickBot="1">
      <c r="B99" s="17">
        <v>36</v>
      </c>
      <c r="C99" s="45">
        <v>11.539122991679323</v>
      </c>
      <c r="D99" s="44">
        <v>6.278399121321284</v>
      </c>
      <c r="E99" s="45">
        <v>1.4345911780159533</v>
      </c>
      <c r="F99" s="44">
        <v>2.0573544680351628</v>
      </c>
      <c r="G99" s="45">
        <v>4.4975729280754004</v>
      </c>
      <c r="H99" s="44">
        <v>3.4139251927476031</v>
      </c>
      <c r="I99" s="45">
        <v>0</v>
      </c>
      <c r="J99" s="44">
        <v>7.3720476683723817</v>
      </c>
      <c r="K99" s="45">
        <v>3.1709019603748723</v>
      </c>
      <c r="L99" s="44">
        <v>2.7027420305663079</v>
      </c>
      <c r="M99" s="45">
        <v>5.8765740996246532</v>
      </c>
      <c r="N99" s="43" t="s">
        <v>215</v>
      </c>
      <c r="O99" s="45">
        <v>0</v>
      </c>
    </row>
    <row r="100" spans="2:16" ht="15.75" thickBot="1">
      <c r="B100" s="17">
        <v>37</v>
      </c>
      <c r="C100" s="45">
        <v>0</v>
      </c>
      <c r="D100" s="45">
        <v>4.4168490387932202</v>
      </c>
      <c r="E100" s="45">
        <v>3.1062412252469103</v>
      </c>
      <c r="F100" s="45">
        <v>3.0264252993957941</v>
      </c>
      <c r="G100" s="45">
        <v>2.076601883926223</v>
      </c>
      <c r="H100" s="45">
        <v>3.9303436400778473</v>
      </c>
      <c r="I100" s="45">
        <v>0</v>
      </c>
      <c r="J100" s="45">
        <v>0</v>
      </c>
      <c r="K100" s="45">
        <v>2.6468146334156435</v>
      </c>
      <c r="L100" s="45">
        <v>4.3017902457268162</v>
      </c>
      <c r="M100" s="43" t="s">
        <v>215</v>
      </c>
      <c r="N100" s="43" t="s">
        <v>215</v>
      </c>
      <c r="O100" s="45">
        <v>0</v>
      </c>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245"/>
  <sheetViews>
    <sheetView topLeftCell="F103" zoomScaleNormal="100" workbookViewId="0">
      <selection activeCell="R70" sqref="R70"/>
    </sheetView>
  </sheetViews>
  <sheetFormatPr defaultColWidth="8.85546875" defaultRowHeight="11.25"/>
  <cols>
    <col min="1" max="1" width="11.28515625" style="64" customWidth="1"/>
    <col min="2" max="2" width="14.42578125" style="35" customWidth="1"/>
    <col min="3" max="3" width="9.42578125" style="35" bestFit="1" customWidth="1"/>
    <col min="4" max="4" width="6.42578125" style="58" bestFit="1" customWidth="1"/>
    <col min="5" max="5" width="13" style="56"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61" customWidth="1"/>
    <col min="15" max="15" width="7.42578125" style="61" customWidth="1"/>
    <col min="16" max="16" width="7.140625" style="61" customWidth="1"/>
    <col min="17" max="17" width="11.140625" style="35" customWidth="1"/>
    <col min="18" max="18" width="10.7109375" style="35" customWidth="1"/>
    <col min="19" max="19" width="13.7109375" style="35" customWidth="1"/>
    <col min="20" max="245" width="9.140625" style="35"/>
    <col min="246" max="246" width="4.42578125" style="35" bestFit="1" customWidth="1"/>
    <col min="247" max="247" width="11.42578125" style="35" bestFit="1" customWidth="1"/>
    <col min="248" max="248" width="9.42578125" style="35" bestFit="1" customWidth="1"/>
    <col min="249" max="249" width="6.42578125" style="35" bestFit="1" customWidth="1"/>
    <col min="250" max="250" width="7.7109375" style="35" bestFit="1" customWidth="1"/>
    <col min="251" max="252" width="6.42578125" style="35" bestFit="1" customWidth="1"/>
    <col min="253" max="253" width="10" style="35" bestFit="1" customWidth="1"/>
    <col min="254" max="254" width="7.140625" style="35" customWidth="1"/>
    <col min="255" max="255" width="6.7109375" style="35" bestFit="1" customWidth="1"/>
    <col min="256" max="256" width="5.42578125" style="35" bestFit="1" customWidth="1"/>
    <col min="257" max="257" width="6.28515625" style="35" bestFit="1" customWidth="1"/>
    <col min="258" max="258" width="5.42578125" style="35" customWidth="1"/>
    <col min="259" max="259" width="6.7109375" style="35" customWidth="1"/>
    <col min="260" max="260" width="7.42578125" style="35" customWidth="1"/>
    <col min="261" max="261" width="7.140625" style="35" customWidth="1"/>
    <col min="262" max="262" width="9.28515625" style="35" customWidth="1"/>
    <col min="263" max="263" width="10.7109375" style="35" customWidth="1"/>
    <col min="264" max="264" width="9.140625" style="35" customWidth="1"/>
    <col min="265" max="501" width="9.140625" style="35"/>
    <col min="502" max="502" width="4.42578125" style="35" bestFit="1" customWidth="1"/>
    <col min="503" max="503" width="11.42578125" style="35" bestFit="1" customWidth="1"/>
    <col min="504" max="504" width="9.42578125" style="35" bestFit="1" customWidth="1"/>
    <col min="505" max="505" width="6.42578125" style="35" bestFit="1" customWidth="1"/>
    <col min="506" max="506" width="7.7109375" style="35" bestFit="1" customWidth="1"/>
    <col min="507" max="508" width="6.42578125" style="35" bestFit="1" customWidth="1"/>
    <col min="509" max="509" width="10" style="35" bestFit="1" customWidth="1"/>
    <col min="510" max="510" width="7.140625" style="35" customWidth="1"/>
    <col min="511" max="511" width="6.7109375" style="35" bestFit="1" customWidth="1"/>
    <col min="512" max="512" width="5.42578125" style="35" bestFit="1" customWidth="1"/>
    <col min="513" max="513" width="6.28515625" style="35" bestFit="1" customWidth="1"/>
    <col min="514" max="514" width="5.42578125" style="35" customWidth="1"/>
    <col min="515" max="515" width="6.7109375" style="35" customWidth="1"/>
    <col min="516" max="516" width="7.42578125" style="35" customWidth="1"/>
    <col min="517" max="517" width="7.140625" style="35" customWidth="1"/>
    <col min="518" max="518" width="9.28515625" style="35" customWidth="1"/>
    <col min="519" max="519" width="10.7109375" style="35" customWidth="1"/>
    <col min="520" max="520" width="9.140625" style="35" customWidth="1"/>
    <col min="521" max="757" width="9.140625" style="35"/>
    <col min="758" max="758" width="4.42578125" style="35" bestFit="1" customWidth="1"/>
    <col min="759" max="759" width="11.42578125" style="35" bestFit="1" customWidth="1"/>
    <col min="760" max="760" width="9.42578125" style="35" bestFit="1" customWidth="1"/>
    <col min="761" max="761" width="6.42578125" style="35" bestFit="1" customWidth="1"/>
    <col min="762" max="762" width="7.7109375" style="35" bestFit="1" customWidth="1"/>
    <col min="763" max="764" width="6.42578125" style="35" bestFit="1" customWidth="1"/>
    <col min="765" max="765" width="10" style="35" bestFit="1" customWidth="1"/>
    <col min="766" max="766" width="7.140625" style="35" customWidth="1"/>
    <col min="767" max="767" width="6.7109375" style="35" bestFit="1" customWidth="1"/>
    <col min="768" max="768" width="5.42578125" style="35" bestFit="1" customWidth="1"/>
    <col min="769" max="769" width="6.28515625" style="35" bestFit="1" customWidth="1"/>
    <col min="770" max="770" width="5.42578125" style="35" customWidth="1"/>
    <col min="771" max="771" width="6.7109375" style="35" customWidth="1"/>
    <col min="772" max="772" width="7.42578125" style="35" customWidth="1"/>
    <col min="773" max="773" width="7.140625" style="35" customWidth="1"/>
    <col min="774" max="774" width="9.28515625" style="35" customWidth="1"/>
    <col min="775" max="775" width="10.7109375" style="35" customWidth="1"/>
    <col min="776" max="776" width="9.140625" style="35" customWidth="1"/>
    <col min="777" max="1013" width="9.140625" style="35"/>
    <col min="1014" max="1014" width="4.42578125" style="35" bestFit="1" customWidth="1"/>
    <col min="1015" max="1015" width="11.42578125" style="35" bestFit="1" customWidth="1"/>
    <col min="1016" max="1016" width="9.42578125" style="35" bestFit="1" customWidth="1"/>
    <col min="1017" max="1017" width="6.42578125" style="35" bestFit="1" customWidth="1"/>
    <col min="1018" max="1018" width="7.7109375" style="35" bestFit="1" customWidth="1"/>
    <col min="1019" max="1020" width="6.42578125" style="35" bestFit="1" customWidth="1"/>
    <col min="1021" max="1021" width="10" style="35" bestFit="1" customWidth="1"/>
    <col min="1022" max="1022" width="7.140625" style="35" customWidth="1"/>
    <col min="1023" max="1023" width="6.7109375" style="35" bestFit="1" customWidth="1"/>
    <col min="1024" max="1024" width="5.42578125" style="35" bestFit="1" customWidth="1"/>
    <col min="1025" max="1025" width="6.28515625" style="35" bestFit="1" customWidth="1"/>
    <col min="1026" max="1026" width="5.42578125" style="35" customWidth="1"/>
    <col min="1027" max="1027" width="6.7109375" style="35" customWidth="1"/>
    <col min="1028" max="1028" width="7.42578125" style="35" customWidth="1"/>
    <col min="1029" max="1029" width="7.140625" style="35" customWidth="1"/>
    <col min="1030" max="1030" width="9.28515625" style="35" customWidth="1"/>
    <col min="1031" max="1031" width="10.7109375" style="35" customWidth="1"/>
    <col min="1032" max="1032" width="9.140625" style="35" customWidth="1"/>
    <col min="1033" max="1269" width="9.140625" style="35"/>
    <col min="1270" max="1270" width="4.42578125" style="35" bestFit="1" customWidth="1"/>
    <col min="1271" max="1271" width="11.42578125" style="35" bestFit="1" customWidth="1"/>
    <col min="1272" max="1272" width="9.42578125" style="35" bestFit="1" customWidth="1"/>
    <col min="1273" max="1273" width="6.42578125" style="35" bestFit="1" customWidth="1"/>
    <col min="1274" max="1274" width="7.7109375" style="35" bestFit="1" customWidth="1"/>
    <col min="1275" max="1276" width="6.42578125" style="35" bestFit="1" customWidth="1"/>
    <col min="1277" max="1277" width="10" style="35" bestFit="1" customWidth="1"/>
    <col min="1278" max="1278" width="7.140625" style="35" customWidth="1"/>
    <col min="1279" max="1279" width="6.7109375" style="35" bestFit="1" customWidth="1"/>
    <col min="1280" max="1280" width="5.42578125" style="35" bestFit="1" customWidth="1"/>
    <col min="1281" max="1281" width="6.28515625" style="35" bestFit="1" customWidth="1"/>
    <col min="1282" max="1282" width="5.42578125" style="35" customWidth="1"/>
    <col min="1283" max="1283" width="6.7109375" style="35" customWidth="1"/>
    <col min="1284" max="1284" width="7.42578125" style="35" customWidth="1"/>
    <col min="1285" max="1285" width="7.140625" style="35" customWidth="1"/>
    <col min="1286" max="1286" width="9.28515625" style="35" customWidth="1"/>
    <col min="1287" max="1287" width="10.7109375" style="35" customWidth="1"/>
    <col min="1288" max="1288" width="9.140625" style="35" customWidth="1"/>
    <col min="1289" max="1525" width="9.140625" style="35"/>
    <col min="1526" max="1526" width="4.42578125" style="35" bestFit="1" customWidth="1"/>
    <col min="1527" max="1527" width="11.42578125" style="35" bestFit="1" customWidth="1"/>
    <col min="1528" max="1528" width="9.42578125" style="35" bestFit="1" customWidth="1"/>
    <col min="1529" max="1529" width="6.42578125" style="35" bestFit="1" customWidth="1"/>
    <col min="1530" max="1530" width="7.7109375" style="35" bestFit="1" customWidth="1"/>
    <col min="1531" max="1532" width="6.42578125" style="35" bestFit="1" customWidth="1"/>
    <col min="1533" max="1533" width="10" style="35" bestFit="1" customWidth="1"/>
    <col min="1534" max="1534" width="7.140625" style="35" customWidth="1"/>
    <col min="1535" max="1535" width="6.7109375" style="35" bestFit="1" customWidth="1"/>
    <col min="1536" max="1536" width="5.42578125" style="35" bestFit="1" customWidth="1"/>
    <col min="1537" max="1537" width="6.28515625" style="35" bestFit="1" customWidth="1"/>
    <col min="1538" max="1538" width="5.42578125" style="35" customWidth="1"/>
    <col min="1539" max="1539" width="6.7109375" style="35" customWidth="1"/>
    <col min="1540" max="1540" width="7.42578125" style="35" customWidth="1"/>
    <col min="1541" max="1541" width="7.140625" style="35" customWidth="1"/>
    <col min="1542" max="1542" width="9.28515625" style="35" customWidth="1"/>
    <col min="1543" max="1543" width="10.7109375" style="35" customWidth="1"/>
    <col min="1544" max="1544" width="9.140625" style="35" customWidth="1"/>
    <col min="1545" max="1781" width="9.140625" style="35"/>
    <col min="1782" max="1782" width="4.42578125" style="35" bestFit="1" customWidth="1"/>
    <col min="1783" max="1783" width="11.42578125" style="35" bestFit="1" customWidth="1"/>
    <col min="1784" max="1784" width="9.42578125" style="35" bestFit="1" customWidth="1"/>
    <col min="1785" max="1785" width="6.42578125" style="35" bestFit="1" customWidth="1"/>
    <col min="1786" max="1786" width="7.7109375" style="35" bestFit="1" customWidth="1"/>
    <col min="1787" max="1788" width="6.42578125" style="35" bestFit="1" customWidth="1"/>
    <col min="1789" max="1789" width="10" style="35" bestFit="1" customWidth="1"/>
    <col min="1790" max="1790" width="7.140625" style="35" customWidth="1"/>
    <col min="1791" max="1791" width="6.7109375" style="35" bestFit="1" customWidth="1"/>
    <col min="1792" max="1792" width="5.42578125" style="35" bestFit="1" customWidth="1"/>
    <col min="1793" max="1793" width="6.28515625" style="35" bestFit="1" customWidth="1"/>
    <col min="1794" max="1794" width="5.42578125" style="35" customWidth="1"/>
    <col min="1795" max="1795" width="6.7109375" style="35" customWidth="1"/>
    <col min="1796" max="1796" width="7.42578125" style="35" customWidth="1"/>
    <col min="1797" max="1797" width="7.140625" style="35" customWidth="1"/>
    <col min="1798" max="1798" width="9.28515625" style="35" customWidth="1"/>
    <col min="1799" max="1799" width="10.7109375" style="35" customWidth="1"/>
    <col min="1800" max="1800" width="9.140625" style="35" customWidth="1"/>
    <col min="1801" max="2037" width="9.140625" style="35"/>
    <col min="2038" max="2038" width="4.42578125" style="35" bestFit="1" customWidth="1"/>
    <col min="2039" max="2039" width="11.42578125" style="35" bestFit="1" customWidth="1"/>
    <col min="2040" max="2040" width="9.42578125" style="35" bestFit="1" customWidth="1"/>
    <col min="2041" max="2041" width="6.42578125" style="35" bestFit="1" customWidth="1"/>
    <col min="2042" max="2042" width="7.7109375" style="35" bestFit="1" customWidth="1"/>
    <col min="2043" max="2044" width="6.42578125" style="35" bestFit="1" customWidth="1"/>
    <col min="2045" max="2045" width="10" style="35" bestFit="1" customWidth="1"/>
    <col min="2046" max="2046" width="7.140625" style="35" customWidth="1"/>
    <col min="2047" max="2047" width="6.7109375" style="35" bestFit="1" customWidth="1"/>
    <col min="2048" max="2048" width="5.42578125" style="35" bestFit="1" customWidth="1"/>
    <col min="2049" max="2049" width="6.28515625" style="35" bestFit="1" customWidth="1"/>
    <col min="2050" max="2050" width="5.42578125" style="35" customWidth="1"/>
    <col min="2051" max="2051" width="6.7109375" style="35" customWidth="1"/>
    <col min="2052" max="2052" width="7.42578125" style="35" customWidth="1"/>
    <col min="2053" max="2053" width="7.140625" style="35" customWidth="1"/>
    <col min="2054" max="2054" width="9.28515625" style="35" customWidth="1"/>
    <col min="2055" max="2055" width="10.7109375" style="35" customWidth="1"/>
    <col min="2056" max="2056" width="9.140625" style="35" customWidth="1"/>
    <col min="2057" max="2293" width="9.140625" style="35"/>
    <col min="2294" max="2294" width="4.42578125" style="35" bestFit="1" customWidth="1"/>
    <col min="2295" max="2295" width="11.42578125" style="35" bestFit="1" customWidth="1"/>
    <col min="2296" max="2296" width="9.42578125" style="35" bestFit="1" customWidth="1"/>
    <col min="2297" max="2297" width="6.42578125" style="35" bestFit="1" customWidth="1"/>
    <col min="2298" max="2298" width="7.7109375" style="35" bestFit="1" customWidth="1"/>
    <col min="2299" max="2300" width="6.42578125" style="35" bestFit="1" customWidth="1"/>
    <col min="2301" max="2301" width="10" style="35" bestFit="1" customWidth="1"/>
    <col min="2302" max="2302" width="7.140625" style="35" customWidth="1"/>
    <col min="2303" max="2303" width="6.7109375" style="35" bestFit="1" customWidth="1"/>
    <col min="2304" max="2304" width="5.42578125" style="35" bestFit="1" customWidth="1"/>
    <col min="2305" max="2305" width="6.28515625" style="35" bestFit="1" customWidth="1"/>
    <col min="2306" max="2306" width="5.42578125" style="35" customWidth="1"/>
    <col min="2307" max="2307" width="6.7109375" style="35" customWidth="1"/>
    <col min="2308" max="2308" width="7.42578125" style="35" customWidth="1"/>
    <col min="2309" max="2309" width="7.140625" style="35" customWidth="1"/>
    <col min="2310" max="2310" width="9.28515625" style="35" customWidth="1"/>
    <col min="2311" max="2311" width="10.7109375" style="35" customWidth="1"/>
    <col min="2312" max="2312" width="9.140625" style="35" customWidth="1"/>
    <col min="2313" max="2549" width="9.140625" style="35"/>
    <col min="2550" max="2550" width="4.42578125" style="35" bestFit="1" customWidth="1"/>
    <col min="2551" max="2551" width="11.42578125" style="35" bestFit="1" customWidth="1"/>
    <col min="2552" max="2552" width="9.42578125" style="35" bestFit="1" customWidth="1"/>
    <col min="2553" max="2553" width="6.42578125" style="35" bestFit="1" customWidth="1"/>
    <col min="2554" max="2554" width="7.7109375" style="35" bestFit="1" customWidth="1"/>
    <col min="2555" max="2556" width="6.42578125" style="35" bestFit="1" customWidth="1"/>
    <col min="2557" max="2557" width="10" style="35" bestFit="1" customWidth="1"/>
    <col min="2558" max="2558" width="7.140625" style="35" customWidth="1"/>
    <col min="2559" max="2559" width="6.7109375" style="35" bestFit="1" customWidth="1"/>
    <col min="2560" max="2560" width="5.42578125" style="35" bestFit="1" customWidth="1"/>
    <col min="2561" max="2561" width="6.28515625" style="35" bestFit="1" customWidth="1"/>
    <col min="2562" max="2562" width="5.42578125" style="35" customWidth="1"/>
    <col min="2563" max="2563" width="6.7109375" style="35" customWidth="1"/>
    <col min="2564" max="2564" width="7.42578125" style="35" customWidth="1"/>
    <col min="2565" max="2565" width="7.140625" style="35" customWidth="1"/>
    <col min="2566" max="2566" width="9.28515625" style="35" customWidth="1"/>
    <col min="2567" max="2567" width="10.7109375" style="35" customWidth="1"/>
    <col min="2568" max="2568" width="9.140625" style="35" customWidth="1"/>
    <col min="2569" max="2805" width="9.140625" style="35"/>
    <col min="2806" max="2806" width="4.42578125" style="35" bestFit="1" customWidth="1"/>
    <col min="2807" max="2807" width="11.42578125" style="35" bestFit="1" customWidth="1"/>
    <col min="2808" max="2808" width="9.42578125" style="35" bestFit="1" customWidth="1"/>
    <col min="2809" max="2809" width="6.42578125" style="35" bestFit="1" customWidth="1"/>
    <col min="2810" max="2810" width="7.7109375" style="35" bestFit="1" customWidth="1"/>
    <col min="2811" max="2812" width="6.42578125" style="35" bestFit="1" customWidth="1"/>
    <col min="2813" max="2813" width="10" style="35" bestFit="1" customWidth="1"/>
    <col min="2814" max="2814" width="7.140625" style="35" customWidth="1"/>
    <col min="2815" max="2815" width="6.7109375" style="35" bestFit="1" customWidth="1"/>
    <col min="2816" max="2816" width="5.42578125" style="35" bestFit="1" customWidth="1"/>
    <col min="2817" max="2817" width="6.28515625" style="35" bestFit="1" customWidth="1"/>
    <col min="2818" max="2818" width="5.42578125" style="35" customWidth="1"/>
    <col min="2819" max="2819" width="6.7109375" style="35" customWidth="1"/>
    <col min="2820" max="2820" width="7.42578125" style="35" customWidth="1"/>
    <col min="2821" max="2821" width="7.140625" style="35" customWidth="1"/>
    <col min="2822" max="2822" width="9.28515625" style="35" customWidth="1"/>
    <col min="2823" max="2823" width="10.7109375" style="35" customWidth="1"/>
    <col min="2824" max="2824" width="9.140625" style="35" customWidth="1"/>
    <col min="2825" max="3061" width="9.140625" style="35"/>
    <col min="3062" max="3062" width="4.42578125" style="35" bestFit="1" customWidth="1"/>
    <col min="3063" max="3063" width="11.42578125" style="35" bestFit="1" customWidth="1"/>
    <col min="3064" max="3064" width="9.42578125" style="35" bestFit="1" customWidth="1"/>
    <col min="3065" max="3065" width="6.42578125" style="35" bestFit="1" customWidth="1"/>
    <col min="3066" max="3066" width="7.7109375" style="35" bestFit="1" customWidth="1"/>
    <col min="3067" max="3068" width="6.42578125" style="35" bestFit="1" customWidth="1"/>
    <col min="3069" max="3069" width="10" style="35" bestFit="1" customWidth="1"/>
    <col min="3070" max="3070" width="7.140625" style="35" customWidth="1"/>
    <col min="3071" max="3071" width="6.7109375" style="35" bestFit="1" customWidth="1"/>
    <col min="3072" max="3072" width="5.42578125" style="35" bestFit="1" customWidth="1"/>
    <col min="3073" max="3073" width="6.28515625" style="35" bestFit="1" customWidth="1"/>
    <col min="3074" max="3074" width="5.42578125" style="35" customWidth="1"/>
    <col min="3075" max="3075" width="6.7109375" style="35" customWidth="1"/>
    <col min="3076" max="3076" width="7.42578125" style="35" customWidth="1"/>
    <col min="3077" max="3077" width="7.140625" style="35" customWidth="1"/>
    <col min="3078" max="3078" width="9.28515625" style="35" customWidth="1"/>
    <col min="3079" max="3079" width="10.7109375" style="35" customWidth="1"/>
    <col min="3080" max="3080" width="9.140625" style="35" customWidth="1"/>
    <col min="3081" max="3317" width="9.140625" style="35"/>
    <col min="3318" max="3318" width="4.42578125" style="35" bestFit="1" customWidth="1"/>
    <col min="3319" max="3319" width="11.42578125" style="35" bestFit="1" customWidth="1"/>
    <col min="3320" max="3320" width="9.42578125" style="35" bestFit="1" customWidth="1"/>
    <col min="3321" max="3321" width="6.42578125" style="35" bestFit="1" customWidth="1"/>
    <col min="3322" max="3322" width="7.7109375" style="35" bestFit="1" customWidth="1"/>
    <col min="3323" max="3324" width="6.42578125" style="35" bestFit="1" customWidth="1"/>
    <col min="3325" max="3325" width="10" style="35" bestFit="1" customWidth="1"/>
    <col min="3326" max="3326" width="7.140625" style="35" customWidth="1"/>
    <col min="3327" max="3327" width="6.7109375" style="35" bestFit="1" customWidth="1"/>
    <col min="3328" max="3328" width="5.42578125" style="35" bestFit="1" customWidth="1"/>
    <col min="3329" max="3329" width="6.28515625" style="35" bestFit="1" customWidth="1"/>
    <col min="3330" max="3330" width="5.42578125" style="35" customWidth="1"/>
    <col min="3331" max="3331" width="6.7109375" style="35" customWidth="1"/>
    <col min="3332" max="3332" width="7.42578125" style="35" customWidth="1"/>
    <col min="3333" max="3333" width="7.140625" style="35" customWidth="1"/>
    <col min="3334" max="3334" width="9.28515625" style="35" customWidth="1"/>
    <col min="3335" max="3335" width="10.7109375" style="35" customWidth="1"/>
    <col min="3336" max="3336" width="9.140625" style="35" customWidth="1"/>
    <col min="3337" max="3573" width="9.140625" style="35"/>
    <col min="3574" max="3574" width="4.42578125" style="35" bestFit="1" customWidth="1"/>
    <col min="3575" max="3575" width="11.42578125" style="35" bestFit="1" customWidth="1"/>
    <col min="3576" max="3576" width="9.42578125" style="35" bestFit="1" customWidth="1"/>
    <col min="3577" max="3577" width="6.42578125" style="35" bestFit="1" customWidth="1"/>
    <col min="3578" max="3578" width="7.7109375" style="35" bestFit="1" customWidth="1"/>
    <col min="3579" max="3580" width="6.42578125" style="35" bestFit="1" customWidth="1"/>
    <col min="3581" max="3581" width="10" style="35" bestFit="1" customWidth="1"/>
    <col min="3582" max="3582" width="7.140625" style="35" customWidth="1"/>
    <col min="3583" max="3583" width="6.7109375" style="35" bestFit="1" customWidth="1"/>
    <col min="3584" max="3584" width="5.42578125" style="35" bestFit="1" customWidth="1"/>
    <col min="3585" max="3585" width="6.28515625" style="35" bestFit="1" customWidth="1"/>
    <col min="3586" max="3586" width="5.42578125" style="35" customWidth="1"/>
    <col min="3587" max="3587" width="6.7109375" style="35" customWidth="1"/>
    <col min="3588" max="3588" width="7.42578125" style="35" customWidth="1"/>
    <col min="3589" max="3589" width="7.140625" style="35" customWidth="1"/>
    <col min="3590" max="3590" width="9.28515625" style="35" customWidth="1"/>
    <col min="3591" max="3591" width="10.7109375" style="35" customWidth="1"/>
    <col min="3592" max="3592" width="9.140625" style="35" customWidth="1"/>
    <col min="3593" max="3829" width="9.140625" style="35"/>
    <col min="3830" max="3830" width="4.42578125" style="35" bestFit="1" customWidth="1"/>
    <col min="3831" max="3831" width="11.42578125" style="35" bestFit="1" customWidth="1"/>
    <col min="3832" max="3832" width="9.42578125" style="35" bestFit="1" customWidth="1"/>
    <col min="3833" max="3833" width="6.42578125" style="35" bestFit="1" customWidth="1"/>
    <col min="3834" max="3834" width="7.7109375" style="35" bestFit="1" customWidth="1"/>
    <col min="3835" max="3836" width="6.42578125" style="35" bestFit="1" customWidth="1"/>
    <col min="3837" max="3837" width="10" style="35" bestFit="1" customWidth="1"/>
    <col min="3838" max="3838" width="7.140625" style="35" customWidth="1"/>
    <col min="3839" max="3839" width="6.7109375" style="35" bestFit="1" customWidth="1"/>
    <col min="3840" max="3840" width="5.42578125" style="35" bestFit="1" customWidth="1"/>
    <col min="3841" max="3841" width="6.28515625" style="35" bestFit="1" customWidth="1"/>
    <col min="3842" max="3842" width="5.42578125" style="35" customWidth="1"/>
    <col min="3843" max="3843" width="6.7109375" style="35" customWidth="1"/>
    <col min="3844" max="3844" width="7.42578125" style="35" customWidth="1"/>
    <col min="3845" max="3845" width="7.140625" style="35" customWidth="1"/>
    <col min="3846" max="3846" width="9.28515625" style="35" customWidth="1"/>
    <col min="3847" max="3847" width="10.7109375" style="35" customWidth="1"/>
    <col min="3848" max="3848" width="9.140625" style="35" customWidth="1"/>
    <col min="3849" max="4085" width="9.140625" style="35"/>
    <col min="4086" max="4086" width="4.42578125" style="35" bestFit="1" customWidth="1"/>
    <col min="4087" max="4087" width="11.42578125" style="35" bestFit="1" customWidth="1"/>
    <col min="4088" max="4088" width="9.42578125" style="35" bestFit="1" customWidth="1"/>
    <col min="4089" max="4089" width="6.42578125" style="35" bestFit="1" customWidth="1"/>
    <col min="4090" max="4090" width="7.7109375" style="35" bestFit="1" customWidth="1"/>
    <col min="4091" max="4092" width="6.42578125" style="35" bestFit="1" customWidth="1"/>
    <col min="4093" max="4093" width="10" style="35" bestFit="1" customWidth="1"/>
    <col min="4094" max="4094" width="7.140625" style="35" customWidth="1"/>
    <col min="4095" max="4095" width="6.7109375" style="35" bestFit="1" customWidth="1"/>
    <col min="4096" max="4096" width="5.42578125" style="35" bestFit="1" customWidth="1"/>
    <col min="4097" max="4097" width="6.28515625" style="35" bestFit="1" customWidth="1"/>
    <col min="4098" max="4098" width="5.42578125" style="35" customWidth="1"/>
    <col min="4099" max="4099" width="6.7109375" style="35" customWidth="1"/>
    <col min="4100" max="4100" width="7.42578125" style="35" customWidth="1"/>
    <col min="4101" max="4101" width="7.140625" style="35" customWidth="1"/>
    <col min="4102" max="4102" width="9.28515625" style="35" customWidth="1"/>
    <col min="4103" max="4103" width="10.7109375" style="35" customWidth="1"/>
    <col min="4104" max="4104" width="9.140625" style="35" customWidth="1"/>
    <col min="4105" max="4341" width="9.140625" style="35"/>
    <col min="4342" max="4342" width="4.42578125" style="35" bestFit="1" customWidth="1"/>
    <col min="4343" max="4343" width="11.42578125" style="35" bestFit="1" customWidth="1"/>
    <col min="4344" max="4344" width="9.42578125" style="35" bestFit="1" customWidth="1"/>
    <col min="4345" max="4345" width="6.42578125" style="35" bestFit="1" customWidth="1"/>
    <col min="4346" max="4346" width="7.7109375" style="35" bestFit="1" customWidth="1"/>
    <col min="4347" max="4348" width="6.42578125" style="35" bestFit="1" customWidth="1"/>
    <col min="4349" max="4349" width="10" style="35" bestFit="1" customWidth="1"/>
    <col min="4350" max="4350" width="7.140625" style="35" customWidth="1"/>
    <col min="4351" max="4351" width="6.7109375" style="35" bestFit="1" customWidth="1"/>
    <col min="4352" max="4352" width="5.42578125" style="35" bestFit="1" customWidth="1"/>
    <col min="4353" max="4353" width="6.28515625" style="35" bestFit="1" customWidth="1"/>
    <col min="4354" max="4354" width="5.42578125" style="35" customWidth="1"/>
    <col min="4355" max="4355" width="6.7109375" style="35" customWidth="1"/>
    <col min="4356" max="4356" width="7.42578125" style="35" customWidth="1"/>
    <col min="4357" max="4357" width="7.140625" style="35" customWidth="1"/>
    <col min="4358" max="4358" width="9.28515625" style="35" customWidth="1"/>
    <col min="4359" max="4359" width="10.7109375" style="35" customWidth="1"/>
    <col min="4360" max="4360" width="9.140625" style="35" customWidth="1"/>
    <col min="4361" max="4597" width="9.140625" style="35"/>
    <col min="4598" max="4598" width="4.42578125" style="35" bestFit="1" customWidth="1"/>
    <col min="4599" max="4599" width="11.42578125" style="35" bestFit="1" customWidth="1"/>
    <col min="4600" max="4600" width="9.42578125" style="35" bestFit="1" customWidth="1"/>
    <col min="4601" max="4601" width="6.42578125" style="35" bestFit="1" customWidth="1"/>
    <col min="4602" max="4602" width="7.7109375" style="35" bestFit="1" customWidth="1"/>
    <col min="4603" max="4604" width="6.42578125" style="35" bestFit="1" customWidth="1"/>
    <col min="4605" max="4605" width="10" style="35" bestFit="1" customWidth="1"/>
    <col min="4606" max="4606" width="7.140625" style="35" customWidth="1"/>
    <col min="4607" max="4607" width="6.7109375" style="35" bestFit="1" customWidth="1"/>
    <col min="4608" max="4608" width="5.42578125" style="35" bestFit="1" customWidth="1"/>
    <col min="4609" max="4609" width="6.28515625" style="35" bestFit="1" customWidth="1"/>
    <col min="4610" max="4610" width="5.42578125" style="35" customWidth="1"/>
    <col min="4611" max="4611" width="6.7109375" style="35" customWidth="1"/>
    <col min="4612" max="4612" width="7.42578125" style="35" customWidth="1"/>
    <col min="4613" max="4613" width="7.140625" style="35" customWidth="1"/>
    <col min="4614" max="4614" width="9.28515625" style="35" customWidth="1"/>
    <col min="4615" max="4615" width="10.7109375" style="35" customWidth="1"/>
    <col min="4616" max="4616" width="9.140625" style="35" customWidth="1"/>
    <col min="4617" max="4853" width="9.140625" style="35"/>
    <col min="4854" max="4854" width="4.42578125" style="35" bestFit="1" customWidth="1"/>
    <col min="4855" max="4855" width="11.42578125" style="35" bestFit="1" customWidth="1"/>
    <col min="4856" max="4856" width="9.42578125" style="35" bestFit="1" customWidth="1"/>
    <col min="4857" max="4857" width="6.42578125" style="35" bestFit="1" customWidth="1"/>
    <col min="4858" max="4858" width="7.7109375" style="35" bestFit="1" customWidth="1"/>
    <col min="4859" max="4860" width="6.42578125" style="35" bestFit="1" customWidth="1"/>
    <col min="4861" max="4861" width="10" style="35" bestFit="1" customWidth="1"/>
    <col min="4862" max="4862" width="7.140625" style="35" customWidth="1"/>
    <col min="4863" max="4863" width="6.7109375" style="35" bestFit="1" customWidth="1"/>
    <col min="4864" max="4864" width="5.42578125" style="35" bestFit="1" customWidth="1"/>
    <col min="4865" max="4865" width="6.28515625" style="35" bestFit="1" customWidth="1"/>
    <col min="4866" max="4866" width="5.42578125" style="35" customWidth="1"/>
    <col min="4867" max="4867" width="6.7109375" style="35" customWidth="1"/>
    <col min="4868" max="4868" width="7.42578125" style="35" customWidth="1"/>
    <col min="4869" max="4869" width="7.140625" style="35" customWidth="1"/>
    <col min="4870" max="4870" width="9.28515625" style="35" customWidth="1"/>
    <col min="4871" max="4871" width="10.7109375" style="35" customWidth="1"/>
    <col min="4872" max="4872" width="9.140625" style="35" customWidth="1"/>
    <col min="4873" max="5109" width="9.140625" style="35"/>
    <col min="5110" max="5110" width="4.42578125" style="35" bestFit="1" customWidth="1"/>
    <col min="5111" max="5111" width="11.42578125" style="35" bestFit="1" customWidth="1"/>
    <col min="5112" max="5112" width="9.42578125" style="35" bestFit="1" customWidth="1"/>
    <col min="5113" max="5113" width="6.42578125" style="35" bestFit="1" customWidth="1"/>
    <col min="5114" max="5114" width="7.7109375" style="35" bestFit="1" customWidth="1"/>
    <col min="5115" max="5116" width="6.42578125" style="35" bestFit="1" customWidth="1"/>
    <col min="5117" max="5117" width="10" style="35" bestFit="1" customWidth="1"/>
    <col min="5118" max="5118" width="7.140625" style="35" customWidth="1"/>
    <col min="5119" max="5119" width="6.7109375" style="35" bestFit="1" customWidth="1"/>
    <col min="5120" max="5120" width="5.42578125" style="35" bestFit="1" customWidth="1"/>
    <col min="5121" max="5121" width="6.28515625" style="35" bestFit="1" customWidth="1"/>
    <col min="5122" max="5122" width="5.42578125" style="35" customWidth="1"/>
    <col min="5123" max="5123" width="6.7109375" style="35" customWidth="1"/>
    <col min="5124" max="5124" width="7.42578125" style="35" customWidth="1"/>
    <col min="5125" max="5125" width="7.140625" style="35" customWidth="1"/>
    <col min="5126" max="5126" width="9.28515625" style="35" customWidth="1"/>
    <col min="5127" max="5127" width="10.7109375" style="35" customWidth="1"/>
    <col min="5128" max="5128" width="9.140625" style="35" customWidth="1"/>
    <col min="5129" max="5365" width="9.140625" style="35"/>
    <col min="5366" max="5366" width="4.42578125" style="35" bestFit="1" customWidth="1"/>
    <col min="5367" max="5367" width="11.42578125" style="35" bestFit="1" customWidth="1"/>
    <col min="5368" max="5368" width="9.42578125" style="35" bestFit="1" customWidth="1"/>
    <col min="5369" max="5369" width="6.42578125" style="35" bestFit="1" customWidth="1"/>
    <col min="5370" max="5370" width="7.7109375" style="35" bestFit="1" customWidth="1"/>
    <col min="5371" max="5372" width="6.42578125" style="35" bestFit="1" customWidth="1"/>
    <col min="5373" max="5373" width="10" style="35" bestFit="1" customWidth="1"/>
    <col min="5374" max="5374" width="7.140625" style="35" customWidth="1"/>
    <col min="5375" max="5375" width="6.7109375" style="35" bestFit="1" customWidth="1"/>
    <col min="5376" max="5376" width="5.42578125" style="35" bestFit="1" customWidth="1"/>
    <col min="5377" max="5377" width="6.28515625" style="35" bestFit="1" customWidth="1"/>
    <col min="5378" max="5378" width="5.42578125" style="35" customWidth="1"/>
    <col min="5379" max="5379" width="6.7109375" style="35" customWidth="1"/>
    <col min="5380" max="5380" width="7.42578125" style="35" customWidth="1"/>
    <col min="5381" max="5381" width="7.140625" style="35" customWidth="1"/>
    <col min="5382" max="5382" width="9.28515625" style="35" customWidth="1"/>
    <col min="5383" max="5383" width="10.7109375" style="35" customWidth="1"/>
    <col min="5384" max="5384" width="9.140625" style="35" customWidth="1"/>
    <col min="5385" max="5621" width="9.140625" style="35"/>
    <col min="5622" max="5622" width="4.42578125" style="35" bestFit="1" customWidth="1"/>
    <col min="5623" max="5623" width="11.42578125" style="35" bestFit="1" customWidth="1"/>
    <col min="5624" max="5624" width="9.42578125" style="35" bestFit="1" customWidth="1"/>
    <col min="5625" max="5625" width="6.42578125" style="35" bestFit="1" customWidth="1"/>
    <col min="5626" max="5626" width="7.7109375" style="35" bestFit="1" customWidth="1"/>
    <col min="5627" max="5628" width="6.42578125" style="35" bestFit="1" customWidth="1"/>
    <col min="5629" max="5629" width="10" style="35" bestFit="1" customWidth="1"/>
    <col min="5630" max="5630" width="7.140625" style="35" customWidth="1"/>
    <col min="5631" max="5631" width="6.7109375" style="35" bestFit="1" customWidth="1"/>
    <col min="5632" max="5632" width="5.42578125" style="35" bestFit="1" customWidth="1"/>
    <col min="5633" max="5633" width="6.28515625" style="35" bestFit="1" customWidth="1"/>
    <col min="5634" max="5634" width="5.42578125" style="35" customWidth="1"/>
    <col min="5635" max="5635" width="6.7109375" style="35" customWidth="1"/>
    <col min="5636" max="5636" width="7.42578125" style="35" customWidth="1"/>
    <col min="5637" max="5637" width="7.140625" style="35" customWidth="1"/>
    <col min="5638" max="5638" width="9.28515625" style="35" customWidth="1"/>
    <col min="5639" max="5639" width="10.7109375" style="35" customWidth="1"/>
    <col min="5640" max="5640" width="9.140625" style="35" customWidth="1"/>
    <col min="5641" max="5877" width="9.140625" style="35"/>
    <col min="5878" max="5878" width="4.42578125" style="35" bestFit="1" customWidth="1"/>
    <col min="5879" max="5879" width="11.42578125" style="35" bestFit="1" customWidth="1"/>
    <col min="5880" max="5880" width="9.42578125" style="35" bestFit="1" customWidth="1"/>
    <col min="5881" max="5881" width="6.42578125" style="35" bestFit="1" customWidth="1"/>
    <col min="5882" max="5882" width="7.7109375" style="35" bestFit="1" customWidth="1"/>
    <col min="5883" max="5884" width="6.42578125" style="35" bestFit="1" customWidth="1"/>
    <col min="5885" max="5885" width="10" style="35" bestFit="1" customWidth="1"/>
    <col min="5886" max="5886" width="7.140625" style="35" customWidth="1"/>
    <col min="5887" max="5887" width="6.7109375" style="35" bestFit="1" customWidth="1"/>
    <col min="5888" max="5888" width="5.42578125" style="35" bestFit="1" customWidth="1"/>
    <col min="5889" max="5889" width="6.28515625" style="35" bestFit="1" customWidth="1"/>
    <col min="5890" max="5890" width="5.42578125" style="35" customWidth="1"/>
    <col min="5891" max="5891" width="6.7109375" style="35" customWidth="1"/>
    <col min="5892" max="5892" width="7.42578125" style="35" customWidth="1"/>
    <col min="5893" max="5893" width="7.140625" style="35" customWidth="1"/>
    <col min="5894" max="5894" width="9.28515625" style="35" customWidth="1"/>
    <col min="5895" max="5895" width="10.7109375" style="35" customWidth="1"/>
    <col min="5896" max="5896" width="9.140625" style="35" customWidth="1"/>
    <col min="5897" max="6133" width="9.140625" style="35"/>
    <col min="6134" max="6134" width="4.42578125" style="35" bestFit="1" customWidth="1"/>
    <col min="6135" max="6135" width="11.42578125" style="35" bestFit="1" customWidth="1"/>
    <col min="6136" max="6136" width="9.42578125" style="35" bestFit="1" customWidth="1"/>
    <col min="6137" max="6137" width="6.42578125" style="35" bestFit="1" customWidth="1"/>
    <col min="6138" max="6138" width="7.7109375" style="35" bestFit="1" customWidth="1"/>
    <col min="6139" max="6140" width="6.42578125" style="35" bestFit="1" customWidth="1"/>
    <col min="6141" max="6141" width="10" style="35" bestFit="1" customWidth="1"/>
    <col min="6142" max="6142" width="7.140625" style="35" customWidth="1"/>
    <col min="6143" max="6143" width="6.7109375" style="35" bestFit="1" customWidth="1"/>
    <col min="6144" max="6144" width="5.42578125" style="35" bestFit="1" customWidth="1"/>
    <col min="6145" max="6145" width="6.28515625" style="35" bestFit="1" customWidth="1"/>
    <col min="6146" max="6146" width="5.42578125" style="35" customWidth="1"/>
    <col min="6147" max="6147" width="6.7109375" style="35" customWidth="1"/>
    <col min="6148" max="6148" width="7.42578125" style="35" customWidth="1"/>
    <col min="6149" max="6149" width="7.140625" style="35" customWidth="1"/>
    <col min="6150" max="6150" width="9.28515625" style="35" customWidth="1"/>
    <col min="6151" max="6151" width="10.7109375" style="35" customWidth="1"/>
    <col min="6152" max="6152" width="9.140625" style="35" customWidth="1"/>
    <col min="6153" max="6389" width="9.140625" style="35"/>
    <col min="6390" max="6390" width="4.42578125" style="35" bestFit="1" customWidth="1"/>
    <col min="6391" max="6391" width="11.42578125" style="35" bestFit="1" customWidth="1"/>
    <col min="6392" max="6392" width="9.42578125" style="35" bestFit="1" customWidth="1"/>
    <col min="6393" max="6393" width="6.42578125" style="35" bestFit="1" customWidth="1"/>
    <col min="6394" max="6394" width="7.7109375" style="35" bestFit="1" customWidth="1"/>
    <col min="6395" max="6396" width="6.42578125" style="35" bestFit="1" customWidth="1"/>
    <col min="6397" max="6397" width="10" style="35" bestFit="1" customWidth="1"/>
    <col min="6398" max="6398" width="7.140625" style="35" customWidth="1"/>
    <col min="6399" max="6399" width="6.7109375" style="35" bestFit="1" customWidth="1"/>
    <col min="6400" max="6400" width="5.42578125" style="35" bestFit="1" customWidth="1"/>
    <col min="6401" max="6401" width="6.28515625" style="35" bestFit="1" customWidth="1"/>
    <col min="6402" max="6402" width="5.42578125" style="35" customWidth="1"/>
    <col min="6403" max="6403" width="6.7109375" style="35" customWidth="1"/>
    <col min="6404" max="6404" width="7.42578125" style="35" customWidth="1"/>
    <col min="6405" max="6405" width="7.140625" style="35" customWidth="1"/>
    <col min="6406" max="6406" width="9.28515625" style="35" customWidth="1"/>
    <col min="6407" max="6407" width="10.7109375" style="35" customWidth="1"/>
    <col min="6408" max="6408" width="9.140625" style="35" customWidth="1"/>
    <col min="6409" max="6645" width="9.140625" style="35"/>
    <col min="6646" max="6646" width="4.42578125" style="35" bestFit="1" customWidth="1"/>
    <col min="6647" max="6647" width="11.42578125" style="35" bestFit="1" customWidth="1"/>
    <col min="6648" max="6648" width="9.42578125" style="35" bestFit="1" customWidth="1"/>
    <col min="6649" max="6649" width="6.42578125" style="35" bestFit="1" customWidth="1"/>
    <col min="6650" max="6650" width="7.7109375" style="35" bestFit="1" customWidth="1"/>
    <col min="6651" max="6652" width="6.42578125" style="35" bestFit="1" customWidth="1"/>
    <col min="6653" max="6653" width="10" style="35" bestFit="1" customWidth="1"/>
    <col min="6654" max="6654" width="7.140625" style="35" customWidth="1"/>
    <col min="6655" max="6655" width="6.7109375" style="35" bestFit="1" customWidth="1"/>
    <col min="6656" max="6656" width="5.42578125" style="35" bestFit="1" customWidth="1"/>
    <col min="6657" max="6657" width="6.28515625" style="35" bestFit="1" customWidth="1"/>
    <col min="6658" max="6658" width="5.42578125" style="35" customWidth="1"/>
    <col min="6659" max="6659" width="6.7109375" style="35" customWidth="1"/>
    <col min="6660" max="6660" width="7.42578125" style="35" customWidth="1"/>
    <col min="6661" max="6661" width="7.140625" style="35" customWidth="1"/>
    <col min="6662" max="6662" width="9.28515625" style="35" customWidth="1"/>
    <col min="6663" max="6663" width="10.7109375" style="35" customWidth="1"/>
    <col min="6664" max="6664" width="9.140625" style="35" customWidth="1"/>
    <col min="6665" max="6901" width="9.140625" style="35"/>
    <col min="6902" max="6902" width="4.42578125" style="35" bestFit="1" customWidth="1"/>
    <col min="6903" max="6903" width="11.42578125" style="35" bestFit="1" customWidth="1"/>
    <col min="6904" max="6904" width="9.42578125" style="35" bestFit="1" customWidth="1"/>
    <col min="6905" max="6905" width="6.42578125" style="35" bestFit="1" customWidth="1"/>
    <col min="6906" max="6906" width="7.7109375" style="35" bestFit="1" customWidth="1"/>
    <col min="6907" max="6908" width="6.42578125" style="35" bestFit="1" customWidth="1"/>
    <col min="6909" max="6909" width="10" style="35" bestFit="1" customWidth="1"/>
    <col min="6910" max="6910" width="7.140625" style="35" customWidth="1"/>
    <col min="6911" max="6911" width="6.7109375" style="35" bestFit="1" customWidth="1"/>
    <col min="6912" max="6912" width="5.42578125" style="35" bestFit="1" customWidth="1"/>
    <col min="6913" max="6913" width="6.28515625" style="35" bestFit="1" customWidth="1"/>
    <col min="6914" max="6914" width="5.42578125" style="35" customWidth="1"/>
    <col min="6915" max="6915" width="6.7109375" style="35" customWidth="1"/>
    <col min="6916" max="6916" width="7.42578125" style="35" customWidth="1"/>
    <col min="6917" max="6917" width="7.140625" style="35" customWidth="1"/>
    <col min="6918" max="6918" width="9.28515625" style="35" customWidth="1"/>
    <col min="6919" max="6919" width="10.7109375" style="35" customWidth="1"/>
    <col min="6920" max="6920" width="9.140625" style="35" customWidth="1"/>
    <col min="6921" max="7157" width="9.140625" style="35"/>
    <col min="7158" max="7158" width="4.42578125" style="35" bestFit="1" customWidth="1"/>
    <col min="7159" max="7159" width="11.42578125" style="35" bestFit="1" customWidth="1"/>
    <col min="7160" max="7160" width="9.42578125" style="35" bestFit="1" customWidth="1"/>
    <col min="7161" max="7161" width="6.42578125" style="35" bestFit="1" customWidth="1"/>
    <col min="7162" max="7162" width="7.7109375" style="35" bestFit="1" customWidth="1"/>
    <col min="7163" max="7164" width="6.42578125" style="35" bestFit="1" customWidth="1"/>
    <col min="7165" max="7165" width="10" style="35" bestFit="1" customWidth="1"/>
    <col min="7166" max="7166" width="7.140625" style="35" customWidth="1"/>
    <col min="7167" max="7167" width="6.7109375" style="35" bestFit="1" customWidth="1"/>
    <col min="7168" max="7168" width="5.42578125" style="35" bestFit="1" customWidth="1"/>
    <col min="7169" max="7169" width="6.28515625" style="35" bestFit="1" customWidth="1"/>
    <col min="7170" max="7170" width="5.42578125" style="35" customWidth="1"/>
    <col min="7171" max="7171" width="6.7109375" style="35" customWidth="1"/>
    <col min="7172" max="7172" width="7.42578125" style="35" customWidth="1"/>
    <col min="7173" max="7173" width="7.140625" style="35" customWidth="1"/>
    <col min="7174" max="7174" width="9.28515625" style="35" customWidth="1"/>
    <col min="7175" max="7175" width="10.7109375" style="35" customWidth="1"/>
    <col min="7176" max="7176" width="9.140625" style="35" customWidth="1"/>
    <col min="7177" max="7413" width="9.140625" style="35"/>
    <col min="7414" max="7414" width="4.42578125" style="35" bestFit="1" customWidth="1"/>
    <col min="7415" max="7415" width="11.42578125" style="35" bestFit="1" customWidth="1"/>
    <col min="7416" max="7416" width="9.42578125" style="35" bestFit="1" customWidth="1"/>
    <col min="7417" max="7417" width="6.42578125" style="35" bestFit="1" customWidth="1"/>
    <col min="7418" max="7418" width="7.7109375" style="35" bestFit="1" customWidth="1"/>
    <col min="7419" max="7420" width="6.42578125" style="35" bestFit="1" customWidth="1"/>
    <col min="7421" max="7421" width="10" style="35" bestFit="1" customWidth="1"/>
    <col min="7422" max="7422" width="7.140625" style="35" customWidth="1"/>
    <col min="7423" max="7423" width="6.7109375" style="35" bestFit="1" customWidth="1"/>
    <col min="7424" max="7424" width="5.42578125" style="35" bestFit="1" customWidth="1"/>
    <col min="7425" max="7425" width="6.28515625" style="35" bestFit="1" customWidth="1"/>
    <col min="7426" max="7426" width="5.42578125" style="35" customWidth="1"/>
    <col min="7427" max="7427" width="6.7109375" style="35" customWidth="1"/>
    <col min="7428" max="7428" width="7.42578125" style="35" customWidth="1"/>
    <col min="7429" max="7429" width="7.140625" style="35" customWidth="1"/>
    <col min="7430" max="7430" width="9.28515625" style="35" customWidth="1"/>
    <col min="7431" max="7431" width="10.7109375" style="35" customWidth="1"/>
    <col min="7432" max="7432" width="9.140625" style="35" customWidth="1"/>
    <col min="7433" max="7669" width="9.140625" style="35"/>
    <col min="7670" max="7670" width="4.42578125" style="35" bestFit="1" customWidth="1"/>
    <col min="7671" max="7671" width="11.42578125" style="35" bestFit="1" customWidth="1"/>
    <col min="7672" max="7672" width="9.42578125" style="35" bestFit="1" customWidth="1"/>
    <col min="7673" max="7673" width="6.42578125" style="35" bestFit="1" customWidth="1"/>
    <col min="7674" max="7674" width="7.7109375" style="35" bestFit="1" customWidth="1"/>
    <col min="7675" max="7676" width="6.42578125" style="35" bestFit="1" customWidth="1"/>
    <col min="7677" max="7677" width="10" style="35" bestFit="1" customWidth="1"/>
    <col min="7678" max="7678" width="7.140625" style="35" customWidth="1"/>
    <col min="7679" max="7679" width="6.7109375" style="35" bestFit="1" customWidth="1"/>
    <col min="7680" max="7680" width="5.42578125" style="35" bestFit="1" customWidth="1"/>
    <col min="7681" max="7681" width="6.28515625" style="35" bestFit="1" customWidth="1"/>
    <col min="7682" max="7682" width="5.42578125" style="35" customWidth="1"/>
    <col min="7683" max="7683" width="6.7109375" style="35" customWidth="1"/>
    <col min="7684" max="7684" width="7.42578125" style="35" customWidth="1"/>
    <col min="7685" max="7685" width="7.140625" style="35" customWidth="1"/>
    <col min="7686" max="7686" width="9.28515625" style="35" customWidth="1"/>
    <col min="7687" max="7687" width="10.7109375" style="35" customWidth="1"/>
    <col min="7688" max="7688" width="9.140625" style="35" customWidth="1"/>
    <col min="7689" max="7925" width="9.140625" style="35"/>
    <col min="7926" max="7926" width="4.42578125" style="35" bestFit="1" customWidth="1"/>
    <col min="7927" max="7927" width="11.42578125" style="35" bestFit="1" customWidth="1"/>
    <col min="7928" max="7928" width="9.42578125" style="35" bestFit="1" customWidth="1"/>
    <col min="7929" max="7929" width="6.42578125" style="35" bestFit="1" customWidth="1"/>
    <col min="7930" max="7930" width="7.7109375" style="35" bestFit="1" customWidth="1"/>
    <col min="7931" max="7932" width="6.42578125" style="35" bestFit="1" customWidth="1"/>
    <col min="7933" max="7933" width="10" style="35" bestFit="1" customWidth="1"/>
    <col min="7934" max="7934" width="7.140625" style="35" customWidth="1"/>
    <col min="7935" max="7935" width="6.7109375" style="35" bestFit="1" customWidth="1"/>
    <col min="7936" max="7936" width="5.42578125" style="35" bestFit="1" customWidth="1"/>
    <col min="7937" max="7937" width="6.28515625" style="35" bestFit="1" customWidth="1"/>
    <col min="7938" max="7938" width="5.42578125" style="35" customWidth="1"/>
    <col min="7939" max="7939" width="6.7109375" style="35" customWidth="1"/>
    <col min="7940" max="7940" width="7.42578125" style="35" customWidth="1"/>
    <col min="7941" max="7941" width="7.140625" style="35" customWidth="1"/>
    <col min="7942" max="7942" width="9.28515625" style="35" customWidth="1"/>
    <col min="7943" max="7943" width="10.7109375" style="35" customWidth="1"/>
    <col min="7944" max="7944" width="9.140625" style="35" customWidth="1"/>
    <col min="7945" max="8181" width="9.140625" style="35"/>
    <col min="8182" max="8182" width="4.42578125" style="35" bestFit="1" customWidth="1"/>
    <col min="8183" max="8183" width="11.42578125" style="35" bestFit="1" customWidth="1"/>
    <col min="8184" max="8184" width="9.42578125" style="35" bestFit="1" customWidth="1"/>
    <col min="8185" max="8185" width="6.42578125" style="35" bestFit="1" customWidth="1"/>
    <col min="8186" max="8186" width="7.7109375" style="35" bestFit="1" customWidth="1"/>
    <col min="8187" max="8188" width="6.42578125" style="35" bestFit="1" customWidth="1"/>
    <col min="8189" max="8189" width="10" style="35" bestFit="1" customWidth="1"/>
    <col min="8190" max="8190" width="7.140625" style="35" customWidth="1"/>
    <col min="8191" max="8191" width="6.7109375" style="35" bestFit="1" customWidth="1"/>
    <col min="8192" max="8192" width="5.42578125" style="35" bestFit="1" customWidth="1"/>
    <col min="8193" max="8193" width="6.28515625" style="35" bestFit="1" customWidth="1"/>
    <col min="8194" max="8194" width="5.42578125" style="35" customWidth="1"/>
    <col min="8195" max="8195" width="6.7109375" style="35" customWidth="1"/>
    <col min="8196" max="8196" width="7.42578125" style="35" customWidth="1"/>
    <col min="8197" max="8197" width="7.140625" style="35" customWidth="1"/>
    <col min="8198" max="8198" width="9.28515625" style="35" customWidth="1"/>
    <col min="8199" max="8199" width="10.7109375" style="35" customWidth="1"/>
    <col min="8200" max="8200" width="9.140625" style="35" customWidth="1"/>
    <col min="8201" max="8437" width="9.140625" style="35"/>
    <col min="8438" max="8438" width="4.42578125" style="35" bestFit="1" customWidth="1"/>
    <col min="8439" max="8439" width="11.42578125" style="35" bestFit="1" customWidth="1"/>
    <col min="8440" max="8440" width="9.42578125" style="35" bestFit="1" customWidth="1"/>
    <col min="8441" max="8441" width="6.42578125" style="35" bestFit="1" customWidth="1"/>
    <col min="8442" max="8442" width="7.7109375" style="35" bestFit="1" customWidth="1"/>
    <col min="8443" max="8444" width="6.42578125" style="35" bestFit="1" customWidth="1"/>
    <col min="8445" max="8445" width="10" style="35" bestFit="1" customWidth="1"/>
    <col min="8446" max="8446" width="7.140625" style="35" customWidth="1"/>
    <col min="8447" max="8447" width="6.7109375" style="35" bestFit="1" customWidth="1"/>
    <col min="8448" max="8448" width="5.42578125" style="35" bestFit="1" customWidth="1"/>
    <col min="8449" max="8449" width="6.28515625" style="35" bestFit="1" customWidth="1"/>
    <col min="8450" max="8450" width="5.42578125" style="35" customWidth="1"/>
    <col min="8451" max="8451" width="6.7109375" style="35" customWidth="1"/>
    <col min="8452" max="8452" width="7.42578125" style="35" customWidth="1"/>
    <col min="8453" max="8453" width="7.140625" style="35" customWidth="1"/>
    <col min="8454" max="8454" width="9.28515625" style="35" customWidth="1"/>
    <col min="8455" max="8455" width="10.7109375" style="35" customWidth="1"/>
    <col min="8456" max="8456" width="9.140625" style="35" customWidth="1"/>
    <col min="8457" max="8693" width="9.140625" style="35"/>
    <col min="8694" max="8694" width="4.42578125" style="35" bestFit="1" customWidth="1"/>
    <col min="8695" max="8695" width="11.42578125" style="35" bestFit="1" customWidth="1"/>
    <col min="8696" max="8696" width="9.42578125" style="35" bestFit="1" customWidth="1"/>
    <col min="8697" max="8697" width="6.42578125" style="35" bestFit="1" customWidth="1"/>
    <col min="8698" max="8698" width="7.7109375" style="35" bestFit="1" customWidth="1"/>
    <col min="8699" max="8700" width="6.42578125" style="35" bestFit="1" customWidth="1"/>
    <col min="8701" max="8701" width="10" style="35" bestFit="1" customWidth="1"/>
    <col min="8702" max="8702" width="7.140625" style="35" customWidth="1"/>
    <col min="8703" max="8703" width="6.7109375" style="35" bestFit="1" customWidth="1"/>
    <col min="8704" max="8704" width="5.42578125" style="35" bestFit="1" customWidth="1"/>
    <col min="8705" max="8705" width="6.28515625" style="35" bestFit="1" customWidth="1"/>
    <col min="8706" max="8706" width="5.42578125" style="35" customWidth="1"/>
    <col min="8707" max="8707" width="6.7109375" style="35" customWidth="1"/>
    <col min="8708" max="8708" width="7.42578125" style="35" customWidth="1"/>
    <col min="8709" max="8709" width="7.140625" style="35" customWidth="1"/>
    <col min="8710" max="8710" width="9.28515625" style="35" customWidth="1"/>
    <col min="8711" max="8711" width="10.7109375" style="35" customWidth="1"/>
    <col min="8712" max="8712" width="9.140625" style="35" customWidth="1"/>
    <col min="8713" max="8949" width="9.140625" style="35"/>
    <col min="8950" max="8950" width="4.42578125" style="35" bestFit="1" customWidth="1"/>
    <col min="8951" max="8951" width="11.42578125" style="35" bestFit="1" customWidth="1"/>
    <col min="8952" max="8952" width="9.42578125" style="35" bestFit="1" customWidth="1"/>
    <col min="8953" max="8953" width="6.42578125" style="35" bestFit="1" customWidth="1"/>
    <col min="8954" max="8954" width="7.7109375" style="35" bestFit="1" customWidth="1"/>
    <col min="8955" max="8956" width="6.42578125" style="35" bestFit="1" customWidth="1"/>
    <col min="8957" max="8957" width="10" style="35" bestFit="1" customWidth="1"/>
    <col min="8958" max="8958" width="7.140625" style="35" customWidth="1"/>
    <col min="8959" max="8959" width="6.7109375" style="35" bestFit="1" customWidth="1"/>
    <col min="8960" max="8960" width="5.42578125" style="35" bestFit="1" customWidth="1"/>
    <col min="8961" max="8961" width="6.28515625" style="35" bestFit="1" customWidth="1"/>
    <col min="8962" max="8962" width="5.42578125" style="35" customWidth="1"/>
    <col min="8963" max="8963" width="6.7109375" style="35" customWidth="1"/>
    <col min="8964" max="8964" width="7.42578125" style="35" customWidth="1"/>
    <col min="8965" max="8965" width="7.140625" style="35" customWidth="1"/>
    <col min="8966" max="8966" width="9.28515625" style="35" customWidth="1"/>
    <col min="8967" max="8967" width="10.7109375" style="35" customWidth="1"/>
    <col min="8968" max="8968" width="9.140625" style="35" customWidth="1"/>
    <col min="8969" max="9205" width="9.140625" style="35"/>
    <col min="9206" max="9206" width="4.42578125" style="35" bestFit="1" customWidth="1"/>
    <col min="9207" max="9207" width="11.42578125" style="35" bestFit="1" customWidth="1"/>
    <col min="9208" max="9208" width="9.42578125" style="35" bestFit="1" customWidth="1"/>
    <col min="9209" max="9209" width="6.42578125" style="35" bestFit="1" customWidth="1"/>
    <col min="9210" max="9210" width="7.7109375" style="35" bestFit="1" customWidth="1"/>
    <col min="9211" max="9212" width="6.42578125" style="35" bestFit="1" customWidth="1"/>
    <col min="9213" max="9213" width="10" style="35" bestFit="1" customWidth="1"/>
    <col min="9214" max="9214" width="7.140625" style="35" customWidth="1"/>
    <col min="9215" max="9215" width="6.7109375" style="35" bestFit="1" customWidth="1"/>
    <col min="9216" max="9216" width="5.42578125" style="35" bestFit="1" customWidth="1"/>
    <col min="9217" max="9217" width="6.28515625" style="35" bestFit="1" customWidth="1"/>
    <col min="9218" max="9218" width="5.42578125" style="35" customWidth="1"/>
    <col min="9219" max="9219" width="6.7109375" style="35" customWidth="1"/>
    <col min="9220" max="9220" width="7.42578125" style="35" customWidth="1"/>
    <col min="9221" max="9221" width="7.140625" style="35" customWidth="1"/>
    <col min="9222" max="9222" width="9.28515625" style="35" customWidth="1"/>
    <col min="9223" max="9223" width="10.7109375" style="35" customWidth="1"/>
    <col min="9224" max="9224" width="9.140625" style="35" customWidth="1"/>
    <col min="9225" max="9461" width="9.140625" style="35"/>
    <col min="9462" max="9462" width="4.42578125" style="35" bestFit="1" customWidth="1"/>
    <col min="9463" max="9463" width="11.42578125" style="35" bestFit="1" customWidth="1"/>
    <col min="9464" max="9464" width="9.42578125" style="35" bestFit="1" customWidth="1"/>
    <col min="9465" max="9465" width="6.42578125" style="35" bestFit="1" customWidth="1"/>
    <col min="9466" max="9466" width="7.7109375" style="35" bestFit="1" customWidth="1"/>
    <col min="9467" max="9468" width="6.42578125" style="35" bestFit="1" customWidth="1"/>
    <col min="9469" max="9469" width="10" style="35" bestFit="1" customWidth="1"/>
    <col min="9470" max="9470" width="7.140625" style="35" customWidth="1"/>
    <col min="9471" max="9471" width="6.7109375" style="35" bestFit="1" customWidth="1"/>
    <col min="9472" max="9472" width="5.42578125" style="35" bestFit="1" customWidth="1"/>
    <col min="9473" max="9473" width="6.28515625" style="35" bestFit="1" customWidth="1"/>
    <col min="9474" max="9474" width="5.42578125" style="35" customWidth="1"/>
    <col min="9475" max="9475" width="6.7109375" style="35" customWidth="1"/>
    <col min="9476" max="9476" width="7.42578125" style="35" customWidth="1"/>
    <col min="9477" max="9477" width="7.140625" style="35" customWidth="1"/>
    <col min="9478" max="9478" width="9.28515625" style="35" customWidth="1"/>
    <col min="9479" max="9479" width="10.7109375" style="35" customWidth="1"/>
    <col min="9480" max="9480" width="9.140625" style="35" customWidth="1"/>
    <col min="9481" max="9717" width="9.140625" style="35"/>
    <col min="9718" max="9718" width="4.42578125" style="35" bestFit="1" customWidth="1"/>
    <col min="9719" max="9719" width="11.42578125" style="35" bestFit="1" customWidth="1"/>
    <col min="9720" max="9720" width="9.42578125" style="35" bestFit="1" customWidth="1"/>
    <col min="9721" max="9721" width="6.42578125" style="35" bestFit="1" customWidth="1"/>
    <col min="9722" max="9722" width="7.7109375" style="35" bestFit="1" customWidth="1"/>
    <col min="9723" max="9724" width="6.42578125" style="35" bestFit="1" customWidth="1"/>
    <col min="9725" max="9725" width="10" style="35" bestFit="1" customWidth="1"/>
    <col min="9726" max="9726" width="7.140625" style="35" customWidth="1"/>
    <col min="9727" max="9727" width="6.7109375" style="35" bestFit="1" customWidth="1"/>
    <col min="9728" max="9728" width="5.42578125" style="35" bestFit="1" customWidth="1"/>
    <col min="9729" max="9729" width="6.28515625" style="35" bestFit="1" customWidth="1"/>
    <col min="9730" max="9730" width="5.42578125" style="35" customWidth="1"/>
    <col min="9731" max="9731" width="6.7109375" style="35" customWidth="1"/>
    <col min="9732" max="9732" width="7.42578125" style="35" customWidth="1"/>
    <col min="9733" max="9733" width="7.140625" style="35" customWidth="1"/>
    <col min="9734" max="9734" width="9.28515625" style="35" customWidth="1"/>
    <col min="9735" max="9735" width="10.7109375" style="35" customWidth="1"/>
    <col min="9736" max="9736" width="9.140625" style="35" customWidth="1"/>
    <col min="9737" max="9973" width="9.140625" style="35"/>
    <col min="9974" max="9974" width="4.42578125" style="35" bestFit="1" customWidth="1"/>
    <col min="9975" max="9975" width="11.42578125" style="35" bestFit="1" customWidth="1"/>
    <col min="9976" max="9976" width="9.42578125" style="35" bestFit="1" customWidth="1"/>
    <col min="9977" max="9977" width="6.42578125" style="35" bestFit="1" customWidth="1"/>
    <col min="9978" max="9978" width="7.7109375" style="35" bestFit="1" customWidth="1"/>
    <col min="9979" max="9980" width="6.42578125" style="35" bestFit="1" customWidth="1"/>
    <col min="9981" max="9981" width="10" style="35" bestFit="1" customWidth="1"/>
    <col min="9982" max="9982" width="7.140625" style="35" customWidth="1"/>
    <col min="9983" max="9983" width="6.7109375" style="35" bestFit="1" customWidth="1"/>
    <col min="9984" max="9984" width="5.42578125" style="35" bestFit="1" customWidth="1"/>
    <col min="9985" max="9985" width="6.28515625" style="35" bestFit="1" customWidth="1"/>
    <col min="9986" max="9986" width="5.42578125" style="35" customWidth="1"/>
    <col min="9987" max="9987" width="6.7109375" style="35" customWidth="1"/>
    <col min="9988" max="9988" width="7.42578125" style="35" customWidth="1"/>
    <col min="9989" max="9989" width="7.140625" style="35" customWidth="1"/>
    <col min="9990" max="9990" width="9.28515625" style="35" customWidth="1"/>
    <col min="9991" max="9991" width="10.7109375" style="35" customWidth="1"/>
    <col min="9992" max="9992" width="9.140625" style="35" customWidth="1"/>
    <col min="9993" max="10229" width="9.140625" style="35"/>
    <col min="10230" max="10230" width="4.42578125" style="35" bestFit="1" customWidth="1"/>
    <col min="10231" max="10231" width="11.42578125" style="35" bestFit="1" customWidth="1"/>
    <col min="10232" max="10232" width="9.42578125" style="35" bestFit="1" customWidth="1"/>
    <col min="10233" max="10233" width="6.42578125" style="35" bestFit="1" customWidth="1"/>
    <col min="10234" max="10234" width="7.7109375" style="35" bestFit="1" customWidth="1"/>
    <col min="10235" max="10236" width="6.42578125" style="35" bestFit="1" customWidth="1"/>
    <col min="10237" max="10237" width="10" style="35" bestFit="1" customWidth="1"/>
    <col min="10238" max="10238" width="7.140625" style="35" customWidth="1"/>
    <col min="10239" max="10239" width="6.7109375" style="35" bestFit="1" customWidth="1"/>
    <col min="10240" max="10240" width="5.42578125" style="35" bestFit="1" customWidth="1"/>
    <col min="10241" max="10241" width="6.28515625" style="35" bestFit="1" customWidth="1"/>
    <col min="10242" max="10242" width="5.42578125" style="35" customWidth="1"/>
    <col min="10243" max="10243" width="6.7109375" style="35" customWidth="1"/>
    <col min="10244" max="10244" width="7.42578125" style="35" customWidth="1"/>
    <col min="10245" max="10245" width="7.140625" style="35" customWidth="1"/>
    <col min="10246" max="10246" width="9.28515625" style="35" customWidth="1"/>
    <col min="10247" max="10247" width="10.7109375" style="35" customWidth="1"/>
    <col min="10248" max="10248" width="9.140625" style="35" customWidth="1"/>
    <col min="10249" max="10485" width="9.140625" style="35"/>
    <col min="10486" max="10486" width="4.42578125" style="35" bestFit="1" customWidth="1"/>
    <col min="10487" max="10487" width="11.42578125" style="35" bestFit="1" customWidth="1"/>
    <col min="10488" max="10488" width="9.42578125" style="35" bestFit="1" customWidth="1"/>
    <col min="10489" max="10489" width="6.42578125" style="35" bestFit="1" customWidth="1"/>
    <col min="10490" max="10490" width="7.7109375" style="35" bestFit="1" customWidth="1"/>
    <col min="10491" max="10492" width="6.42578125" style="35" bestFit="1" customWidth="1"/>
    <col min="10493" max="10493" width="10" style="35" bestFit="1" customWidth="1"/>
    <col min="10494" max="10494" width="7.140625" style="35" customWidth="1"/>
    <col min="10495" max="10495" width="6.7109375" style="35" bestFit="1" customWidth="1"/>
    <col min="10496" max="10496" width="5.42578125" style="35" bestFit="1" customWidth="1"/>
    <col min="10497" max="10497" width="6.28515625" style="35" bestFit="1" customWidth="1"/>
    <col min="10498" max="10498" width="5.42578125" style="35" customWidth="1"/>
    <col min="10499" max="10499" width="6.7109375" style="35" customWidth="1"/>
    <col min="10500" max="10500" width="7.42578125" style="35" customWidth="1"/>
    <col min="10501" max="10501" width="7.140625" style="35" customWidth="1"/>
    <col min="10502" max="10502" width="9.28515625" style="35" customWidth="1"/>
    <col min="10503" max="10503" width="10.7109375" style="35" customWidth="1"/>
    <col min="10504" max="10504" width="9.140625" style="35" customWidth="1"/>
    <col min="10505" max="10741" width="9.140625" style="35"/>
    <col min="10742" max="10742" width="4.42578125" style="35" bestFit="1" customWidth="1"/>
    <col min="10743" max="10743" width="11.42578125" style="35" bestFit="1" customWidth="1"/>
    <col min="10744" max="10744" width="9.42578125" style="35" bestFit="1" customWidth="1"/>
    <col min="10745" max="10745" width="6.42578125" style="35" bestFit="1" customWidth="1"/>
    <col min="10746" max="10746" width="7.7109375" style="35" bestFit="1" customWidth="1"/>
    <col min="10747" max="10748" width="6.42578125" style="35" bestFit="1" customWidth="1"/>
    <col min="10749" max="10749" width="10" style="35" bestFit="1" customWidth="1"/>
    <col min="10750" max="10750" width="7.140625" style="35" customWidth="1"/>
    <col min="10751" max="10751" width="6.7109375" style="35" bestFit="1" customWidth="1"/>
    <col min="10752" max="10752" width="5.42578125" style="35" bestFit="1" customWidth="1"/>
    <col min="10753" max="10753" width="6.28515625" style="35" bestFit="1" customWidth="1"/>
    <col min="10754" max="10754" width="5.42578125" style="35" customWidth="1"/>
    <col min="10755" max="10755" width="6.7109375" style="35" customWidth="1"/>
    <col min="10756" max="10756" width="7.42578125" style="35" customWidth="1"/>
    <col min="10757" max="10757" width="7.140625" style="35" customWidth="1"/>
    <col min="10758" max="10758" width="9.28515625" style="35" customWidth="1"/>
    <col min="10759" max="10759" width="10.7109375" style="35" customWidth="1"/>
    <col min="10760" max="10760" width="9.140625" style="35" customWidth="1"/>
    <col min="10761" max="10997" width="9.140625" style="35"/>
    <col min="10998" max="10998" width="4.42578125" style="35" bestFit="1" customWidth="1"/>
    <col min="10999" max="10999" width="11.42578125" style="35" bestFit="1" customWidth="1"/>
    <col min="11000" max="11000" width="9.42578125" style="35" bestFit="1" customWidth="1"/>
    <col min="11001" max="11001" width="6.42578125" style="35" bestFit="1" customWidth="1"/>
    <col min="11002" max="11002" width="7.7109375" style="35" bestFit="1" customWidth="1"/>
    <col min="11003" max="11004" width="6.42578125" style="35" bestFit="1" customWidth="1"/>
    <col min="11005" max="11005" width="10" style="35" bestFit="1" customWidth="1"/>
    <col min="11006" max="11006" width="7.140625" style="35" customWidth="1"/>
    <col min="11007" max="11007" width="6.7109375" style="35" bestFit="1" customWidth="1"/>
    <col min="11008" max="11008" width="5.42578125" style="35" bestFit="1" customWidth="1"/>
    <col min="11009" max="11009" width="6.28515625" style="35" bestFit="1" customWidth="1"/>
    <col min="11010" max="11010" width="5.42578125" style="35" customWidth="1"/>
    <col min="11011" max="11011" width="6.7109375" style="35" customWidth="1"/>
    <col min="11012" max="11012" width="7.42578125" style="35" customWidth="1"/>
    <col min="11013" max="11013" width="7.140625" style="35" customWidth="1"/>
    <col min="11014" max="11014" width="9.28515625" style="35" customWidth="1"/>
    <col min="11015" max="11015" width="10.7109375" style="35" customWidth="1"/>
    <col min="11016" max="11016" width="9.140625" style="35" customWidth="1"/>
    <col min="11017" max="11253" width="9.140625" style="35"/>
    <col min="11254" max="11254" width="4.42578125" style="35" bestFit="1" customWidth="1"/>
    <col min="11255" max="11255" width="11.42578125" style="35" bestFit="1" customWidth="1"/>
    <col min="11256" max="11256" width="9.42578125" style="35" bestFit="1" customWidth="1"/>
    <col min="11257" max="11257" width="6.42578125" style="35" bestFit="1" customWidth="1"/>
    <col min="11258" max="11258" width="7.7109375" style="35" bestFit="1" customWidth="1"/>
    <col min="11259" max="11260" width="6.42578125" style="35" bestFit="1" customWidth="1"/>
    <col min="11261" max="11261" width="10" style="35" bestFit="1" customWidth="1"/>
    <col min="11262" max="11262" width="7.140625" style="35" customWidth="1"/>
    <col min="11263" max="11263" width="6.7109375" style="35" bestFit="1" customWidth="1"/>
    <col min="11264" max="11264" width="5.42578125" style="35" bestFit="1" customWidth="1"/>
    <col min="11265" max="11265" width="6.28515625" style="35" bestFit="1" customWidth="1"/>
    <col min="11266" max="11266" width="5.42578125" style="35" customWidth="1"/>
    <col min="11267" max="11267" width="6.7109375" style="35" customWidth="1"/>
    <col min="11268" max="11268" width="7.42578125" style="35" customWidth="1"/>
    <col min="11269" max="11269" width="7.140625" style="35" customWidth="1"/>
    <col min="11270" max="11270" width="9.28515625" style="35" customWidth="1"/>
    <col min="11271" max="11271" width="10.7109375" style="35" customWidth="1"/>
    <col min="11272" max="11272" width="9.140625" style="35" customWidth="1"/>
    <col min="11273" max="11509" width="9.140625" style="35"/>
    <col min="11510" max="11510" width="4.42578125" style="35" bestFit="1" customWidth="1"/>
    <col min="11511" max="11511" width="11.42578125" style="35" bestFit="1" customWidth="1"/>
    <col min="11512" max="11512" width="9.42578125" style="35" bestFit="1" customWidth="1"/>
    <col min="11513" max="11513" width="6.42578125" style="35" bestFit="1" customWidth="1"/>
    <col min="11514" max="11514" width="7.7109375" style="35" bestFit="1" customWidth="1"/>
    <col min="11515" max="11516" width="6.42578125" style="35" bestFit="1" customWidth="1"/>
    <col min="11517" max="11517" width="10" style="35" bestFit="1" customWidth="1"/>
    <col min="11518" max="11518" width="7.140625" style="35" customWidth="1"/>
    <col min="11519" max="11519" width="6.7109375" style="35" bestFit="1" customWidth="1"/>
    <col min="11520" max="11520" width="5.42578125" style="35" bestFit="1" customWidth="1"/>
    <col min="11521" max="11521" width="6.28515625" style="35" bestFit="1" customWidth="1"/>
    <col min="11522" max="11522" width="5.42578125" style="35" customWidth="1"/>
    <col min="11523" max="11523" width="6.7109375" style="35" customWidth="1"/>
    <col min="11524" max="11524" width="7.42578125" style="35" customWidth="1"/>
    <col min="11525" max="11525" width="7.140625" style="35" customWidth="1"/>
    <col min="11526" max="11526" width="9.28515625" style="35" customWidth="1"/>
    <col min="11527" max="11527" width="10.7109375" style="35" customWidth="1"/>
    <col min="11528" max="11528" width="9.140625" style="35" customWidth="1"/>
    <col min="11529" max="11765" width="9.140625" style="35"/>
    <col min="11766" max="11766" width="4.42578125" style="35" bestFit="1" customWidth="1"/>
    <col min="11767" max="11767" width="11.42578125" style="35" bestFit="1" customWidth="1"/>
    <col min="11768" max="11768" width="9.42578125" style="35" bestFit="1" customWidth="1"/>
    <col min="11769" max="11769" width="6.42578125" style="35" bestFit="1" customWidth="1"/>
    <col min="11770" max="11770" width="7.7109375" style="35" bestFit="1" customWidth="1"/>
    <col min="11771" max="11772" width="6.42578125" style="35" bestFit="1" customWidth="1"/>
    <col min="11773" max="11773" width="10" style="35" bestFit="1" customWidth="1"/>
    <col min="11774" max="11774" width="7.140625" style="35" customWidth="1"/>
    <col min="11775" max="11775" width="6.7109375" style="35" bestFit="1" customWidth="1"/>
    <col min="11776" max="11776" width="5.42578125" style="35" bestFit="1" customWidth="1"/>
    <col min="11777" max="11777" width="6.28515625" style="35" bestFit="1" customWidth="1"/>
    <col min="11778" max="11778" width="5.42578125" style="35" customWidth="1"/>
    <col min="11779" max="11779" width="6.7109375" style="35" customWidth="1"/>
    <col min="11780" max="11780" width="7.42578125" style="35" customWidth="1"/>
    <col min="11781" max="11781" width="7.140625" style="35" customWidth="1"/>
    <col min="11782" max="11782" width="9.28515625" style="35" customWidth="1"/>
    <col min="11783" max="11783" width="10.7109375" style="35" customWidth="1"/>
    <col min="11784" max="11784" width="9.140625" style="35" customWidth="1"/>
    <col min="11785" max="12021" width="9.140625" style="35"/>
    <col min="12022" max="12022" width="4.42578125" style="35" bestFit="1" customWidth="1"/>
    <col min="12023" max="12023" width="11.42578125" style="35" bestFit="1" customWidth="1"/>
    <col min="12024" max="12024" width="9.42578125" style="35" bestFit="1" customWidth="1"/>
    <col min="12025" max="12025" width="6.42578125" style="35" bestFit="1" customWidth="1"/>
    <col min="12026" max="12026" width="7.7109375" style="35" bestFit="1" customWidth="1"/>
    <col min="12027" max="12028" width="6.42578125" style="35" bestFit="1" customWidth="1"/>
    <col min="12029" max="12029" width="10" style="35" bestFit="1" customWidth="1"/>
    <col min="12030" max="12030" width="7.140625" style="35" customWidth="1"/>
    <col min="12031" max="12031" width="6.7109375" style="35" bestFit="1" customWidth="1"/>
    <col min="12032" max="12032" width="5.42578125" style="35" bestFit="1" customWidth="1"/>
    <col min="12033" max="12033" width="6.28515625" style="35" bestFit="1" customWidth="1"/>
    <col min="12034" max="12034" width="5.42578125" style="35" customWidth="1"/>
    <col min="12035" max="12035" width="6.7109375" style="35" customWidth="1"/>
    <col min="12036" max="12036" width="7.42578125" style="35" customWidth="1"/>
    <col min="12037" max="12037" width="7.140625" style="35" customWidth="1"/>
    <col min="12038" max="12038" width="9.28515625" style="35" customWidth="1"/>
    <col min="12039" max="12039" width="10.7109375" style="35" customWidth="1"/>
    <col min="12040" max="12040" width="9.140625" style="35" customWidth="1"/>
    <col min="12041" max="12277" width="9.140625" style="35"/>
    <col min="12278" max="12278" width="4.42578125" style="35" bestFit="1" customWidth="1"/>
    <col min="12279" max="12279" width="11.42578125" style="35" bestFit="1" customWidth="1"/>
    <col min="12280" max="12280" width="9.42578125" style="35" bestFit="1" customWidth="1"/>
    <col min="12281" max="12281" width="6.42578125" style="35" bestFit="1" customWidth="1"/>
    <col min="12282" max="12282" width="7.7109375" style="35" bestFit="1" customWidth="1"/>
    <col min="12283" max="12284" width="6.42578125" style="35" bestFit="1" customWidth="1"/>
    <col min="12285" max="12285" width="10" style="35" bestFit="1" customWidth="1"/>
    <col min="12286" max="12286" width="7.140625" style="35" customWidth="1"/>
    <col min="12287" max="12287" width="6.7109375" style="35" bestFit="1" customWidth="1"/>
    <col min="12288" max="12288" width="5.42578125" style="35" bestFit="1" customWidth="1"/>
    <col min="12289" max="12289" width="6.28515625" style="35" bestFit="1" customWidth="1"/>
    <col min="12290" max="12290" width="5.42578125" style="35" customWidth="1"/>
    <col min="12291" max="12291" width="6.7109375" style="35" customWidth="1"/>
    <col min="12292" max="12292" width="7.42578125" style="35" customWidth="1"/>
    <col min="12293" max="12293" width="7.140625" style="35" customWidth="1"/>
    <col min="12294" max="12294" width="9.28515625" style="35" customWidth="1"/>
    <col min="12295" max="12295" width="10.7109375" style="35" customWidth="1"/>
    <col min="12296" max="12296" width="9.140625" style="35" customWidth="1"/>
    <col min="12297" max="12533" width="9.140625" style="35"/>
    <col min="12534" max="12534" width="4.42578125" style="35" bestFit="1" customWidth="1"/>
    <col min="12535" max="12535" width="11.42578125" style="35" bestFit="1" customWidth="1"/>
    <col min="12536" max="12536" width="9.42578125" style="35" bestFit="1" customWidth="1"/>
    <col min="12537" max="12537" width="6.42578125" style="35" bestFit="1" customWidth="1"/>
    <col min="12538" max="12538" width="7.7109375" style="35" bestFit="1" customWidth="1"/>
    <col min="12539" max="12540" width="6.42578125" style="35" bestFit="1" customWidth="1"/>
    <col min="12541" max="12541" width="10" style="35" bestFit="1" customWidth="1"/>
    <col min="12542" max="12542" width="7.140625" style="35" customWidth="1"/>
    <col min="12543" max="12543" width="6.7109375" style="35" bestFit="1" customWidth="1"/>
    <col min="12544" max="12544" width="5.42578125" style="35" bestFit="1" customWidth="1"/>
    <col min="12545" max="12545" width="6.28515625" style="35" bestFit="1" customWidth="1"/>
    <col min="12546" max="12546" width="5.42578125" style="35" customWidth="1"/>
    <col min="12547" max="12547" width="6.7109375" style="35" customWidth="1"/>
    <col min="12548" max="12548" width="7.42578125" style="35" customWidth="1"/>
    <col min="12549" max="12549" width="7.140625" style="35" customWidth="1"/>
    <col min="12550" max="12550" width="9.28515625" style="35" customWidth="1"/>
    <col min="12551" max="12551" width="10.7109375" style="35" customWidth="1"/>
    <col min="12552" max="12552" width="9.140625" style="35" customWidth="1"/>
    <col min="12553" max="12789" width="9.140625" style="35"/>
    <col min="12790" max="12790" width="4.42578125" style="35" bestFit="1" customWidth="1"/>
    <col min="12791" max="12791" width="11.42578125" style="35" bestFit="1" customWidth="1"/>
    <col min="12792" max="12792" width="9.42578125" style="35" bestFit="1" customWidth="1"/>
    <col min="12793" max="12793" width="6.42578125" style="35" bestFit="1" customWidth="1"/>
    <col min="12794" max="12794" width="7.7109375" style="35" bestFit="1" customWidth="1"/>
    <col min="12795" max="12796" width="6.42578125" style="35" bestFit="1" customWidth="1"/>
    <col min="12797" max="12797" width="10" style="35" bestFit="1" customWidth="1"/>
    <col min="12798" max="12798" width="7.140625" style="35" customWidth="1"/>
    <col min="12799" max="12799" width="6.7109375" style="35" bestFit="1" customWidth="1"/>
    <col min="12800" max="12800" width="5.42578125" style="35" bestFit="1" customWidth="1"/>
    <col min="12801" max="12801" width="6.28515625" style="35" bestFit="1" customWidth="1"/>
    <col min="12802" max="12802" width="5.42578125" style="35" customWidth="1"/>
    <col min="12803" max="12803" width="6.7109375" style="35" customWidth="1"/>
    <col min="12804" max="12804" width="7.42578125" style="35" customWidth="1"/>
    <col min="12805" max="12805" width="7.140625" style="35" customWidth="1"/>
    <col min="12806" max="12806" width="9.28515625" style="35" customWidth="1"/>
    <col min="12807" max="12807" width="10.7109375" style="35" customWidth="1"/>
    <col min="12808" max="12808" width="9.140625" style="35" customWidth="1"/>
    <col min="12809" max="13045" width="9.140625" style="35"/>
    <col min="13046" max="13046" width="4.42578125" style="35" bestFit="1" customWidth="1"/>
    <col min="13047" max="13047" width="11.42578125" style="35" bestFit="1" customWidth="1"/>
    <col min="13048" max="13048" width="9.42578125" style="35" bestFit="1" customWidth="1"/>
    <col min="13049" max="13049" width="6.42578125" style="35" bestFit="1" customWidth="1"/>
    <col min="13050" max="13050" width="7.7109375" style="35" bestFit="1" customWidth="1"/>
    <col min="13051" max="13052" width="6.42578125" style="35" bestFit="1" customWidth="1"/>
    <col min="13053" max="13053" width="10" style="35" bestFit="1" customWidth="1"/>
    <col min="13054" max="13054" width="7.140625" style="35" customWidth="1"/>
    <col min="13055" max="13055" width="6.7109375" style="35" bestFit="1" customWidth="1"/>
    <col min="13056" max="13056" width="5.42578125" style="35" bestFit="1" customWidth="1"/>
    <col min="13057" max="13057" width="6.28515625" style="35" bestFit="1" customWidth="1"/>
    <col min="13058" max="13058" width="5.42578125" style="35" customWidth="1"/>
    <col min="13059" max="13059" width="6.7109375" style="35" customWidth="1"/>
    <col min="13060" max="13060" width="7.42578125" style="35" customWidth="1"/>
    <col min="13061" max="13061" width="7.140625" style="35" customWidth="1"/>
    <col min="13062" max="13062" width="9.28515625" style="35" customWidth="1"/>
    <col min="13063" max="13063" width="10.7109375" style="35" customWidth="1"/>
    <col min="13064" max="13064" width="9.140625" style="35" customWidth="1"/>
    <col min="13065" max="13301" width="9.140625" style="35"/>
    <col min="13302" max="13302" width="4.42578125" style="35" bestFit="1" customWidth="1"/>
    <col min="13303" max="13303" width="11.42578125" style="35" bestFit="1" customWidth="1"/>
    <col min="13304" max="13304" width="9.42578125" style="35" bestFit="1" customWidth="1"/>
    <col min="13305" max="13305" width="6.42578125" style="35" bestFit="1" customWidth="1"/>
    <col min="13306" max="13306" width="7.7109375" style="35" bestFit="1" customWidth="1"/>
    <col min="13307" max="13308" width="6.42578125" style="35" bestFit="1" customWidth="1"/>
    <col min="13309" max="13309" width="10" style="35" bestFit="1" customWidth="1"/>
    <col min="13310" max="13310" width="7.140625" style="35" customWidth="1"/>
    <col min="13311" max="13311" width="6.7109375" style="35" bestFit="1" customWidth="1"/>
    <col min="13312" max="13312" width="5.42578125" style="35" bestFit="1" customWidth="1"/>
    <col min="13313" max="13313" width="6.28515625" style="35" bestFit="1" customWidth="1"/>
    <col min="13314" max="13314" width="5.42578125" style="35" customWidth="1"/>
    <col min="13315" max="13315" width="6.7109375" style="35" customWidth="1"/>
    <col min="13316" max="13316" width="7.42578125" style="35" customWidth="1"/>
    <col min="13317" max="13317" width="7.140625" style="35" customWidth="1"/>
    <col min="13318" max="13318" width="9.28515625" style="35" customWidth="1"/>
    <col min="13319" max="13319" width="10.7109375" style="35" customWidth="1"/>
    <col min="13320" max="13320" width="9.140625" style="35" customWidth="1"/>
    <col min="13321" max="13557" width="9.140625" style="35"/>
    <col min="13558" max="13558" width="4.42578125" style="35" bestFit="1" customWidth="1"/>
    <col min="13559" max="13559" width="11.42578125" style="35" bestFit="1" customWidth="1"/>
    <col min="13560" max="13560" width="9.42578125" style="35" bestFit="1" customWidth="1"/>
    <col min="13561" max="13561" width="6.42578125" style="35" bestFit="1" customWidth="1"/>
    <col min="13562" max="13562" width="7.7109375" style="35" bestFit="1" customWidth="1"/>
    <col min="13563" max="13564" width="6.42578125" style="35" bestFit="1" customWidth="1"/>
    <col min="13565" max="13565" width="10" style="35" bestFit="1" customWidth="1"/>
    <col min="13566" max="13566" width="7.140625" style="35" customWidth="1"/>
    <col min="13567" max="13567" width="6.7109375" style="35" bestFit="1" customWidth="1"/>
    <col min="13568" max="13568" width="5.42578125" style="35" bestFit="1" customWidth="1"/>
    <col min="13569" max="13569" width="6.28515625" style="35" bestFit="1" customWidth="1"/>
    <col min="13570" max="13570" width="5.42578125" style="35" customWidth="1"/>
    <col min="13571" max="13571" width="6.7109375" style="35" customWidth="1"/>
    <col min="13572" max="13572" width="7.42578125" style="35" customWidth="1"/>
    <col min="13573" max="13573" width="7.140625" style="35" customWidth="1"/>
    <col min="13574" max="13574" width="9.28515625" style="35" customWidth="1"/>
    <col min="13575" max="13575" width="10.7109375" style="35" customWidth="1"/>
    <col min="13576" max="13576" width="9.140625" style="35" customWidth="1"/>
    <col min="13577" max="13813" width="9.140625" style="35"/>
    <col min="13814" max="13814" width="4.42578125" style="35" bestFit="1" customWidth="1"/>
    <col min="13815" max="13815" width="11.42578125" style="35" bestFit="1" customWidth="1"/>
    <col min="13816" max="13816" width="9.42578125" style="35" bestFit="1" customWidth="1"/>
    <col min="13817" max="13817" width="6.42578125" style="35" bestFit="1" customWidth="1"/>
    <col min="13818" max="13818" width="7.7109375" style="35" bestFit="1" customWidth="1"/>
    <col min="13819" max="13820" width="6.42578125" style="35" bestFit="1" customWidth="1"/>
    <col min="13821" max="13821" width="10" style="35" bestFit="1" customWidth="1"/>
    <col min="13822" max="13822" width="7.140625" style="35" customWidth="1"/>
    <col min="13823" max="13823" width="6.7109375" style="35" bestFit="1" customWidth="1"/>
    <col min="13824" max="13824" width="5.42578125" style="35" bestFit="1" customWidth="1"/>
    <col min="13825" max="13825" width="6.28515625" style="35" bestFit="1" customWidth="1"/>
    <col min="13826" max="13826" width="5.42578125" style="35" customWidth="1"/>
    <col min="13827" max="13827" width="6.7109375" style="35" customWidth="1"/>
    <col min="13828" max="13828" width="7.42578125" style="35" customWidth="1"/>
    <col min="13829" max="13829" width="7.140625" style="35" customWidth="1"/>
    <col min="13830" max="13830" width="9.28515625" style="35" customWidth="1"/>
    <col min="13831" max="13831" width="10.7109375" style="35" customWidth="1"/>
    <col min="13832" max="13832" width="9.140625" style="35" customWidth="1"/>
    <col min="13833" max="14069" width="9.140625" style="35"/>
    <col min="14070" max="14070" width="4.42578125" style="35" bestFit="1" customWidth="1"/>
    <col min="14071" max="14071" width="11.42578125" style="35" bestFit="1" customWidth="1"/>
    <col min="14072" max="14072" width="9.42578125" style="35" bestFit="1" customWidth="1"/>
    <col min="14073" max="14073" width="6.42578125" style="35" bestFit="1" customWidth="1"/>
    <col min="14074" max="14074" width="7.7109375" style="35" bestFit="1" customWidth="1"/>
    <col min="14075" max="14076" width="6.42578125" style="35" bestFit="1" customWidth="1"/>
    <col min="14077" max="14077" width="10" style="35" bestFit="1" customWidth="1"/>
    <col min="14078" max="14078" width="7.140625" style="35" customWidth="1"/>
    <col min="14079" max="14079" width="6.7109375" style="35" bestFit="1" customWidth="1"/>
    <col min="14080" max="14080" width="5.42578125" style="35" bestFit="1" customWidth="1"/>
    <col min="14081" max="14081" width="6.28515625" style="35" bestFit="1" customWidth="1"/>
    <col min="14082" max="14082" width="5.42578125" style="35" customWidth="1"/>
    <col min="14083" max="14083" width="6.7109375" style="35" customWidth="1"/>
    <col min="14084" max="14084" width="7.42578125" style="35" customWidth="1"/>
    <col min="14085" max="14085" width="7.140625" style="35" customWidth="1"/>
    <col min="14086" max="14086" width="9.28515625" style="35" customWidth="1"/>
    <col min="14087" max="14087" width="10.7109375" style="35" customWidth="1"/>
    <col min="14088" max="14088" width="9.140625" style="35" customWidth="1"/>
    <col min="14089" max="14325" width="9.140625" style="35"/>
    <col min="14326" max="14326" width="4.42578125" style="35" bestFit="1" customWidth="1"/>
    <col min="14327" max="14327" width="11.42578125" style="35" bestFit="1" customWidth="1"/>
    <col min="14328" max="14328" width="9.42578125" style="35" bestFit="1" customWidth="1"/>
    <col min="14329" max="14329" width="6.42578125" style="35" bestFit="1" customWidth="1"/>
    <col min="14330" max="14330" width="7.7109375" style="35" bestFit="1" customWidth="1"/>
    <col min="14331" max="14332" width="6.42578125" style="35" bestFit="1" customWidth="1"/>
    <col min="14333" max="14333" width="10" style="35" bestFit="1" customWidth="1"/>
    <col min="14334" max="14334" width="7.140625" style="35" customWidth="1"/>
    <col min="14335" max="14335" width="6.7109375" style="35" bestFit="1" customWidth="1"/>
    <col min="14336" max="14336" width="5.42578125" style="35" bestFit="1" customWidth="1"/>
    <col min="14337" max="14337" width="6.28515625" style="35" bestFit="1" customWidth="1"/>
    <col min="14338" max="14338" width="5.42578125" style="35" customWidth="1"/>
    <col min="14339" max="14339" width="6.7109375" style="35" customWidth="1"/>
    <col min="14340" max="14340" width="7.42578125" style="35" customWidth="1"/>
    <col min="14341" max="14341" width="7.140625" style="35" customWidth="1"/>
    <col min="14342" max="14342" width="9.28515625" style="35" customWidth="1"/>
    <col min="14343" max="14343" width="10.7109375" style="35" customWidth="1"/>
    <col min="14344" max="14344" width="9.140625" style="35" customWidth="1"/>
    <col min="14345" max="14581" width="9.140625" style="35"/>
    <col min="14582" max="14582" width="4.42578125" style="35" bestFit="1" customWidth="1"/>
    <col min="14583" max="14583" width="11.42578125" style="35" bestFit="1" customWidth="1"/>
    <col min="14584" max="14584" width="9.42578125" style="35" bestFit="1" customWidth="1"/>
    <col min="14585" max="14585" width="6.42578125" style="35" bestFit="1" customWidth="1"/>
    <col min="14586" max="14586" width="7.7109375" style="35" bestFit="1" customWidth="1"/>
    <col min="14587" max="14588" width="6.42578125" style="35" bestFit="1" customWidth="1"/>
    <col min="14589" max="14589" width="10" style="35" bestFit="1" customWidth="1"/>
    <col min="14590" max="14590" width="7.140625" style="35" customWidth="1"/>
    <col min="14591" max="14591" width="6.7109375" style="35" bestFit="1" customWidth="1"/>
    <col min="14592" max="14592" width="5.42578125" style="35" bestFit="1" customWidth="1"/>
    <col min="14593" max="14593" width="6.28515625" style="35" bestFit="1" customWidth="1"/>
    <col min="14594" max="14594" width="5.42578125" style="35" customWidth="1"/>
    <col min="14595" max="14595" width="6.7109375" style="35" customWidth="1"/>
    <col min="14596" max="14596" width="7.42578125" style="35" customWidth="1"/>
    <col min="14597" max="14597" width="7.140625" style="35" customWidth="1"/>
    <col min="14598" max="14598" width="9.28515625" style="35" customWidth="1"/>
    <col min="14599" max="14599" width="10.7109375" style="35" customWidth="1"/>
    <col min="14600" max="14600" width="9.140625" style="35" customWidth="1"/>
    <col min="14601" max="14837" width="9.140625" style="35"/>
    <col min="14838" max="14838" width="4.42578125" style="35" bestFit="1" customWidth="1"/>
    <col min="14839" max="14839" width="11.42578125" style="35" bestFit="1" customWidth="1"/>
    <col min="14840" max="14840" width="9.42578125" style="35" bestFit="1" customWidth="1"/>
    <col min="14841" max="14841" width="6.42578125" style="35" bestFit="1" customWidth="1"/>
    <col min="14842" max="14842" width="7.7109375" style="35" bestFit="1" customWidth="1"/>
    <col min="14843" max="14844" width="6.42578125" style="35" bestFit="1" customWidth="1"/>
    <col min="14845" max="14845" width="10" style="35" bestFit="1" customWidth="1"/>
    <col min="14846" max="14846" width="7.140625" style="35" customWidth="1"/>
    <col min="14847" max="14847" width="6.7109375" style="35" bestFit="1" customWidth="1"/>
    <col min="14848" max="14848" width="5.42578125" style="35" bestFit="1" customWidth="1"/>
    <col min="14849" max="14849" width="6.28515625" style="35" bestFit="1" customWidth="1"/>
    <col min="14850" max="14850" width="5.42578125" style="35" customWidth="1"/>
    <col min="14851" max="14851" width="6.7109375" style="35" customWidth="1"/>
    <col min="14852" max="14852" width="7.42578125" style="35" customWidth="1"/>
    <col min="14853" max="14853" width="7.140625" style="35" customWidth="1"/>
    <col min="14854" max="14854" width="9.28515625" style="35" customWidth="1"/>
    <col min="14855" max="14855" width="10.7109375" style="35" customWidth="1"/>
    <col min="14856" max="14856" width="9.140625" style="35" customWidth="1"/>
    <col min="14857" max="15093" width="9.140625" style="35"/>
    <col min="15094" max="15094" width="4.42578125" style="35" bestFit="1" customWidth="1"/>
    <col min="15095" max="15095" width="11.42578125" style="35" bestFit="1" customWidth="1"/>
    <col min="15096" max="15096" width="9.42578125" style="35" bestFit="1" customWidth="1"/>
    <col min="15097" max="15097" width="6.42578125" style="35" bestFit="1" customWidth="1"/>
    <col min="15098" max="15098" width="7.7109375" style="35" bestFit="1" customWidth="1"/>
    <col min="15099" max="15100" width="6.42578125" style="35" bestFit="1" customWidth="1"/>
    <col min="15101" max="15101" width="10" style="35" bestFit="1" customWidth="1"/>
    <col min="15102" max="15102" width="7.140625" style="35" customWidth="1"/>
    <col min="15103" max="15103" width="6.7109375" style="35" bestFit="1" customWidth="1"/>
    <col min="15104" max="15104" width="5.42578125" style="35" bestFit="1" customWidth="1"/>
    <col min="15105" max="15105" width="6.28515625" style="35" bestFit="1" customWidth="1"/>
    <col min="15106" max="15106" width="5.42578125" style="35" customWidth="1"/>
    <col min="15107" max="15107" width="6.7109375" style="35" customWidth="1"/>
    <col min="15108" max="15108" width="7.42578125" style="35" customWidth="1"/>
    <col min="15109" max="15109" width="7.140625" style="35" customWidth="1"/>
    <col min="15110" max="15110" width="9.28515625" style="35" customWidth="1"/>
    <col min="15111" max="15111" width="10.7109375" style="35" customWidth="1"/>
    <col min="15112" max="15112" width="9.140625" style="35" customWidth="1"/>
    <col min="15113" max="15349" width="9.140625" style="35"/>
    <col min="15350" max="15350" width="4.42578125" style="35" bestFit="1" customWidth="1"/>
    <col min="15351" max="15351" width="11.42578125" style="35" bestFit="1" customWidth="1"/>
    <col min="15352" max="15352" width="9.42578125" style="35" bestFit="1" customWidth="1"/>
    <col min="15353" max="15353" width="6.42578125" style="35" bestFit="1" customWidth="1"/>
    <col min="15354" max="15354" width="7.7109375" style="35" bestFit="1" customWidth="1"/>
    <col min="15355" max="15356" width="6.42578125" style="35" bestFit="1" customWidth="1"/>
    <col min="15357" max="15357" width="10" style="35" bestFit="1" customWidth="1"/>
    <col min="15358" max="15358" width="7.140625" style="35" customWidth="1"/>
    <col min="15359" max="15359" width="6.7109375" style="35" bestFit="1" customWidth="1"/>
    <col min="15360" max="15360" width="5.42578125" style="35" bestFit="1" customWidth="1"/>
    <col min="15361" max="15361" width="6.28515625" style="35" bestFit="1" customWidth="1"/>
    <col min="15362" max="15362" width="5.42578125" style="35" customWidth="1"/>
    <col min="15363" max="15363" width="6.7109375" style="35" customWidth="1"/>
    <col min="15364" max="15364" width="7.42578125" style="35" customWidth="1"/>
    <col min="15365" max="15365" width="7.140625" style="35" customWidth="1"/>
    <col min="15366" max="15366" width="9.28515625" style="35" customWidth="1"/>
    <col min="15367" max="15367" width="10.7109375" style="35" customWidth="1"/>
    <col min="15368" max="15368" width="9.140625" style="35" customWidth="1"/>
    <col min="15369" max="15605" width="9.140625" style="35"/>
    <col min="15606" max="15606" width="4.42578125" style="35" bestFit="1" customWidth="1"/>
    <col min="15607" max="15607" width="11.42578125" style="35" bestFit="1" customWidth="1"/>
    <col min="15608" max="15608" width="9.42578125" style="35" bestFit="1" customWidth="1"/>
    <col min="15609" max="15609" width="6.42578125" style="35" bestFit="1" customWidth="1"/>
    <col min="15610" max="15610" width="7.7109375" style="35" bestFit="1" customWidth="1"/>
    <col min="15611" max="15612" width="6.42578125" style="35" bestFit="1" customWidth="1"/>
    <col min="15613" max="15613" width="10" style="35" bestFit="1" customWidth="1"/>
    <col min="15614" max="15614" width="7.140625" style="35" customWidth="1"/>
    <col min="15615" max="15615" width="6.7109375" style="35" bestFit="1" customWidth="1"/>
    <col min="15616" max="15616" width="5.42578125" style="35" bestFit="1" customWidth="1"/>
    <col min="15617" max="15617" width="6.28515625" style="35" bestFit="1" customWidth="1"/>
    <col min="15618" max="15618" width="5.42578125" style="35" customWidth="1"/>
    <col min="15619" max="15619" width="6.7109375" style="35" customWidth="1"/>
    <col min="15620" max="15620" width="7.42578125" style="35" customWidth="1"/>
    <col min="15621" max="15621" width="7.140625" style="35" customWidth="1"/>
    <col min="15622" max="15622" width="9.28515625" style="35" customWidth="1"/>
    <col min="15623" max="15623" width="10.7109375" style="35" customWidth="1"/>
    <col min="15624" max="15624" width="9.140625" style="35" customWidth="1"/>
    <col min="15625" max="15861" width="9.140625" style="35"/>
    <col min="15862" max="15862" width="4.42578125" style="35" bestFit="1" customWidth="1"/>
    <col min="15863" max="15863" width="11.42578125" style="35" bestFit="1" customWidth="1"/>
    <col min="15864" max="15864" width="9.42578125" style="35" bestFit="1" customWidth="1"/>
    <col min="15865" max="15865" width="6.42578125" style="35" bestFit="1" customWidth="1"/>
    <col min="15866" max="15866" width="7.7109375" style="35" bestFit="1" customWidth="1"/>
    <col min="15867" max="15868" width="6.42578125" style="35" bestFit="1" customWidth="1"/>
    <col min="15869" max="15869" width="10" style="35" bestFit="1" customWidth="1"/>
    <col min="15870" max="15870" width="7.140625" style="35" customWidth="1"/>
    <col min="15871" max="15871" width="6.7109375" style="35" bestFit="1" customWidth="1"/>
    <col min="15872" max="15872" width="5.42578125" style="35" bestFit="1" customWidth="1"/>
    <col min="15873" max="15873" width="6.28515625" style="35" bestFit="1" customWidth="1"/>
    <col min="15874" max="15874" width="5.42578125" style="35" customWidth="1"/>
    <col min="15875" max="15875" width="6.7109375" style="35" customWidth="1"/>
    <col min="15876" max="15876" width="7.42578125" style="35" customWidth="1"/>
    <col min="15877" max="15877" width="7.140625" style="35" customWidth="1"/>
    <col min="15878" max="15878" width="9.28515625" style="35" customWidth="1"/>
    <col min="15879" max="15879" width="10.7109375" style="35" customWidth="1"/>
    <col min="15880" max="15880" width="9.140625" style="35" customWidth="1"/>
    <col min="15881" max="16117" width="9.140625" style="35"/>
    <col min="16118" max="16118" width="4.42578125" style="35" bestFit="1" customWidth="1"/>
    <col min="16119" max="16119" width="11.42578125" style="35" bestFit="1" customWidth="1"/>
    <col min="16120" max="16120" width="9.42578125" style="35" bestFit="1" customWidth="1"/>
    <col min="16121" max="16121" width="6.42578125" style="35" bestFit="1" customWidth="1"/>
    <col min="16122" max="16122" width="7.7109375" style="35" bestFit="1" customWidth="1"/>
    <col min="16123" max="16124" width="6.42578125" style="35" bestFit="1" customWidth="1"/>
    <col min="16125" max="16125" width="10" style="35" bestFit="1" customWidth="1"/>
    <col min="16126" max="16126" width="7.140625" style="35" customWidth="1"/>
    <col min="16127" max="16127" width="6.7109375" style="35" bestFit="1" customWidth="1"/>
    <col min="16128" max="16128" width="5.42578125" style="35" bestFit="1" customWidth="1"/>
    <col min="16129" max="16129" width="6.28515625" style="35" bestFit="1" customWidth="1"/>
    <col min="16130" max="16130" width="5.42578125" style="35" customWidth="1"/>
    <col min="16131" max="16131" width="6.7109375" style="35" customWidth="1"/>
    <col min="16132" max="16132" width="7.42578125" style="35" customWidth="1"/>
    <col min="16133" max="16133" width="7.140625" style="35" customWidth="1"/>
    <col min="16134" max="16134" width="9.28515625" style="35" customWidth="1"/>
    <col min="16135" max="16135" width="10.7109375" style="35" customWidth="1"/>
    <col min="16136" max="16136" width="9.140625" style="35" customWidth="1"/>
    <col min="16137" max="16373" width="9.140625" style="35"/>
    <col min="16374" max="16384" width="9.140625" style="35" customWidth="1"/>
  </cols>
  <sheetData>
    <row r="1" spans="1:21" s="34" customFormat="1" ht="44.1" customHeight="1">
      <c r="A1" s="62" t="s">
        <v>10</v>
      </c>
      <c r="B1" s="36" t="s">
        <v>11</v>
      </c>
      <c r="C1" s="36" t="s">
        <v>12</v>
      </c>
      <c r="D1" s="57" t="s">
        <v>13</v>
      </c>
      <c r="E1" s="54" t="s">
        <v>14</v>
      </c>
      <c r="F1" s="37" t="s">
        <v>15</v>
      </c>
      <c r="G1" s="37" t="s">
        <v>16</v>
      </c>
      <c r="H1" s="36" t="s">
        <v>17</v>
      </c>
      <c r="I1" s="36" t="s">
        <v>18</v>
      </c>
      <c r="J1" s="36" t="s">
        <v>19</v>
      </c>
      <c r="K1" s="36" t="s">
        <v>20</v>
      </c>
      <c r="L1" s="36" t="s">
        <v>21</v>
      </c>
      <c r="M1" s="36" t="s">
        <v>22</v>
      </c>
      <c r="N1" s="59" t="s">
        <v>23</v>
      </c>
      <c r="O1" s="59" t="s">
        <v>24</v>
      </c>
      <c r="P1" s="59" t="s">
        <v>25</v>
      </c>
      <c r="Q1" s="57" t="s">
        <v>26</v>
      </c>
      <c r="R1" s="36" t="s">
        <v>27</v>
      </c>
      <c r="S1" s="36" t="s">
        <v>28</v>
      </c>
      <c r="T1" s="38" t="s">
        <v>29</v>
      </c>
      <c r="U1" s="38" t="s">
        <v>30</v>
      </c>
    </row>
    <row r="2" spans="1:21">
      <c r="A2" s="83">
        <v>2022</v>
      </c>
      <c r="B2" s="35" t="s">
        <v>31</v>
      </c>
      <c r="C2" s="77">
        <v>28672</v>
      </c>
      <c r="D2" s="58">
        <v>37</v>
      </c>
      <c r="E2" s="79">
        <v>44817</v>
      </c>
      <c r="F2" s="35" t="s">
        <v>32</v>
      </c>
      <c r="G2" s="83" t="s">
        <v>33</v>
      </c>
      <c r="H2" s="35" t="s">
        <v>34</v>
      </c>
      <c r="I2" s="83" t="s">
        <v>35</v>
      </c>
      <c r="J2" s="35" t="s">
        <v>36</v>
      </c>
      <c r="K2" s="35" t="s">
        <v>37</v>
      </c>
      <c r="L2" s="35" t="s">
        <v>38</v>
      </c>
      <c r="M2" s="35" t="s">
        <v>39</v>
      </c>
      <c r="O2" s="61">
        <v>2</v>
      </c>
      <c r="P2" s="61">
        <v>2</v>
      </c>
      <c r="Q2" s="58">
        <v>0</v>
      </c>
      <c r="R2" s="35" t="s">
        <v>40</v>
      </c>
      <c r="T2" s="35" t="s">
        <v>41</v>
      </c>
      <c r="U2" s="35" t="s">
        <v>42</v>
      </c>
    </row>
    <row r="3" spans="1:21">
      <c r="A3" s="83">
        <v>2022</v>
      </c>
      <c r="B3" s="35" t="s">
        <v>43</v>
      </c>
      <c r="C3" s="77">
        <v>28673</v>
      </c>
      <c r="D3" s="58">
        <v>37</v>
      </c>
      <c r="E3" s="79">
        <v>44817</v>
      </c>
      <c r="F3" s="35" t="s">
        <v>32</v>
      </c>
      <c r="G3" s="83" t="s">
        <v>33</v>
      </c>
      <c r="H3" s="35" t="s">
        <v>34</v>
      </c>
      <c r="I3" s="83" t="s">
        <v>35</v>
      </c>
      <c r="J3" s="35" t="s">
        <v>36</v>
      </c>
      <c r="K3" s="35" t="s">
        <v>37</v>
      </c>
      <c r="L3" s="35" t="s">
        <v>44</v>
      </c>
      <c r="M3" s="35" t="s">
        <v>39</v>
      </c>
      <c r="O3" s="61">
        <v>5</v>
      </c>
      <c r="P3" s="61">
        <v>5</v>
      </c>
      <c r="Q3" s="58">
        <v>0</v>
      </c>
      <c r="R3" s="35" t="s">
        <v>40</v>
      </c>
      <c r="T3" s="35" t="s">
        <v>45</v>
      </c>
      <c r="U3" s="35" t="s">
        <v>46</v>
      </c>
    </row>
    <row r="4" spans="1:21">
      <c r="A4" s="83">
        <v>2022</v>
      </c>
      <c r="B4" s="35" t="s">
        <v>47</v>
      </c>
      <c r="C4" s="77">
        <v>28674</v>
      </c>
      <c r="D4" s="58">
        <v>37</v>
      </c>
      <c r="E4" s="79">
        <v>44817</v>
      </c>
      <c r="F4" s="35" t="s">
        <v>32</v>
      </c>
      <c r="G4" s="83" t="s">
        <v>33</v>
      </c>
      <c r="H4" s="35" t="s">
        <v>48</v>
      </c>
      <c r="I4" s="83" t="s">
        <v>35</v>
      </c>
      <c r="J4" s="35" t="s">
        <v>36</v>
      </c>
      <c r="K4" s="35" t="s">
        <v>37</v>
      </c>
      <c r="L4" s="35" t="s">
        <v>38</v>
      </c>
      <c r="M4" s="35" t="s">
        <v>39</v>
      </c>
      <c r="O4" s="61">
        <v>1</v>
      </c>
      <c r="P4" s="61">
        <v>1</v>
      </c>
      <c r="Q4" s="58">
        <v>0</v>
      </c>
      <c r="R4" s="35" t="s">
        <v>40</v>
      </c>
      <c r="T4" s="35" t="s">
        <v>41</v>
      </c>
      <c r="U4" s="35" t="s">
        <v>42</v>
      </c>
    </row>
    <row r="5" spans="1:21">
      <c r="A5" s="83">
        <v>2022</v>
      </c>
      <c r="B5" s="35" t="s">
        <v>49</v>
      </c>
      <c r="C5" s="77">
        <v>28675</v>
      </c>
      <c r="D5" s="58">
        <v>37</v>
      </c>
      <c r="E5" s="79">
        <v>44817</v>
      </c>
      <c r="F5" s="35" t="s">
        <v>32</v>
      </c>
      <c r="G5" s="83" t="s">
        <v>33</v>
      </c>
      <c r="H5" s="35" t="s">
        <v>48</v>
      </c>
      <c r="I5" s="83" t="s">
        <v>35</v>
      </c>
      <c r="J5" s="35" t="s">
        <v>36</v>
      </c>
      <c r="K5" s="35" t="s">
        <v>37</v>
      </c>
      <c r="L5" s="35" t="s">
        <v>44</v>
      </c>
      <c r="M5" s="35" t="s">
        <v>39</v>
      </c>
      <c r="O5" s="61">
        <v>2</v>
      </c>
      <c r="P5" s="61">
        <v>2</v>
      </c>
      <c r="Q5" s="58">
        <v>0</v>
      </c>
      <c r="R5" s="35" t="s">
        <v>40</v>
      </c>
      <c r="T5" s="35" t="s">
        <v>45</v>
      </c>
      <c r="U5" s="35" t="s">
        <v>46</v>
      </c>
    </row>
    <row r="6" spans="1:21">
      <c r="A6" s="83">
        <v>2022</v>
      </c>
      <c r="B6" s="35" t="s">
        <v>50</v>
      </c>
      <c r="C6" s="77">
        <v>28676</v>
      </c>
      <c r="D6" s="58">
        <v>37</v>
      </c>
      <c r="E6" s="79">
        <v>44817</v>
      </c>
      <c r="F6" s="35" t="s">
        <v>32</v>
      </c>
      <c r="G6" s="83" t="s">
        <v>33</v>
      </c>
      <c r="H6" s="35" t="s">
        <v>51</v>
      </c>
      <c r="I6" s="83" t="s">
        <v>35</v>
      </c>
      <c r="J6" s="35" t="s">
        <v>36</v>
      </c>
      <c r="K6" s="35" t="s">
        <v>37</v>
      </c>
      <c r="L6" s="35" t="s">
        <v>44</v>
      </c>
      <c r="M6" s="35" t="s">
        <v>39</v>
      </c>
      <c r="O6" s="61">
        <v>3</v>
      </c>
      <c r="P6" s="61">
        <v>3</v>
      </c>
      <c r="Q6" s="58">
        <v>0</v>
      </c>
      <c r="R6" s="35" t="s">
        <v>40</v>
      </c>
      <c r="T6" s="35" t="s">
        <v>45</v>
      </c>
      <c r="U6" s="35" t="s">
        <v>46</v>
      </c>
    </row>
    <row r="7" spans="1:21">
      <c r="A7" s="61">
        <v>2022</v>
      </c>
      <c r="B7" s="35" t="s">
        <v>52</v>
      </c>
      <c r="C7" s="77">
        <v>28677</v>
      </c>
      <c r="D7" s="58">
        <v>37</v>
      </c>
      <c r="E7" s="79">
        <v>44817</v>
      </c>
      <c r="F7" s="35" t="s">
        <v>32</v>
      </c>
      <c r="G7" s="83" t="s">
        <v>33</v>
      </c>
      <c r="H7" s="35" t="s">
        <v>53</v>
      </c>
      <c r="I7" s="83" t="s">
        <v>35</v>
      </c>
      <c r="J7" s="35" t="s">
        <v>36</v>
      </c>
      <c r="K7" s="35" t="s">
        <v>37</v>
      </c>
      <c r="L7" s="35" t="s">
        <v>44</v>
      </c>
      <c r="M7" s="35" t="s">
        <v>39</v>
      </c>
      <c r="O7" s="61">
        <v>1</v>
      </c>
      <c r="P7" s="61">
        <v>1</v>
      </c>
      <c r="Q7" s="58">
        <v>0</v>
      </c>
      <c r="R7" s="35" t="s">
        <v>40</v>
      </c>
      <c r="T7" s="35" t="s">
        <v>45</v>
      </c>
      <c r="U7" s="35" t="s">
        <v>46</v>
      </c>
    </row>
    <row r="8" spans="1:21">
      <c r="A8" s="61">
        <v>2022</v>
      </c>
      <c r="B8" s="35" t="s">
        <v>54</v>
      </c>
      <c r="C8" s="77">
        <v>28678</v>
      </c>
      <c r="D8" s="58">
        <v>37</v>
      </c>
      <c r="E8" s="79">
        <v>44817</v>
      </c>
      <c r="F8" s="35" t="s">
        <v>32</v>
      </c>
      <c r="G8" s="35" t="s">
        <v>33</v>
      </c>
      <c r="H8" s="35" t="s">
        <v>55</v>
      </c>
      <c r="I8" s="83" t="s">
        <v>35</v>
      </c>
      <c r="J8" s="35" t="s">
        <v>36</v>
      </c>
      <c r="K8" s="35" t="s">
        <v>37</v>
      </c>
      <c r="L8" s="35" t="s">
        <v>38</v>
      </c>
      <c r="M8" s="35" t="s">
        <v>39</v>
      </c>
      <c r="O8" s="61">
        <v>8</v>
      </c>
      <c r="P8" s="61">
        <v>8</v>
      </c>
      <c r="Q8" s="58">
        <v>0</v>
      </c>
      <c r="R8" s="35" t="s">
        <v>40</v>
      </c>
      <c r="T8" s="35" t="s">
        <v>41</v>
      </c>
      <c r="U8" s="35" t="s">
        <v>42</v>
      </c>
    </row>
    <row r="9" spans="1:21">
      <c r="A9" s="61">
        <v>2022</v>
      </c>
      <c r="B9" s="35" t="s">
        <v>56</v>
      </c>
      <c r="C9" s="77">
        <v>28679</v>
      </c>
      <c r="D9" s="58">
        <v>37</v>
      </c>
      <c r="E9" s="79">
        <v>44817</v>
      </c>
      <c r="F9" s="35" t="s">
        <v>32</v>
      </c>
      <c r="G9" s="35" t="s">
        <v>33</v>
      </c>
      <c r="H9" s="35" t="s">
        <v>55</v>
      </c>
      <c r="I9" s="83" t="s">
        <v>35</v>
      </c>
      <c r="J9" s="35" t="s">
        <v>36</v>
      </c>
      <c r="K9" s="35" t="s">
        <v>37</v>
      </c>
      <c r="L9" s="35" t="s">
        <v>44</v>
      </c>
      <c r="M9" s="35" t="s">
        <v>39</v>
      </c>
      <c r="O9" s="61">
        <v>17</v>
      </c>
      <c r="P9" s="61">
        <v>17</v>
      </c>
      <c r="Q9" s="58">
        <v>0</v>
      </c>
      <c r="R9" s="35" t="s">
        <v>40</v>
      </c>
      <c r="T9" s="35" t="s">
        <v>45</v>
      </c>
      <c r="U9" s="35" t="s">
        <v>46</v>
      </c>
    </row>
    <row r="10" spans="1:21">
      <c r="A10" s="61">
        <v>2022</v>
      </c>
      <c r="B10" s="35" t="s">
        <v>57</v>
      </c>
      <c r="C10" s="77">
        <v>28680</v>
      </c>
      <c r="D10" s="58">
        <v>37</v>
      </c>
      <c r="E10" s="79">
        <v>44817</v>
      </c>
      <c r="F10" s="35" t="s">
        <v>32</v>
      </c>
      <c r="G10" s="35" t="s">
        <v>33</v>
      </c>
      <c r="H10" s="35" t="s">
        <v>58</v>
      </c>
      <c r="I10" s="35" t="s">
        <v>35</v>
      </c>
      <c r="J10" s="35" t="s">
        <v>59</v>
      </c>
      <c r="K10" s="35" t="s">
        <v>37</v>
      </c>
      <c r="L10" s="35" t="s">
        <v>44</v>
      </c>
      <c r="M10" s="35" t="s">
        <v>39</v>
      </c>
      <c r="N10" s="61">
        <v>18</v>
      </c>
      <c r="P10" s="61">
        <v>18</v>
      </c>
      <c r="Q10" s="58">
        <v>0</v>
      </c>
      <c r="R10" s="35" t="s">
        <v>40</v>
      </c>
      <c r="T10" s="35" t="s">
        <v>45</v>
      </c>
      <c r="U10" s="35" t="s">
        <v>46</v>
      </c>
    </row>
    <row r="11" spans="1:21">
      <c r="A11" s="61">
        <v>2022</v>
      </c>
      <c r="B11" s="35" t="s">
        <v>60</v>
      </c>
      <c r="C11" s="77">
        <v>28681</v>
      </c>
      <c r="D11" s="58">
        <v>37</v>
      </c>
      <c r="E11" s="79">
        <v>44817</v>
      </c>
      <c r="F11" s="35" t="s">
        <v>32</v>
      </c>
      <c r="G11" s="35" t="s">
        <v>33</v>
      </c>
      <c r="H11" s="35" t="s">
        <v>61</v>
      </c>
      <c r="I11" s="35" t="s">
        <v>35</v>
      </c>
      <c r="J11" s="35" t="s">
        <v>36</v>
      </c>
      <c r="K11" s="35" t="s">
        <v>37</v>
      </c>
      <c r="L11" s="35" t="s">
        <v>38</v>
      </c>
      <c r="M11" s="35" t="s">
        <v>39</v>
      </c>
      <c r="O11" s="61">
        <v>4</v>
      </c>
      <c r="P11" s="61">
        <v>4</v>
      </c>
      <c r="Q11" s="58">
        <v>0</v>
      </c>
      <c r="R11" s="35" t="s">
        <v>40</v>
      </c>
      <c r="T11" s="35" t="s">
        <v>41</v>
      </c>
      <c r="U11" s="35" t="s">
        <v>42</v>
      </c>
    </row>
    <row r="12" spans="1:21">
      <c r="A12" s="61">
        <v>2022</v>
      </c>
      <c r="B12" s="35" t="s">
        <v>62</v>
      </c>
      <c r="C12" s="77">
        <v>28682</v>
      </c>
      <c r="D12" s="58">
        <v>37</v>
      </c>
      <c r="E12" s="56">
        <v>44817</v>
      </c>
      <c r="F12" s="35" t="s">
        <v>32</v>
      </c>
      <c r="G12" s="35" t="s">
        <v>33</v>
      </c>
      <c r="H12" s="35" t="s">
        <v>61</v>
      </c>
      <c r="I12" s="35" t="s">
        <v>35</v>
      </c>
      <c r="J12" s="35" t="s">
        <v>36</v>
      </c>
      <c r="K12" s="35" t="s">
        <v>37</v>
      </c>
      <c r="L12" s="35" t="s">
        <v>44</v>
      </c>
      <c r="M12" s="35" t="s">
        <v>39</v>
      </c>
      <c r="O12" s="61">
        <v>50</v>
      </c>
      <c r="P12" s="61">
        <v>50</v>
      </c>
      <c r="Q12" s="58">
        <v>0</v>
      </c>
      <c r="R12" s="35" t="s">
        <v>40</v>
      </c>
      <c r="T12" s="35" t="s">
        <v>45</v>
      </c>
      <c r="U12" s="35" t="s">
        <v>46</v>
      </c>
    </row>
    <row r="13" spans="1:21">
      <c r="A13" s="61">
        <v>2022</v>
      </c>
      <c r="B13" s="35" t="s">
        <v>63</v>
      </c>
      <c r="C13" s="77">
        <v>28683</v>
      </c>
      <c r="D13" s="58">
        <v>37</v>
      </c>
      <c r="E13" s="56">
        <v>44817</v>
      </c>
      <c r="F13" s="35" t="s">
        <v>32</v>
      </c>
      <c r="G13" s="35" t="s">
        <v>33</v>
      </c>
      <c r="H13" s="35" t="s">
        <v>61</v>
      </c>
      <c r="I13" s="35" t="s">
        <v>35</v>
      </c>
      <c r="J13" s="35" t="s">
        <v>36</v>
      </c>
      <c r="K13" s="35" t="s">
        <v>37</v>
      </c>
      <c r="L13" s="35" t="s">
        <v>44</v>
      </c>
      <c r="M13" s="35" t="s">
        <v>39</v>
      </c>
      <c r="O13" s="61">
        <v>40</v>
      </c>
      <c r="P13" s="61">
        <v>40</v>
      </c>
      <c r="Q13" s="58">
        <v>0</v>
      </c>
      <c r="R13" s="35" t="s">
        <v>40</v>
      </c>
      <c r="T13" s="35" t="s">
        <v>45</v>
      </c>
      <c r="U13" s="35" t="s">
        <v>46</v>
      </c>
    </row>
    <row r="14" spans="1:21">
      <c r="A14" s="61">
        <v>2022</v>
      </c>
      <c r="B14" s="35" t="s">
        <v>64</v>
      </c>
      <c r="C14" s="77">
        <v>28684</v>
      </c>
      <c r="D14" s="58">
        <v>37</v>
      </c>
      <c r="E14" s="56">
        <v>44817</v>
      </c>
      <c r="F14" s="35" t="s">
        <v>32</v>
      </c>
      <c r="G14" s="35" t="s">
        <v>33</v>
      </c>
      <c r="H14" s="35" t="s">
        <v>65</v>
      </c>
      <c r="I14" s="35" t="s">
        <v>35</v>
      </c>
      <c r="J14" s="35" t="s">
        <v>36</v>
      </c>
      <c r="K14" s="35" t="s">
        <v>37</v>
      </c>
      <c r="L14" s="35" t="s">
        <v>38</v>
      </c>
      <c r="M14" s="35" t="s">
        <v>39</v>
      </c>
      <c r="O14" s="61">
        <v>3</v>
      </c>
      <c r="P14" s="61">
        <v>3</v>
      </c>
      <c r="Q14" s="58">
        <v>0</v>
      </c>
      <c r="R14" s="35" t="s">
        <v>40</v>
      </c>
      <c r="T14" s="35" t="s">
        <v>41</v>
      </c>
      <c r="U14" s="35" t="s">
        <v>42</v>
      </c>
    </row>
    <row r="15" spans="1:21">
      <c r="A15" s="61">
        <v>2022</v>
      </c>
      <c r="B15" s="35" t="s">
        <v>66</v>
      </c>
      <c r="C15" s="77">
        <v>28685</v>
      </c>
      <c r="D15" s="58">
        <v>37</v>
      </c>
      <c r="E15" s="56">
        <v>44817</v>
      </c>
      <c r="F15" s="35" t="s">
        <v>32</v>
      </c>
      <c r="G15" s="35" t="s">
        <v>33</v>
      </c>
      <c r="H15" s="35" t="s">
        <v>65</v>
      </c>
      <c r="I15" s="83" t="s">
        <v>35</v>
      </c>
      <c r="J15" s="35" t="s">
        <v>36</v>
      </c>
      <c r="K15" s="35" t="s">
        <v>37</v>
      </c>
      <c r="L15" s="35" t="s">
        <v>44</v>
      </c>
      <c r="M15" s="35" t="s">
        <v>39</v>
      </c>
      <c r="O15" s="61">
        <v>50</v>
      </c>
      <c r="P15" s="61">
        <v>50</v>
      </c>
      <c r="Q15" s="58">
        <v>0</v>
      </c>
      <c r="R15" s="35" t="s">
        <v>40</v>
      </c>
      <c r="T15" s="35" t="s">
        <v>45</v>
      </c>
      <c r="U15" s="35" t="s">
        <v>46</v>
      </c>
    </row>
    <row r="16" spans="1:21">
      <c r="A16" s="61">
        <v>2022</v>
      </c>
      <c r="B16" s="35" t="s">
        <v>67</v>
      </c>
      <c r="C16" s="77">
        <v>28686</v>
      </c>
      <c r="D16" s="58">
        <v>37</v>
      </c>
      <c r="E16" s="56">
        <v>44817</v>
      </c>
      <c r="F16" s="35" t="s">
        <v>32</v>
      </c>
      <c r="G16" s="35" t="s">
        <v>33</v>
      </c>
      <c r="H16" s="35" t="s">
        <v>65</v>
      </c>
      <c r="I16" s="83" t="s">
        <v>35</v>
      </c>
      <c r="J16" s="35" t="s">
        <v>36</v>
      </c>
      <c r="K16" s="35" t="s">
        <v>37</v>
      </c>
      <c r="L16" s="35" t="s">
        <v>44</v>
      </c>
      <c r="M16" s="35" t="s">
        <v>39</v>
      </c>
      <c r="O16" s="61">
        <v>23</v>
      </c>
      <c r="P16" s="61">
        <v>23</v>
      </c>
      <c r="Q16" s="58">
        <v>0</v>
      </c>
      <c r="R16" s="35" t="s">
        <v>40</v>
      </c>
      <c r="T16" s="35" t="s">
        <v>45</v>
      </c>
      <c r="U16" s="35" t="s">
        <v>46</v>
      </c>
    </row>
    <row r="17" spans="1:21">
      <c r="A17" s="61">
        <v>2022</v>
      </c>
      <c r="B17" s="76" t="s">
        <v>68</v>
      </c>
      <c r="C17" s="77">
        <v>28687</v>
      </c>
      <c r="D17" s="78">
        <v>37</v>
      </c>
      <c r="E17" s="79">
        <v>44817</v>
      </c>
      <c r="F17" s="80" t="s">
        <v>32</v>
      </c>
      <c r="G17" s="81" t="s">
        <v>33</v>
      </c>
      <c r="H17" s="81" t="s">
        <v>69</v>
      </c>
      <c r="I17" s="81" t="s">
        <v>35</v>
      </c>
      <c r="J17" s="81" t="s">
        <v>36</v>
      </c>
      <c r="K17" s="80" t="s">
        <v>37</v>
      </c>
      <c r="L17" s="35" t="s">
        <v>38</v>
      </c>
      <c r="M17" s="80" t="s">
        <v>39</v>
      </c>
      <c r="N17" s="82"/>
      <c r="O17" s="82">
        <v>2</v>
      </c>
      <c r="P17" s="82">
        <v>2</v>
      </c>
      <c r="Q17" s="58">
        <v>0</v>
      </c>
      <c r="R17" s="35" t="s">
        <v>40</v>
      </c>
      <c r="T17" s="35" t="s">
        <v>41</v>
      </c>
      <c r="U17" s="35" t="s">
        <v>42</v>
      </c>
    </row>
    <row r="18" spans="1:21">
      <c r="A18" s="61">
        <v>2022</v>
      </c>
      <c r="B18" s="76" t="s">
        <v>70</v>
      </c>
      <c r="C18" s="77">
        <v>28688</v>
      </c>
      <c r="D18" s="78">
        <v>37</v>
      </c>
      <c r="E18" s="79">
        <v>44817</v>
      </c>
      <c r="F18" s="80" t="s">
        <v>32</v>
      </c>
      <c r="G18" s="81" t="s">
        <v>33</v>
      </c>
      <c r="H18" s="81" t="s">
        <v>69</v>
      </c>
      <c r="I18" s="81" t="s">
        <v>35</v>
      </c>
      <c r="J18" s="81" t="s">
        <v>36</v>
      </c>
      <c r="K18" s="80" t="s">
        <v>37</v>
      </c>
      <c r="L18" s="35" t="s">
        <v>44</v>
      </c>
      <c r="M18" s="80" t="s">
        <v>39</v>
      </c>
      <c r="N18" s="82"/>
      <c r="O18" s="82">
        <v>11</v>
      </c>
      <c r="P18" s="82">
        <v>11</v>
      </c>
      <c r="Q18" s="58">
        <v>0</v>
      </c>
      <c r="R18" s="35" t="s">
        <v>40</v>
      </c>
      <c r="T18" s="35" t="s">
        <v>45</v>
      </c>
      <c r="U18" s="35" t="s">
        <v>46</v>
      </c>
    </row>
    <row r="19" spans="1:21">
      <c r="A19" s="61">
        <v>2022</v>
      </c>
      <c r="B19" s="76" t="s">
        <v>71</v>
      </c>
      <c r="C19" s="77">
        <v>28689</v>
      </c>
      <c r="D19" s="78">
        <v>37</v>
      </c>
      <c r="E19" s="79">
        <v>44817</v>
      </c>
      <c r="F19" s="80" t="s">
        <v>32</v>
      </c>
      <c r="G19" s="81" t="s">
        <v>33</v>
      </c>
      <c r="H19" s="81" t="s">
        <v>72</v>
      </c>
      <c r="I19" s="81" t="s">
        <v>35</v>
      </c>
      <c r="J19" s="81" t="s">
        <v>36</v>
      </c>
      <c r="K19" s="80" t="s">
        <v>37</v>
      </c>
      <c r="L19" s="35" t="s">
        <v>38</v>
      </c>
      <c r="M19" s="80" t="s">
        <v>39</v>
      </c>
      <c r="N19" s="82"/>
      <c r="O19" s="82">
        <v>4</v>
      </c>
      <c r="P19" s="82">
        <v>4</v>
      </c>
      <c r="Q19" s="58">
        <v>0</v>
      </c>
      <c r="R19" s="35" t="s">
        <v>40</v>
      </c>
      <c r="T19" s="35" t="s">
        <v>41</v>
      </c>
      <c r="U19" s="35" t="s">
        <v>42</v>
      </c>
    </row>
    <row r="20" spans="1:21">
      <c r="A20" s="61">
        <v>2022</v>
      </c>
      <c r="B20" s="76" t="s">
        <v>73</v>
      </c>
      <c r="C20" s="77">
        <v>28690</v>
      </c>
      <c r="D20" s="78">
        <v>37</v>
      </c>
      <c r="E20" s="79">
        <v>44817</v>
      </c>
      <c r="F20" s="80" t="s">
        <v>32</v>
      </c>
      <c r="G20" s="81" t="s">
        <v>33</v>
      </c>
      <c r="H20" s="81" t="s">
        <v>72</v>
      </c>
      <c r="I20" s="81" t="s">
        <v>35</v>
      </c>
      <c r="J20" s="81" t="s">
        <v>36</v>
      </c>
      <c r="K20" s="80" t="s">
        <v>37</v>
      </c>
      <c r="L20" s="35" t="s">
        <v>44</v>
      </c>
      <c r="M20" s="80" t="s">
        <v>39</v>
      </c>
      <c r="N20" s="82"/>
      <c r="O20" s="82">
        <v>50</v>
      </c>
      <c r="P20" s="82">
        <v>50</v>
      </c>
      <c r="Q20" s="58">
        <v>0</v>
      </c>
      <c r="R20" s="35" t="s">
        <v>40</v>
      </c>
      <c r="T20" s="35" t="s">
        <v>45</v>
      </c>
      <c r="U20" s="35" t="s">
        <v>46</v>
      </c>
    </row>
    <row r="21" spans="1:21">
      <c r="A21" s="61">
        <v>2022</v>
      </c>
      <c r="B21" s="76" t="s">
        <v>74</v>
      </c>
      <c r="C21" s="77">
        <v>28691</v>
      </c>
      <c r="D21" s="78">
        <v>37</v>
      </c>
      <c r="E21" s="79">
        <v>44817</v>
      </c>
      <c r="F21" s="80" t="s">
        <v>32</v>
      </c>
      <c r="G21" s="81" t="s">
        <v>33</v>
      </c>
      <c r="H21" s="81" t="s">
        <v>72</v>
      </c>
      <c r="I21" s="81" t="s">
        <v>35</v>
      </c>
      <c r="J21" s="81" t="s">
        <v>36</v>
      </c>
      <c r="K21" s="80" t="s">
        <v>37</v>
      </c>
      <c r="L21" s="35" t="s">
        <v>44</v>
      </c>
      <c r="M21" s="80" t="s">
        <v>39</v>
      </c>
      <c r="N21" s="82"/>
      <c r="O21" s="82">
        <v>30</v>
      </c>
      <c r="P21" s="82">
        <v>30</v>
      </c>
      <c r="Q21" s="58">
        <v>0</v>
      </c>
      <c r="R21" s="35" t="s">
        <v>40</v>
      </c>
      <c r="T21" s="35" t="s">
        <v>45</v>
      </c>
      <c r="U21" s="35" t="s">
        <v>46</v>
      </c>
    </row>
    <row r="22" spans="1:21">
      <c r="A22" s="61">
        <v>2022</v>
      </c>
      <c r="B22" s="76" t="s">
        <v>75</v>
      </c>
      <c r="C22" s="77">
        <v>28692</v>
      </c>
      <c r="D22" s="78">
        <v>37</v>
      </c>
      <c r="E22" s="79">
        <v>44817</v>
      </c>
      <c r="F22" s="80" t="s">
        <v>32</v>
      </c>
      <c r="G22" s="81" t="s">
        <v>33</v>
      </c>
      <c r="H22" s="81" t="s">
        <v>76</v>
      </c>
      <c r="I22" s="81" t="s">
        <v>35</v>
      </c>
      <c r="J22" s="81" t="s">
        <v>36</v>
      </c>
      <c r="K22" s="80" t="s">
        <v>37</v>
      </c>
      <c r="L22" s="35" t="s">
        <v>38</v>
      </c>
      <c r="M22" s="80" t="s">
        <v>39</v>
      </c>
      <c r="N22" s="82"/>
      <c r="O22" s="82">
        <v>2</v>
      </c>
      <c r="P22" s="82">
        <v>2</v>
      </c>
      <c r="Q22" s="58">
        <v>0</v>
      </c>
      <c r="R22" s="35" t="s">
        <v>40</v>
      </c>
      <c r="T22" s="35" t="s">
        <v>41</v>
      </c>
      <c r="U22" s="35" t="s">
        <v>42</v>
      </c>
    </row>
    <row r="23" spans="1:21">
      <c r="A23" s="61">
        <v>2022</v>
      </c>
      <c r="B23" s="35" t="s">
        <v>77</v>
      </c>
      <c r="C23" s="77">
        <v>28693</v>
      </c>
      <c r="D23" s="58">
        <v>37</v>
      </c>
      <c r="E23" s="79">
        <v>44817</v>
      </c>
      <c r="F23" s="35" t="s">
        <v>32</v>
      </c>
      <c r="G23" s="83" t="s">
        <v>33</v>
      </c>
      <c r="H23" s="35" t="s">
        <v>76</v>
      </c>
      <c r="I23" s="83" t="s">
        <v>35</v>
      </c>
      <c r="J23" s="35" t="s">
        <v>36</v>
      </c>
      <c r="K23" s="35" t="s">
        <v>37</v>
      </c>
      <c r="L23" s="83" t="s">
        <v>44</v>
      </c>
      <c r="M23" s="35" t="s">
        <v>39</v>
      </c>
      <c r="O23" s="61">
        <v>50</v>
      </c>
      <c r="P23" s="61">
        <v>50</v>
      </c>
      <c r="Q23" s="58">
        <v>0</v>
      </c>
      <c r="R23" s="35" t="s">
        <v>40</v>
      </c>
      <c r="T23" s="35" t="s">
        <v>45</v>
      </c>
      <c r="U23" s="35" t="s">
        <v>46</v>
      </c>
    </row>
    <row r="24" spans="1:21">
      <c r="A24" s="61">
        <v>2022</v>
      </c>
      <c r="B24" s="35" t="s">
        <v>78</v>
      </c>
      <c r="C24" s="77">
        <v>28694</v>
      </c>
      <c r="D24" s="58">
        <v>37</v>
      </c>
      <c r="E24" s="79">
        <v>44817</v>
      </c>
      <c r="F24" s="35" t="s">
        <v>32</v>
      </c>
      <c r="G24" s="83" t="s">
        <v>33</v>
      </c>
      <c r="H24" s="35" t="s">
        <v>76</v>
      </c>
      <c r="I24" s="83" t="s">
        <v>35</v>
      </c>
      <c r="J24" s="35" t="s">
        <v>36</v>
      </c>
      <c r="K24" s="35" t="s">
        <v>37</v>
      </c>
      <c r="L24" s="83" t="s">
        <v>44</v>
      </c>
      <c r="M24" s="35" t="s">
        <v>39</v>
      </c>
      <c r="O24" s="61">
        <v>43</v>
      </c>
      <c r="P24" s="61">
        <v>43</v>
      </c>
      <c r="Q24" s="58">
        <v>0</v>
      </c>
      <c r="R24" s="35" t="s">
        <v>40</v>
      </c>
      <c r="T24" s="35" t="s">
        <v>45</v>
      </c>
      <c r="U24" s="35" t="s">
        <v>46</v>
      </c>
    </row>
    <row r="25" spans="1:21">
      <c r="A25" s="61">
        <v>2022</v>
      </c>
      <c r="B25" s="35" t="s">
        <v>79</v>
      </c>
      <c r="C25" s="77">
        <v>28695</v>
      </c>
      <c r="D25" s="58">
        <v>37</v>
      </c>
      <c r="E25" s="79">
        <v>44817</v>
      </c>
      <c r="F25" s="35" t="s">
        <v>32</v>
      </c>
      <c r="G25" s="83" t="s">
        <v>33</v>
      </c>
      <c r="H25" s="35" t="s">
        <v>80</v>
      </c>
      <c r="I25" s="83" t="s">
        <v>35</v>
      </c>
      <c r="J25" s="35" t="s">
        <v>36</v>
      </c>
      <c r="K25" s="35" t="s">
        <v>37</v>
      </c>
      <c r="L25" s="83" t="s">
        <v>38</v>
      </c>
      <c r="M25" s="35" t="s">
        <v>39</v>
      </c>
      <c r="O25" s="61">
        <v>9</v>
      </c>
      <c r="P25" s="61">
        <v>9</v>
      </c>
      <c r="Q25" s="58">
        <v>0</v>
      </c>
      <c r="R25" s="35" t="s">
        <v>40</v>
      </c>
      <c r="T25" s="35" t="s">
        <v>41</v>
      </c>
      <c r="U25" s="35" t="s">
        <v>42</v>
      </c>
    </row>
    <row r="26" spans="1:21">
      <c r="A26" s="61">
        <v>2022</v>
      </c>
      <c r="B26" s="35" t="s">
        <v>81</v>
      </c>
      <c r="C26" s="77">
        <v>28696</v>
      </c>
      <c r="D26" s="58">
        <v>37</v>
      </c>
      <c r="E26" s="79">
        <v>44817</v>
      </c>
      <c r="F26" s="35" t="s">
        <v>32</v>
      </c>
      <c r="G26" s="83" t="s">
        <v>33</v>
      </c>
      <c r="H26" s="35" t="s">
        <v>80</v>
      </c>
      <c r="I26" s="83" t="s">
        <v>35</v>
      </c>
      <c r="J26" s="35" t="s">
        <v>36</v>
      </c>
      <c r="K26" s="35" t="s">
        <v>37</v>
      </c>
      <c r="L26" s="83" t="s">
        <v>44</v>
      </c>
      <c r="M26" s="35" t="s">
        <v>39</v>
      </c>
      <c r="O26" s="61">
        <v>13</v>
      </c>
      <c r="P26" s="61">
        <v>13</v>
      </c>
      <c r="Q26" s="58">
        <v>0</v>
      </c>
      <c r="R26" s="35" t="s">
        <v>40</v>
      </c>
      <c r="T26" s="35" t="s">
        <v>45</v>
      </c>
      <c r="U26" s="35" t="s">
        <v>46</v>
      </c>
    </row>
    <row r="27" spans="1:21">
      <c r="A27" s="75">
        <v>2022</v>
      </c>
      <c r="B27" s="35" t="s">
        <v>82</v>
      </c>
      <c r="C27" s="77">
        <v>28697</v>
      </c>
      <c r="D27" s="58">
        <v>37</v>
      </c>
      <c r="E27" s="79">
        <v>44817</v>
      </c>
      <c r="F27" s="35" t="s">
        <v>32</v>
      </c>
      <c r="G27" s="83" t="s">
        <v>33</v>
      </c>
      <c r="H27" s="35" t="s">
        <v>83</v>
      </c>
      <c r="I27" s="83" t="s">
        <v>35</v>
      </c>
      <c r="J27" s="35" t="s">
        <v>59</v>
      </c>
      <c r="K27" s="35" t="s">
        <v>37</v>
      </c>
      <c r="L27" s="83" t="s">
        <v>44</v>
      </c>
      <c r="M27" s="35" t="s">
        <v>39</v>
      </c>
      <c r="N27" s="61">
        <v>2</v>
      </c>
      <c r="P27" s="61">
        <v>2</v>
      </c>
      <c r="Q27" s="58">
        <v>0</v>
      </c>
      <c r="R27" s="35" t="s">
        <v>40</v>
      </c>
      <c r="T27" s="35" t="s">
        <v>45</v>
      </c>
      <c r="U27" s="35" t="s">
        <v>46</v>
      </c>
    </row>
    <row r="28" spans="1:21">
      <c r="A28" s="75">
        <v>2022</v>
      </c>
      <c r="B28" s="83" t="s">
        <v>84</v>
      </c>
      <c r="C28" s="77">
        <v>28698</v>
      </c>
      <c r="D28" s="77">
        <v>37</v>
      </c>
      <c r="E28" s="79">
        <v>44817</v>
      </c>
      <c r="F28" s="83" t="s">
        <v>32</v>
      </c>
      <c r="G28" s="83" t="s">
        <v>33</v>
      </c>
      <c r="H28" s="83" t="s">
        <v>85</v>
      </c>
      <c r="I28" s="35" t="s">
        <v>35</v>
      </c>
      <c r="J28" s="83" t="s">
        <v>36</v>
      </c>
      <c r="K28" s="83" t="s">
        <v>37</v>
      </c>
      <c r="L28" s="83" t="s">
        <v>44</v>
      </c>
      <c r="M28" s="83" t="s">
        <v>39</v>
      </c>
      <c r="N28" s="83"/>
      <c r="O28" s="83">
        <v>1</v>
      </c>
      <c r="P28" s="83">
        <v>1</v>
      </c>
      <c r="Q28" s="58">
        <v>0</v>
      </c>
      <c r="R28" s="35" t="s">
        <v>40</v>
      </c>
      <c r="T28" s="35" t="s">
        <v>45</v>
      </c>
      <c r="U28" s="35" t="s">
        <v>46</v>
      </c>
    </row>
    <row r="29" spans="1:21">
      <c r="A29" s="61">
        <v>2022</v>
      </c>
      <c r="B29" s="83" t="s">
        <v>86</v>
      </c>
      <c r="C29" s="77">
        <v>28699</v>
      </c>
      <c r="D29" s="77">
        <v>37</v>
      </c>
      <c r="E29" s="79">
        <v>44817</v>
      </c>
      <c r="F29" s="83" t="s">
        <v>32</v>
      </c>
      <c r="G29" s="83" t="s">
        <v>33</v>
      </c>
      <c r="H29" s="83" t="s">
        <v>87</v>
      </c>
      <c r="I29" s="35" t="s">
        <v>35</v>
      </c>
      <c r="J29" s="83" t="s">
        <v>36</v>
      </c>
      <c r="K29" s="83" t="s">
        <v>37</v>
      </c>
      <c r="L29" s="83" t="s">
        <v>38</v>
      </c>
      <c r="M29" s="83" t="s">
        <v>39</v>
      </c>
      <c r="N29" s="83"/>
      <c r="O29" s="83">
        <v>1</v>
      </c>
      <c r="P29" s="83">
        <v>1</v>
      </c>
      <c r="Q29" s="58">
        <v>0</v>
      </c>
      <c r="R29" s="35" t="s">
        <v>40</v>
      </c>
      <c r="T29" s="35" t="s">
        <v>41</v>
      </c>
      <c r="U29" s="35" t="s">
        <v>42</v>
      </c>
    </row>
    <row r="30" spans="1:21">
      <c r="A30" s="61">
        <v>2022</v>
      </c>
      <c r="B30" s="83" t="s">
        <v>88</v>
      </c>
      <c r="C30" s="77">
        <v>28700</v>
      </c>
      <c r="D30" s="77">
        <v>37</v>
      </c>
      <c r="E30" s="79">
        <v>44817</v>
      </c>
      <c r="F30" s="83" t="s">
        <v>32</v>
      </c>
      <c r="G30" s="83" t="s">
        <v>33</v>
      </c>
      <c r="H30" s="83" t="s">
        <v>87</v>
      </c>
      <c r="I30" s="35" t="s">
        <v>35</v>
      </c>
      <c r="J30" s="83" t="s">
        <v>36</v>
      </c>
      <c r="K30" s="83" t="s">
        <v>37</v>
      </c>
      <c r="L30" s="83" t="s">
        <v>44</v>
      </c>
      <c r="M30" s="83" t="s">
        <v>39</v>
      </c>
      <c r="N30" s="83"/>
      <c r="O30" s="83">
        <v>2</v>
      </c>
      <c r="P30" s="83">
        <v>2</v>
      </c>
      <c r="Q30" s="58">
        <v>0</v>
      </c>
      <c r="R30" s="35" t="s">
        <v>40</v>
      </c>
      <c r="T30" s="35" t="s">
        <v>45</v>
      </c>
      <c r="U30" s="35" t="s">
        <v>46</v>
      </c>
    </row>
    <row r="31" spans="1:21">
      <c r="A31" s="61">
        <v>2022</v>
      </c>
      <c r="B31" s="83" t="s">
        <v>89</v>
      </c>
      <c r="C31" s="77">
        <v>28701</v>
      </c>
      <c r="D31" s="77">
        <v>37</v>
      </c>
      <c r="E31" s="79">
        <v>44817</v>
      </c>
      <c r="F31" s="83" t="s">
        <v>32</v>
      </c>
      <c r="G31" s="83" t="s">
        <v>33</v>
      </c>
      <c r="H31" s="83" t="s">
        <v>90</v>
      </c>
      <c r="I31" s="35" t="s">
        <v>91</v>
      </c>
      <c r="J31" s="83" t="s">
        <v>36</v>
      </c>
      <c r="K31" s="83" t="s">
        <v>37</v>
      </c>
      <c r="L31" s="83" t="s">
        <v>38</v>
      </c>
      <c r="M31" s="83" t="s">
        <v>39</v>
      </c>
      <c r="N31" s="83"/>
      <c r="O31" s="83">
        <v>8</v>
      </c>
      <c r="P31" s="83">
        <v>8</v>
      </c>
      <c r="Q31" s="58">
        <v>0</v>
      </c>
      <c r="R31" s="35" t="s">
        <v>40</v>
      </c>
      <c r="T31" s="35" t="s">
        <v>41</v>
      </c>
      <c r="U31" s="35" t="s">
        <v>92</v>
      </c>
    </row>
    <row r="32" spans="1:21">
      <c r="A32" s="83">
        <v>2022</v>
      </c>
      <c r="B32" s="83" t="s">
        <v>93</v>
      </c>
      <c r="C32" s="77">
        <v>28702</v>
      </c>
      <c r="D32" s="77">
        <v>37</v>
      </c>
      <c r="E32" s="79">
        <v>44817</v>
      </c>
      <c r="F32" s="83" t="s">
        <v>32</v>
      </c>
      <c r="G32" s="83" t="s">
        <v>33</v>
      </c>
      <c r="H32" s="83" t="s">
        <v>94</v>
      </c>
      <c r="I32" s="35" t="s">
        <v>35</v>
      </c>
      <c r="J32" s="83" t="s">
        <v>36</v>
      </c>
      <c r="K32" s="83" t="s">
        <v>37</v>
      </c>
      <c r="L32" s="83" t="s">
        <v>44</v>
      </c>
      <c r="M32" s="83" t="s">
        <v>39</v>
      </c>
      <c r="N32" s="83"/>
      <c r="O32" s="83">
        <v>1</v>
      </c>
      <c r="P32" s="83">
        <v>1</v>
      </c>
      <c r="Q32" s="58">
        <v>0</v>
      </c>
      <c r="R32" s="35" t="s">
        <v>40</v>
      </c>
      <c r="T32" s="35" t="s">
        <v>45</v>
      </c>
      <c r="U32" s="35" t="s">
        <v>46</v>
      </c>
    </row>
    <row r="33" spans="1:21">
      <c r="A33" s="83">
        <v>2022</v>
      </c>
      <c r="B33" s="83" t="s">
        <v>95</v>
      </c>
      <c r="C33" s="77">
        <v>28703</v>
      </c>
      <c r="D33" s="77">
        <v>37</v>
      </c>
      <c r="E33" s="79">
        <v>44817</v>
      </c>
      <c r="F33" s="83" t="s">
        <v>32</v>
      </c>
      <c r="G33" s="83" t="s">
        <v>33</v>
      </c>
      <c r="H33" s="83" t="s">
        <v>96</v>
      </c>
      <c r="I33" s="35" t="s">
        <v>91</v>
      </c>
      <c r="J33" s="83" t="s">
        <v>36</v>
      </c>
      <c r="K33" s="83" t="s">
        <v>37</v>
      </c>
      <c r="L33" s="83" t="s">
        <v>38</v>
      </c>
      <c r="M33" s="83" t="s">
        <v>39</v>
      </c>
      <c r="N33" s="83"/>
      <c r="O33" s="83">
        <v>2</v>
      </c>
      <c r="P33" s="83">
        <v>2</v>
      </c>
      <c r="Q33" s="58">
        <v>0</v>
      </c>
      <c r="R33" s="35" t="s">
        <v>40</v>
      </c>
      <c r="T33" s="35" t="s">
        <v>41</v>
      </c>
      <c r="U33" s="35" t="s">
        <v>92</v>
      </c>
    </row>
    <row r="34" spans="1:21">
      <c r="A34" s="83">
        <v>2022</v>
      </c>
      <c r="B34" s="83" t="s">
        <v>97</v>
      </c>
      <c r="C34" s="77">
        <v>28704</v>
      </c>
      <c r="D34" s="77">
        <v>37</v>
      </c>
      <c r="E34" s="79">
        <v>44817</v>
      </c>
      <c r="F34" s="83" t="s">
        <v>32</v>
      </c>
      <c r="G34" s="83" t="s">
        <v>33</v>
      </c>
      <c r="H34" s="83" t="s">
        <v>96</v>
      </c>
      <c r="I34" s="35" t="s">
        <v>91</v>
      </c>
      <c r="J34" s="83" t="s">
        <v>36</v>
      </c>
      <c r="K34" s="83" t="s">
        <v>37</v>
      </c>
      <c r="L34" s="83" t="s">
        <v>44</v>
      </c>
      <c r="M34" s="83" t="s">
        <v>39</v>
      </c>
      <c r="N34" s="83"/>
      <c r="O34" s="83">
        <v>10</v>
      </c>
      <c r="P34" s="83">
        <v>10</v>
      </c>
      <c r="Q34" s="58">
        <v>0</v>
      </c>
      <c r="R34" s="35" t="s">
        <v>40</v>
      </c>
      <c r="T34" s="35" t="s">
        <v>45</v>
      </c>
      <c r="U34" s="35" t="s">
        <v>98</v>
      </c>
    </row>
    <row r="35" spans="1:21" s="89" customFormat="1">
      <c r="A35" s="86">
        <v>2022</v>
      </c>
      <c r="B35" s="86" t="s">
        <v>99</v>
      </c>
      <c r="C35" s="87">
        <v>28705</v>
      </c>
      <c r="D35" s="87">
        <v>37</v>
      </c>
      <c r="E35" s="88">
        <v>44817</v>
      </c>
      <c r="F35" s="86" t="s">
        <v>32</v>
      </c>
      <c r="G35" s="86" t="s">
        <v>33</v>
      </c>
      <c r="H35" s="86" t="s">
        <v>100</v>
      </c>
      <c r="I35" s="89" t="s">
        <v>35</v>
      </c>
      <c r="J35" s="86" t="s">
        <v>59</v>
      </c>
      <c r="K35" s="86" t="s">
        <v>37</v>
      </c>
      <c r="L35" s="86" t="s">
        <v>44</v>
      </c>
      <c r="M35" s="86" t="s">
        <v>39</v>
      </c>
      <c r="N35" s="86">
        <v>19</v>
      </c>
      <c r="O35" s="86"/>
      <c r="P35" s="86">
        <v>19</v>
      </c>
      <c r="Q35" s="90">
        <v>1</v>
      </c>
      <c r="R35" s="89" t="s">
        <v>101</v>
      </c>
      <c r="T35" s="89" t="s">
        <v>45</v>
      </c>
      <c r="U35" s="89" t="s">
        <v>46</v>
      </c>
    </row>
    <row r="36" spans="1:21">
      <c r="A36" s="83">
        <v>2022</v>
      </c>
      <c r="B36" s="83" t="s">
        <v>102</v>
      </c>
      <c r="C36" s="77">
        <v>28706</v>
      </c>
      <c r="D36" s="77">
        <v>37</v>
      </c>
      <c r="E36" s="79">
        <v>44817</v>
      </c>
      <c r="F36" s="83" t="s">
        <v>32</v>
      </c>
      <c r="G36" s="83" t="s">
        <v>33</v>
      </c>
      <c r="H36" s="83" t="s">
        <v>103</v>
      </c>
      <c r="I36" s="35" t="s">
        <v>91</v>
      </c>
      <c r="J36" s="83" t="s">
        <v>36</v>
      </c>
      <c r="K36" s="83" t="s">
        <v>37</v>
      </c>
      <c r="L36" s="83" t="s">
        <v>38</v>
      </c>
      <c r="M36" s="83" t="s">
        <v>39</v>
      </c>
      <c r="N36" s="83"/>
      <c r="O36" s="83">
        <v>3</v>
      </c>
      <c r="P36" s="83">
        <v>3</v>
      </c>
      <c r="Q36" s="58">
        <v>0</v>
      </c>
      <c r="R36" s="35" t="s">
        <v>40</v>
      </c>
      <c r="T36" s="35" t="s">
        <v>41</v>
      </c>
      <c r="U36" s="35" t="s">
        <v>92</v>
      </c>
    </row>
    <row r="37" spans="1:21">
      <c r="A37" s="83">
        <v>2022</v>
      </c>
      <c r="B37" s="83" t="s">
        <v>104</v>
      </c>
      <c r="C37" s="77">
        <v>28707</v>
      </c>
      <c r="D37" s="77">
        <v>37</v>
      </c>
      <c r="E37" s="79">
        <v>44817</v>
      </c>
      <c r="F37" s="83" t="s">
        <v>32</v>
      </c>
      <c r="G37" s="83" t="s">
        <v>33</v>
      </c>
      <c r="H37" s="83" t="s">
        <v>103</v>
      </c>
      <c r="I37" s="35" t="s">
        <v>91</v>
      </c>
      <c r="J37" s="83" t="s">
        <v>36</v>
      </c>
      <c r="K37" s="83" t="s">
        <v>37</v>
      </c>
      <c r="L37" s="83" t="s">
        <v>44</v>
      </c>
      <c r="M37" s="83" t="s">
        <v>39</v>
      </c>
      <c r="N37" s="83"/>
      <c r="O37" s="83">
        <v>2</v>
      </c>
      <c r="P37" s="83">
        <v>2</v>
      </c>
      <c r="Q37" s="58">
        <v>0</v>
      </c>
      <c r="R37" s="35" t="s">
        <v>40</v>
      </c>
      <c r="T37" s="35" t="s">
        <v>45</v>
      </c>
      <c r="U37" s="35" t="s">
        <v>98</v>
      </c>
    </row>
    <row r="38" spans="1:21">
      <c r="A38" s="83">
        <v>2022</v>
      </c>
      <c r="B38" s="83" t="s">
        <v>105</v>
      </c>
      <c r="C38" s="77">
        <v>28708</v>
      </c>
      <c r="D38" s="77">
        <v>37</v>
      </c>
      <c r="E38" s="79">
        <v>44817</v>
      </c>
      <c r="F38" s="83" t="s">
        <v>32</v>
      </c>
      <c r="G38" s="83" t="s">
        <v>33</v>
      </c>
      <c r="H38" s="83" t="s">
        <v>106</v>
      </c>
      <c r="I38" s="35" t="s">
        <v>35</v>
      </c>
      <c r="J38" s="83" t="s">
        <v>36</v>
      </c>
      <c r="K38" s="83" t="s">
        <v>37</v>
      </c>
      <c r="L38" s="83" t="s">
        <v>38</v>
      </c>
      <c r="M38" s="83" t="s">
        <v>39</v>
      </c>
      <c r="N38" s="83"/>
      <c r="O38" s="83">
        <v>3</v>
      </c>
      <c r="P38" s="83">
        <v>3</v>
      </c>
      <c r="Q38" s="58">
        <v>0</v>
      </c>
      <c r="R38" s="35" t="s">
        <v>40</v>
      </c>
      <c r="T38" s="35" t="s">
        <v>41</v>
      </c>
      <c r="U38" s="35" t="s">
        <v>42</v>
      </c>
    </row>
    <row r="39" spans="1:21">
      <c r="A39" s="83">
        <v>2022</v>
      </c>
      <c r="B39" s="83" t="s">
        <v>107</v>
      </c>
      <c r="C39" s="77">
        <v>28709</v>
      </c>
      <c r="D39" s="77">
        <v>37</v>
      </c>
      <c r="E39" s="79">
        <v>44817</v>
      </c>
      <c r="F39" s="83" t="s">
        <v>32</v>
      </c>
      <c r="G39" s="83" t="s">
        <v>33</v>
      </c>
      <c r="H39" s="83" t="s">
        <v>106</v>
      </c>
      <c r="I39" s="35" t="s">
        <v>35</v>
      </c>
      <c r="J39" s="83" t="s">
        <v>36</v>
      </c>
      <c r="K39" s="83" t="s">
        <v>37</v>
      </c>
      <c r="L39" s="83" t="s">
        <v>44</v>
      </c>
      <c r="M39" s="83" t="s">
        <v>39</v>
      </c>
      <c r="N39" s="83"/>
      <c r="O39" s="83">
        <v>3</v>
      </c>
      <c r="P39" s="83">
        <v>3</v>
      </c>
      <c r="Q39" s="58">
        <v>0</v>
      </c>
      <c r="R39" s="35" t="s">
        <v>40</v>
      </c>
      <c r="T39" s="35" t="s">
        <v>45</v>
      </c>
      <c r="U39" s="35" t="s">
        <v>46</v>
      </c>
    </row>
    <row r="40" spans="1:21">
      <c r="A40" s="83">
        <v>2022</v>
      </c>
      <c r="B40" s="83" t="s">
        <v>108</v>
      </c>
      <c r="C40" s="77">
        <v>28710</v>
      </c>
      <c r="D40" s="77">
        <v>37</v>
      </c>
      <c r="E40" s="79">
        <v>44817</v>
      </c>
      <c r="F40" s="83" t="s">
        <v>32</v>
      </c>
      <c r="G40" s="83" t="s">
        <v>33</v>
      </c>
      <c r="H40" s="83" t="s">
        <v>109</v>
      </c>
      <c r="I40" s="35" t="s">
        <v>91</v>
      </c>
      <c r="J40" s="83" t="s">
        <v>36</v>
      </c>
      <c r="K40" s="83" t="s">
        <v>37</v>
      </c>
      <c r="L40" s="83" t="s">
        <v>44</v>
      </c>
      <c r="M40" s="83" t="s">
        <v>39</v>
      </c>
      <c r="N40" s="83"/>
      <c r="O40" s="83">
        <v>2</v>
      </c>
      <c r="P40" s="83">
        <v>2</v>
      </c>
      <c r="Q40" s="58">
        <v>0</v>
      </c>
      <c r="R40" s="35" t="s">
        <v>40</v>
      </c>
      <c r="T40" s="35" t="s">
        <v>45</v>
      </c>
      <c r="U40" s="35" t="s">
        <v>98</v>
      </c>
    </row>
    <row r="41" spans="1:21">
      <c r="A41" s="83">
        <v>2022</v>
      </c>
      <c r="B41" s="83" t="s">
        <v>110</v>
      </c>
      <c r="C41" s="77">
        <v>28711</v>
      </c>
      <c r="D41" s="77">
        <v>37</v>
      </c>
      <c r="E41" s="79">
        <v>44817</v>
      </c>
      <c r="F41" s="83" t="s">
        <v>32</v>
      </c>
      <c r="G41" s="83" t="s">
        <v>33</v>
      </c>
      <c r="H41" s="83" t="s">
        <v>111</v>
      </c>
      <c r="I41" s="35" t="s">
        <v>91</v>
      </c>
      <c r="J41" s="83" t="s">
        <v>36</v>
      </c>
      <c r="K41" s="83" t="s">
        <v>37</v>
      </c>
      <c r="L41" s="83" t="s">
        <v>38</v>
      </c>
      <c r="M41" s="83" t="s">
        <v>39</v>
      </c>
      <c r="N41" s="83"/>
      <c r="O41" s="83">
        <v>3</v>
      </c>
      <c r="P41" s="83">
        <v>3</v>
      </c>
      <c r="Q41" s="58">
        <v>0</v>
      </c>
      <c r="R41" s="35" t="s">
        <v>40</v>
      </c>
      <c r="T41" s="35" t="s">
        <v>41</v>
      </c>
      <c r="U41" s="35" t="s">
        <v>92</v>
      </c>
    </row>
    <row r="42" spans="1:21">
      <c r="A42" s="83">
        <v>2022</v>
      </c>
      <c r="B42" s="83" t="s">
        <v>112</v>
      </c>
      <c r="C42" s="77">
        <v>28712</v>
      </c>
      <c r="D42" s="77">
        <v>37</v>
      </c>
      <c r="E42" s="79">
        <v>44817</v>
      </c>
      <c r="F42" s="83" t="s">
        <v>32</v>
      </c>
      <c r="G42" s="83" t="s">
        <v>33</v>
      </c>
      <c r="H42" s="83" t="s">
        <v>111</v>
      </c>
      <c r="I42" s="35" t="s">
        <v>91</v>
      </c>
      <c r="J42" s="83" t="s">
        <v>36</v>
      </c>
      <c r="K42" s="83" t="s">
        <v>37</v>
      </c>
      <c r="L42" s="83" t="s">
        <v>44</v>
      </c>
      <c r="M42" s="83" t="s">
        <v>39</v>
      </c>
      <c r="N42" s="83"/>
      <c r="O42" s="83">
        <v>4</v>
      </c>
      <c r="P42" s="83">
        <v>4</v>
      </c>
      <c r="Q42" s="58">
        <v>0</v>
      </c>
      <c r="R42" s="35" t="s">
        <v>40</v>
      </c>
      <c r="T42" s="35" t="s">
        <v>45</v>
      </c>
      <c r="U42" s="35" t="s">
        <v>98</v>
      </c>
    </row>
    <row r="43" spans="1:21">
      <c r="A43" s="83">
        <v>2022</v>
      </c>
      <c r="B43" s="83" t="s">
        <v>113</v>
      </c>
      <c r="C43" s="77">
        <v>28713</v>
      </c>
      <c r="D43" s="77">
        <v>37</v>
      </c>
      <c r="E43" s="79">
        <v>44817</v>
      </c>
      <c r="F43" s="83" t="s">
        <v>32</v>
      </c>
      <c r="G43" s="83" t="s">
        <v>33</v>
      </c>
      <c r="H43" s="83" t="s">
        <v>114</v>
      </c>
      <c r="I43" s="35" t="s">
        <v>91</v>
      </c>
      <c r="J43" s="83" t="s">
        <v>59</v>
      </c>
      <c r="K43" s="83" t="s">
        <v>37</v>
      </c>
      <c r="L43" s="83" t="s">
        <v>44</v>
      </c>
      <c r="M43" s="83" t="s">
        <v>39</v>
      </c>
      <c r="N43" s="83">
        <v>26</v>
      </c>
      <c r="O43" s="83"/>
      <c r="P43" s="83">
        <v>26</v>
      </c>
      <c r="Q43" s="58">
        <v>0</v>
      </c>
      <c r="R43" s="35" t="s">
        <v>40</v>
      </c>
      <c r="T43" s="35" t="s">
        <v>45</v>
      </c>
      <c r="U43" s="35" t="s">
        <v>98</v>
      </c>
    </row>
    <row r="44" spans="1:21">
      <c r="A44" s="83">
        <v>2022</v>
      </c>
      <c r="B44" s="83" t="s">
        <v>115</v>
      </c>
      <c r="C44" s="77">
        <v>28714</v>
      </c>
      <c r="D44" s="77">
        <v>37</v>
      </c>
      <c r="E44" s="79">
        <v>44817</v>
      </c>
      <c r="F44" s="83" t="s">
        <v>32</v>
      </c>
      <c r="G44" s="83" t="s">
        <v>33</v>
      </c>
      <c r="H44" s="83" t="s">
        <v>116</v>
      </c>
      <c r="I44" s="35" t="s">
        <v>91</v>
      </c>
      <c r="J44" s="83" t="s">
        <v>36</v>
      </c>
      <c r="K44" s="83" t="s">
        <v>37</v>
      </c>
      <c r="L44" s="83" t="s">
        <v>38</v>
      </c>
      <c r="M44" s="83" t="s">
        <v>39</v>
      </c>
      <c r="N44" s="83"/>
      <c r="O44" s="83">
        <v>1</v>
      </c>
      <c r="P44" s="83">
        <v>1</v>
      </c>
      <c r="Q44" s="58">
        <v>0</v>
      </c>
      <c r="R44" s="35" t="s">
        <v>40</v>
      </c>
      <c r="T44" s="35" t="s">
        <v>41</v>
      </c>
      <c r="U44" s="35" t="s">
        <v>92</v>
      </c>
    </row>
    <row r="45" spans="1:21">
      <c r="A45" s="83">
        <v>2022</v>
      </c>
      <c r="B45" s="83" t="s">
        <v>117</v>
      </c>
      <c r="C45" s="77">
        <v>28715</v>
      </c>
      <c r="D45" s="77">
        <v>37</v>
      </c>
      <c r="E45" s="79">
        <v>44817</v>
      </c>
      <c r="F45" s="83" t="s">
        <v>32</v>
      </c>
      <c r="G45" s="83" t="s">
        <v>33</v>
      </c>
      <c r="H45" s="83" t="s">
        <v>116</v>
      </c>
      <c r="I45" s="35" t="s">
        <v>91</v>
      </c>
      <c r="J45" s="83" t="s">
        <v>36</v>
      </c>
      <c r="K45" s="83" t="s">
        <v>37</v>
      </c>
      <c r="L45" s="83" t="s">
        <v>44</v>
      </c>
      <c r="M45" s="83" t="s">
        <v>39</v>
      </c>
      <c r="N45" s="83"/>
      <c r="O45" s="83">
        <v>1</v>
      </c>
      <c r="P45" s="83">
        <v>1</v>
      </c>
      <c r="Q45" s="58">
        <v>0</v>
      </c>
      <c r="R45" s="35" t="s">
        <v>40</v>
      </c>
      <c r="T45" s="35" t="s">
        <v>45</v>
      </c>
      <c r="U45" s="35" t="s">
        <v>98</v>
      </c>
    </row>
    <row r="46" spans="1:21">
      <c r="A46" s="83">
        <v>2022</v>
      </c>
      <c r="B46" s="83" t="s">
        <v>118</v>
      </c>
      <c r="C46" s="77">
        <v>28716</v>
      </c>
      <c r="D46" s="77">
        <v>37</v>
      </c>
      <c r="E46" s="79">
        <v>44817</v>
      </c>
      <c r="F46" s="83" t="s">
        <v>32</v>
      </c>
      <c r="G46" s="83" t="s">
        <v>33</v>
      </c>
      <c r="H46" s="83" t="s">
        <v>119</v>
      </c>
      <c r="I46" s="35" t="s">
        <v>91</v>
      </c>
      <c r="J46" s="83" t="s">
        <v>36</v>
      </c>
      <c r="K46" s="83" t="s">
        <v>37</v>
      </c>
      <c r="L46" s="83" t="s">
        <v>38</v>
      </c>
      <c r="M46" s="83" t="s">
        <v>39</v>
      </c>
      <c r="N46" s="83"/>
      <c r="O46" s="83">
        <v>24</v>
      </c>
      <c r="P46" s="83">
        <v>24</v>
      </c>
      <c r="Q46" s="58">
        <v>0</v>
      </c>
      <c r="R46" s="35" t="s">
        <v>40</v>
      </c>
      <c r="T46" s="35" t="s">
        <v>41</v>
      </c>
      <c r="U46" s="35" t="s">
        <v>92</v>
      </c>
    </row>
    <row r="47" spans="1:21">
      <c r="A47" s="83">
        <v>2022</v>
      </c>
      <c r="B47" s="83" t="s">
        <v>120</v>
      </c>
      <c r="C47" s="77">
        <v>28717</v>
      </c>
      <c r="D47" s="77">
        <v>37</v>
      </c>
      <c r="E47" s="79">
        <v>44817</v>
      </c>
      <c r="F47" s="83" t="s">
        <v>32</v>
      </c>
      <c r="G47" s="83" t="s">
        <v>33</v>
      </c>
      <c r="H47" s="83" t="s">
        <v>119</v>
      </c>
      <c r="I47" s="35" t="s">
        <v>91</v>
      </c>
      <c r="J47" s="83" t="s">
        <v>36</v>
      </c>
      <c r="K47" s="83" t="s">
        <v>37</v>
      </c>
      <c r="L47" s="83" t="s">
        <v>44</v>
      </c>
      <c r="M47" s="83" t="s">
        <v>39</v>
      </c>
      <c r="N47" s="83"/>
      <c r="O47" s="83">
        <v>4</v>
      </c>
      <c r="P47" s="83">
        <v>4</v>
      </c>
      <c r="Q47" s="58">
        <v>0</v>
      </c>
      <c r="R47" s="35" t="s">
        <v>40</v>
      </c>
      <c r="T47" s="35" t="s">
        <v>45</v>
      </c>
      <c r="U47" s="35" t="s">
        <v>98</v>
      </c>
    </row>
    <row r="48" spans="1:21">
      <c r="A48" s="83">
        <v>2022</v>
      </c>
      <c r="B48" s="83" t="s">
        <v>121</v>
      </c>
      <c r="C48" s="77">
        <v>28718</v>
      </c>
      <c r="D48" s="77">
        <v>37</v>
      </c>
      <c r="E48" s="79">
        <v>44818</v>
      </c>
      <c r="F48" s="83" t="s">
        <v>32</v>
      </c>
      <c r="G48" s="83" t="s">
        <v>33</v>
      </c>
      <c r="H48" s="83" t="s">
        <v>122</v>
      </c>
      <c r="I48" s="35" t="s">
        <v>123</v>
      </c>
      <c r="J48" s="83" t="s">
        <v>36</v>
      </c>
      <c r="K48" s="83" t="s">
        <v>37</v>
      </c>
      <c r="L48" s="83" t="s">
        <v>38</v>
      </c>
      <c r="M48" s="83" t="s">
        <v>39</v>
      </c>
      <c r="N48" s="83"/>
      <c r="O48" s="83">
        <v>6</v>
      </c>
      <c r="P48" s="83">
        <v>6</v>
      </c>
      <c r="Q48" s="58">
        <v>0</v>
      </c>
      <c r="R48" s="35" t="s">
        <v>40</v>
      </c>
      <c r="T48" s="35" t="s">
        <v>41</v>
      </c>
      <c r="U48" s="35" t="s">
        <v>124</v>
      </c>
    </row>
    <row r="49" spans="1:21" s="89" customFormat="1">
      <c r="A49" s="86">
        <v>2022</v>
      </c>
      <c r="B49" s="86" t="s">
        <v>125</v>
      </c>
      <c r="C49" s="87">
        <v>28719</v>
      </c>
      <c r="D49" s="87">
        <v>37</v>
      </c>
      <c r="E49" s="88">
        <v>44818</v>
      </c>
      <c r="F49" s="86" t="s">
        <v>32</v>
      </c>
      <c r="G49" s="86" t="s">
        <v>33</v>
      </c>
      <c r="H49" s="86" t="s">
        <v>122</v>
      </c>
      <c r="I49" s="89" t="s">
        <v>123</v>
      </c>
      <c r="J49" s="86" t="s">
        <v>36</v>
      </c>
      <c r="K49" s="86" t="s">
        <v>37</v>
      </c>
      <c r="L49" s="86" t="s">
        <v>44</v>
      </c>
      <c r="M49" s="86" t="s">
        <v>39</v>
      </c>
      <c r="N49" s="86"/>
      <c r="O49" s="86">
        <v>30</v>
      </c>
      <c r="P49" s="86">
        <v>30</v>
      </c>
      <c r="Q49" s="90">
        <v>1</v>
      </c>
      <c r="R49" s="89" t="s">
        <v>101</v>
      </c>
      <c r="T49" s="89" t="s">
        <v>45</v>
      </c>
      <c r="U49" s="89" t="s">
        <v>126</v>
      </c>
    </row>
    <row r="50" spans="1:21">
      <c r="A50" s="83">
        <v>2022</v>
      </c>
      <c r="B50" s="83" t="s">
        <v>127</v>
      </c>
      <c r="C50" s="77">
        <v>28720</v>
      </c>
      <c r="D50" s="77">
        <v>37</v>
      </c>
      <c r="E50" s="79">
        <v>44818</v>
      </c>
      <c r="F50" s="83" t="s">
        <v>32</v>
      </c>
      <c r="G50" s="83" t="s">
        <v>33</v>
      </c>
      <c r="H50" s="83" t="s">
        <v>128</v>
      </c>
      <c r="I50" s="35" t="s">
        <v>123</v>
      </c>
      <c r="J50" s="83" t="s">
        <v>36</v>
      </c>
      <c r="K50" s="83" t="s">
        <v>37</v>
      </c>
      <c r="L50" s="83" t="s">
        <v>38</v>
      </c>
      <c r="M50" s="83" t="s">
        <v>39</v>
      </c>
      <c r="N50" s="83"/>
      <c r="O50" s="83">
        <v>7</v>
      </c>
      <c r="P50" s="83">
        <v>7</v>
      </c>
      <c r="Q50" s="58">
        <v>0</v>
      </c>
      <c r="R50" s="35" t="s">
        <v>40</v>
      </c>
      <c r="T50" s="35" t="s">
        <v>41</v>
      </c>
      <c r="U50" s="35" t="s">
        <v>124</v>
      </c>
    </row>
    <row r="51" spans="1:21">
      <c r="A51" s="84">
        <v>2022</v>
      </c>
      <c r="B51" s="83" t="s">
        <v>129</v>
      </c>
      <c r="C51" s="77">
        <v>28721</v>
      </c>
      <c r="D51" s="77">
        <v>37</v>
      </c>
      <c r="E51" s="79">
        <v>44818</v>
      </c>
      <c r="F51" s="83" t="s">
        <v>32</v>
      </c>
      <c r="G51" s="83" t="s">
        <v>33</v>
      </c>
      <c r="H51" s="83" t="s">
        <v>130</v>
      </c>
      <c r="I51" s="35" t="s">
        <v>123</v>
      </c>
      <c r="J51" s="83" t="s">
        <v>36</v>
      </c>
      <c r="K51" s="83" t="s">
        <v>37</v>
      </c>
      <c r="L51" s="83" t="s">
        <v>38</v>
      </c>
      <c r="M51" s="83" t="s">
        <v>39</v>
      </c>
      <c r="N51" s="83"/>
      <c r="O51" s="83">
        <v>3</v>
      </c>
      <c r="P51" s="83">
        <v>3</v>
      </c>
      <c r="Q51" s="58">
        <v>0</v>
      </c>
      <c r="R51" s="35" t="s">
        <v>40</v>
      </c>
      <c r="T51" s="35" t="s">
        <v>41</v>
      </c>
      <c r="U51" s="35" t="s">
        <v>124</v>
      </c>
    </row>
    <row r="52" spans="1:21">
      <c r="A52" s="84">
        <v>2022</v>
      </c>
      <c r="B52" s="83" t="s">
        <v>131</v>
      </c>
      <c r="C52" s="77">
        <v>28722</v>
      </c>
      <c r="D52" s="77">
        <v>37</v>
      </c>
      <c r="E52" s="79">
        <v>44818</v>
      </c>
      <c r="F52" s="83" t="s">
        <v>32</v>
      </c>
      <c r="G52" s="83" t="s">
        <v>33</v>
      </c>
      <c r="H52" s="83" t="s">
        <v>130</v>
      </c>
      <c r="I52" s="35" t="s">
        <v>123</v>
      </c>
      <c r="J52" s="83" t="s">
        <v>36</v>
      </c>
      <c r="K52" s="83" t="s">
        <v>37</v>
      </c>
      <c r="L52" s="83" t="s">
        <v>44</v>
      </c>
      <c r="M52" s="83" t="s">
        <v>39</v>
      </c>
      <c r="N52" s="83"/>
      <c r="O52" s="83">
        <v>1</v>
      </c>
      <c r="P52" s="83">
        <v>1</v>
      </c>
      <c r="Q52" s="58">
        <v>0</v>
      </c>
      <c r="R52" s="35" t="s">
        <v>40</v>
      </c>
      <c r="T52" s="35" t="s">
        <v>45</v>
      </c>
      <c r="U52" s="35" t="s">
        <v>126</v>
      </c>
    </row>
    <row r="53" spans="1:21">
      <c r="A53" s="84">
        <v>2022</v>
      </c>
      <c r="B53" s="83" t="s">
        <v>132</v>
      </c>
      <c r="C53" s="77">
        <v>28723</v>
      </c>
      <c r="D53" s="77">
        <v>37</v>
      </c>
      <c r="E53" s="79">
        <v>44818</v>
      </c>
      <c r="F53" s="83" t="s">
        <v>32</v>
      </c>
      <c r="G53" s="83" t="s">
        <v>33</v>
      </c>
      <c r="H53" s="83" t="s">
        <v>133</v>
      </c>
      <c r="I53" s="35" t="s">
        <v>123</v>
      </c>
      <c r="J53" s="83" t="s">
        <v>36</v>
      </c>
      <c r="K53" s="83" t="s">
        <v>37</v>
      </c>
      <c r="L53" s="83" t="s">
        <v>38</v>
      </c>
      <c r="M53" s="83" t="s">
        <v>39</v>
      </c>
      <c r="N53" s="83"/>
      <c r="O53" s="83">
        <v>2</v>
      </c>
      <c r="P53" s="83">
        <v>2</v>
      </c>
      <c r="Q53" s="58">
        <v>0</v>
      </c>
      <c r="R53" s="35" t="s">
        <v>40</v>
      </c>
      <c r="T53" s="35" t="s">
        <v>41</v>
      </c>
      <c r="U53" s="35" t="s">
        <v>124</v>
      </c>
    </row>
    <row r="54" spans="1:21">
      <c r="A54" s="84">
        <v>2022</v>
      </c>
      <c r="B54" s="83" t="s">
        <v>134</v>
      </c>
      <c r="C54" s="77">
        <v>28724</v>
      </c>
      <c r="D54" s="77">
        <v>37</v>
      </c>
      <c r="E54" s="79">
        <v>44818</v>
      </c>
      <c r="F54" s="83" t="s">
        <v>32</v>
      </c>
      <c r="G54" s="83" t="s">
        <v>33</v>
      </c>
      <c r="H54" s="83" t="s">
        <v>133</v>
      </c>
      <c r="I54" s="35" t="s">
        <v>123</v>
      </c>
      <c r="J54" s="83" t="s">
        <v>36</v>
      </c>
      <c r="K54" s="83" t="s">
        <v>37</v>
      </c>
      <c r="L54" s="83" t="s">
        <v>44</v>
      </c>
      <c r="M54" s="83" t="s">
        <v>39</v>
      </c>
      <c r="N54" s="83"/>
      <c r="O54" s="83">
        <v>50</v>
      </c>
      <c r="P54" s="83">
        <v>50</v>
      </c>
      <c r="Q54" s="58">
        <v>0</v>
      </c>
      <c r="R54" s="35" t="s">
        <v>40</v>
      </c>
      <c r="T54" s="35" t="s">
        <v>45</v>
      </c>
      <c r="U54" s="35" t="s">
        <v>126</v>
      </c>
    </row>
    <row r="55" spans="1:21">
      <c r="A55" s="84">
        <v>2022</v>
      </c>
      <c r="B55" s="83" t="s">
        <v>135</v>
      </c>
      <c r="C55" s="77">
        <v>28725</v>
      </c>
      <c r="D55" s="77">
        <v>37</v>
      </c>
      <c r="E55" s="79">
        <v>44818</v>
      </c>
      <c r="F55" s="83" t="s">
        <v>32</v>
      </c>
      <c r="G55" s="83" t="s">
        <v>33</v>
      </c>
      <c r="H55" s="83" t="s">
        <v>133</v>
      </c>
      <c r="I55" s="35" t="s">
        <v>123</v>
      </c>
      <c r="J55" s="83" t="s">
        <v>36</v>
      </c>
      <c r="K55" s="83" t="s">
        <v>37</v>
      </c>
      <c r="L55" s="83" t="s">
        <v>44</v>
      </c>
      <c r="M55" s="83" t="s">
        <v>39</v>
      </c>
      <c r="N55" s="83"/>
      <c r="O55" s="83">
        <v>11</v>
      </c>
      <c r="P55" s="83">
        <v>11</v>
      </c>
      <c r="Q55" s="58">
        <v>0</v>
      </c>
      <c r="R55" s="35" t="s">
        <v>40</v>
      </c>
      <c r="T55" s="35" t="s">
        <v>45</v>
      </c>
      <c r="U55" s="35" t="s">
        <v>126</v>
      </c>
    </row>
    <row r="56" spans="1:21">
      <c r="A56" s="84">
        <v>2022</v>
      </c>
      <c r="B56" s="83" t="s">
        <v>136</v>
      </c>
      <c r="C56" s="77">
        <v>28726</v>
      </c>
      <c r="D56" s="77">
        <v>37</v>
      </c>
      <c r="E56" s="79">
        <v>44818</v>
      </c>
      <c r="F56" s="83" t="s">
        <v>32</v>
      </c>
      <c r="G56" s="83" t="s">
        <v>33</v>
      </c>
      <c r="H56" s="83" t="s">
        <v>137</v>
      </c>
      <c r="I56" s="35" t="s">
        <v>138</v>
      </c>
      <c r="J56" s="83" t="s">
        <v>36</v>
      </c>
      <c r="K56" s="83" t="s">
        <v>37</v>
      </c>
      <c r="L56" s="83" t="s">
        <v>44</v>
      </c>
      <c r="M56" s="83" t="s">
        <v>39</v>
      </c>
      <c r="N56" s="83"/>
      <c r="O56" s="83">
        <v>9</v>
      </c>
      <c r="P56" s="83">
        <v>9</v>
      </c>
      <c r="Q56" s="58">
        <v>0</v>
      </c>
      <c r="R56" s="35" t="s">
        <v>40</v>
      </c>
      <c r="T56" s="35" t="s">
        <v>45</v>
      </c>
      <c r="U56" s="35" t="s">
        <v>139</v>
      </c>
    </row>
    <row r="57" spans="1:21">
      <c r="A57" s="64">
        <v>2022</v>
      </c>
      <c r="B57" s="83" t="s">
        <v>140</v>
      </c>
      <c r="C57" s="77">
        <v>28727</v>
      </c>
      <c r="D57" s="77">
        <v>37</v>
      </c>
      <c r="E57" s="79">
        <v>44818</v>
      </c>
      <c r="F57" s="83" t="s">
        <v>32</v>
      </c>
      <c r="G57" s="83" t="s">
        <v>33</v>
      </c>
      <c r="H57" s="83" t="s">
        <v>141</v>
      </c>
      <c r="I57" s="35" t="s">
        <v>123</v>
      </c>
      <c r="J57" s="83" t="s">
        <v>36</v>
      </c>
      <c r="K57" s="83" t="s">
        <v>37</v>
      </c>
      <c r="L57" s="83" t="s">
        <v>38</v>
      </c>
      <c r="M57" s="83" t="s">
        <v>39</v>
      </c>
      <c r="N57" s="83"/>
      <c r="O57" s="83">
        <v>1</v>
      </c>
      <c r="P57" s="83">
        <v>1</v>
      </c>
      <c r="Q57" s="58">
        <v>0</v>
      </c>
      <c r="R57" s="35" t="s">
        <v>40</v>
      </c>
      <c r="T57" s="35" t="s">
        <v>41</v>
      </c>
      <c r="U57" s="35" t="s">
        <v>124</v>
      </c>
    </row>
    <row r="58" spans="1:21" s="89" customFormat="1">
      <c r="A58" s="91">
        <v>2022</v>
      </c>
      <c r="B58" s="86" t="s">
        <v>142</v>
      </c>
      <c r="C58" s="87">
        <v>28728</v>
      </c>
      <c r="D58" s="87">
        <v>37</v>
      </c>
      <c r="E58" s="88">
        <v>44818</v>
      </c>
      <c r="F58" s="86" t="s">
        <v>32</v>
      </c>
      <c r="G58" s="86" t="s">
        <v>33</v>
      </c>
      <c r="H58" s="86" t="s">
        <v>141</v>
      </c>
      <c r="I58" s="89" t="s">
        <v>123</v>
      </c>
      <c r="J58" s="86" t="s">
        <v>36</v>
      </c>
      <c r="K58" s="86" t="s">
        <v>37</v>
      </c>
      <c r="L58" s="86" t="s">
        <v>44</v>
      </c>
      <c r="M58" s="86" t="s">
        <v>39</v>
      </c>
      <c r="N58" s="86"/>
      <c r="O58" s="86">
        <v>8</v>
      </c>
      <c r="P58" s="86">
        <v>8</v>
      </c>
      <c r="Q58" s="90">
        <v>1</v>
      </c>
      <c r="R58" s="89" t="s">
        <v>101</v>
      </c>
      <c r="T58" s="89" t="s">
        <v>45</v>
      </c>
      <c r="U58" s="89" t="s">
        <v>126</v>
      </c>
    </row>
    <row r="59" spans="1:21">
      <c r="A59" s="64">
        <v>2022</v>
      </c>
      <c r="B59" s="83" t="s">
        <v>143</v>
      </c>
      <c r="C59" s="77">
        <v>28729</v>
      </c>
      <c r="D59" s="77">
        <v>37</v>
      </c>
      <c r="E59" s="79">
        <v>44818</v>
      </c>
      <c r="F59" s="83" t="s">
        <v>32</v>
      </c>
      <c r="G59" s="83" t="s">
        <v>33</v>
      </c>
      <c r="H59" s="83" t="s">
        <v>144</v>
      </c>
      <c r="I59" s="35" t="s">
        <v>123</v>
      </c>
      <c r="J59" s="83" t="s">
        <v>59</v>
      </c>
      <c r="K59" s="83" t="s">
        <v>37</v>
      </c>
      <c r="L59" s="83" t="s">
        <v>44</v>
      </c>
      <c r="M59" s="83" t="s">
        <v>39</v>
      </c>
      <c r="N59" s="83">
        <v>50</v>
      </c>
      <c r="O59" s="83"/>
      <c r="P59" s="83">
        <v>50</v>
      </c>
      <c r="Q59" s="58">
        <v>0</v>
      </c>
      <c r="R59" s="35" t="s">
        <v>40</v>
      </c>
      <c r="T59" s="35" t="s">
        <v>45</v>
      </c>
      <c r="U59" s="35" t="s">
        <v>126</v>
      </c>
    </row>
    <row r="60" spans="1:21">
      <c r="A60" s="64">
        <v>2022</v>
      </c>
      <c r="B60" s="83" t="s">
        <v>145</v>
      </c>
      <c r="C60" s="77">
        <v>28730</v>
      </c>
      <c r="D60" s="77">
        <v>37</v>
      </c>
      <c r="E60" s="79">
        <v>44818</v>
      </c>
      <c r="F60" s="83" t="s">
        <v>32</v>
      </c>
      <c r="G60" s="83" t="s">
        <v>33</v>
      </c>
      <c r="H60" s="83" t="s">
        <v>144</v>
      </c>
      <c r="I60" s="35" t="s">
        <v>123</v>
      </c>
      <c r="J60" s="83" t="s">
        <v>59</v>
      </c>
      <c r="K60" s="83" t="s">
        <v>37</v>
      </c>
      <c r="L60" s="83" t="s">
        <v>44</v>
      </c>
      <c r="M60" s="83" t="s">
        <v>39</v>
      </c>
      <c r="N60" s="83">
        <v>18</v>
      </c>
      <c r="O60" s="83"/>
      <c r="P60" s="83">
        <v>18</v>
      </c>
      <c r="Q60" s="58">
        <v>0</v>
      </c>
      <c r="R60" s="35" t="s">
        <v>40</v>
      </c>
      <c r="T60" s="35" t="s">
        <v>45</v>
      </c>
      <c r="U60" s="35" t="s">
        <v>126</v>
      </c>
    </row>
    <row r="61" spans="1:21" s="89" customFormat="1">
      <c r="A61" s="91">
        <v>2022</v>
      </c>
      <c r="B61" s="86" t="s">
        <v>146</v>
      </c>
      <c r="C61" s="87">
        <v>28731</v>
      </c>
      <c r="D61" s="87">
        <v>37</v>
      </c>
      <c r="E61" s="88">
        <v>44818</v>
      </c>
      <c r="F61" s="86" t="s">
        <v>32</v>
      </c>
      <c r="G61" s="86" t="s">
        <v>33</v>
      </c>
      <c r="H61" s="86" t="s">
        <v>147</v>
      </c>
      <c r="I61" s="86" t="s">
        <v>123</v>
      </c>
      <c r="J61" s="86" t="s">
        <v>59</v>
      </c>
      <c r="K61" s="86" t="s">
        <v>37</v>
      </c>
      <c r="L61" s="86" t="s">
        <v>44</v>
      </c>
      <c r="M61" s="86" t="s">
        <v>39</v>
      </c>
      <c r="N61" s="86">
        <v>41</v>
      </c>
      <c r="O61" s="86"/>
      <c r="P61" s="86">
        <v>41</v>
      </c>
      <c r="Q61" s="90">
        <v>1</v>
      </c>
      <c r="R61" s="89" t="s">
        <v>101</v>
      </c>
      <c r="T61" s="89" t="s">
        <v>45</v>
      </c>
      <c r="U61" s="89" t="s">
        <v>126</v>
      </c>
    </row>
    <row r="62" spans="1:21">
      <c r="A62" s="64">
        <v>2022</v>
      </c>
      <c r="B62" s="83" t="s">
        <v>148</v>
      </c>
      <c r="C62" s="77">
        <v>28732</v>
      </c>
      <c r="D62" s="77">
        <v>37</v>
      </c>
      <c r="E62" s="79">
        <v>44818</v>
      </c>
      <c r="F62" s="83" t="s">
        <v>32</v>
      </c>
      <c r="G62" s="83" t="s">
        <v>33</v>
      </c>
      <c r="H62" s="83" t="s">
        <v>149</v>
      </c>
      <c r="I62" s="83" t="s">
        <v>123</v>
      </c>
      <c r="J62" s="83" t="s">
        <v>36</v>
      </c>
      <c r="K62" s="83" t="s">
        <v>37</v>
      </c>
      <c r="L62" s="83" t="s">
        <v>38</v>
      </c>
      <c r="M62" s="83" t="s">
        <v>39</v>
      </c>
      <c r="N62" s="83"/>
      <c r="O62" s="83">
        <v>7</v>
      </c>
      <c r="P62" s="83">
        <v>7</v>
      </c>
      <c r="Q62" s="58">
        <v>0</v>
      </c>
      <c r="R62" s="35" t="s">
        <v>40</v>
      </c>
      <c r="T62" s="35" t="s">
        <v>41</v>
      </c>
      <c r="U62" s="35" t="s">
        <v>124</v>
      </c>
    </row>
    <row r="63" spans="1:21">
      <c r="A63" s="64">
        <v>2022</v>
      </c>
      <c r="B63" s="83" t="s">
        <v>150</v>
      </c>
      <c r="C63" s="77">
        <v>28733</v>
      </c>
      <c r="D63" s="77">
        <v>37</v>
      </c>
      <c r="E63" s="79">
        <v>44818</v>
      </c>
      <c r="F63" s="83" t="s">
        <v>32</v>
      </c>
      <c r="G63" s="83" t="s">
        <v>33</v>
      </c>
      <c r="H63" s="83" t="s">
        <v>149</v>
      </c>
      <c r="I63" s="83" t="s">
        <v>123</v>
      </c>
      <c r="J63" s="83" t="s">
        <v>36</v>
      </c>
      <c r="K63" s="83" t="s">
        <v>37</v>
      </c>
      <c r="L63" s="83" t="s">
        <v>44</v>
      </c>
      <c r="M63" s="83" t="s">
        <v>39</v>
      </c>
      <c r="N63" s="83"/>
      <c r="O63" s="83">
        <v>7</v>
      </c>
      <c r="P63" s="83">
        <v>7</v>
      </c>
      <c r="Q63" s="58">
        <v>0</v>
      </c>
      <c r="R63" s="35" t="s">
        <v>40</v>
      </c>
      <c r="T63" s="35" t="s">
        <v>45</v>
      </c>
      <c r="U63" s="35" t="s">
        <v>126</v>
      </c>
    </row>
    <row r="64" spans="1:21">
      <c r="A64" s="64">
        <v>2022</v>
      </c>
      <c r="B64" s="83" t="s">
        <v>151</v>
      </c>
      <c r="C64" s="77">
        <v>28734</v>
      </c>
      <c r="D64" s="77">
        <v>37</v>
      </c>
      <c r="E64" s="79">
        <v>44818</v>
      </c>
      <c r="F64" s="83" t="s">
        <v>32</v>
      </c>
      <c r="G64" s="83" t="s">
        <v>33</v>
      </c>
      <c r="H64" s="83" t="s">
        <v>152</v>
      </c>
      <c r="I64" s="83" t="s">
        <v>123</v>
      </c>
      <c r="J64" s="83" t="s">
        <v>59</v>
      </c>
      <c r="K64" s="83" t="s">
        <v>37</v>
      </c>
      <c r="L64" s="83" t="s">
        <v>38</v>
      </c>
      <c r="M64" s="83" t="s">
        <v>39</v>
      </c>
      <c r="N64" s="83">
        <v>1</v>
      </c>
      <c r="O64" s="83"/>
      <c r="P64" s="83">
        <v>1</v>
      </c>
      <c r="Q64" s="58">
        <v>0</v>
      </c>
      <c r="R64" s="35" t="s">
        <v>40</v>
      </c>
      <c r="T64" s="35" t="s">
        <v>41</v>
      </c>
      <c r="U64" s="35" t="s">
        <v>124</v>
      </c>
    </row>
    <row r="65" spans="1:21">
      <c r="A65" s="64">
        <v>2022</v>
      </c>
      <c r="B65" s="83" t="s">
        <v>153</v>
      </c>
      <c r="C65" s="77">
        <v>28735</v>
      </c>
      <c r="D65" s="77">
        <v>37</v>
      </c>
      <c r="E65" s="79">
        <v>44818</v>
      </c>
      <c r="F65" s="83" t="s">
        <v>32</v>
      </c>
      <c r="G65" s="83" t="s">
        <v>33</v>
      </c>
      <c r="H65" s="83" t="s">
        <v>152</v>
      </c>
      <c r="I65" s="83" t="s">
        <v>123</v>
      </c>
      <c r="J65" s="83" t="s">
        <v>59</v>
      </c>
      <c r="K65" s="83" t="s">
        <v>37</v>
      </c>
      <c r="L65" s="83" t="s">
        <v>44</v>
      </c>
      <c r="M65" s="83" t="s">
        <v>39</v>
      </c>
      <c r="N65" s="83">
        <v>4</v>
      </c>
      <c r="O65" s="83"/>
      <c r="P65" s="83">
        <v>4</v>
      </c>
      <c r="Q65" s="58">
        <v>0</v>
      </c>
      <c r="R65" s="35" t="s">
        <v>40</v>
      </c>
      <c r="T65" s="35" t="s">
        <v>45</v>
      </c>
      <c r="U65" s="35" t="s">
        <v>126</v>
      </c>
    </row>
    <row r="66" spans="1:21">
      <c r="A66" s="64">
        <v>2022</v>
      </c>
      <c r="B66" s="83" t="s">
        <v>154</v>
      </c>
      <c r="C66" s="77">
        <v>28736</v>
      </c>
      <c r="D66" s="77">
        <v>37</v>
      </c>
      <c r="E66" s="79">
        <v>44818</v>
      </c>
      <c r="F66" s="83" t="s">
        <v>32</v>
      </c>
      <c r="G66" s="83" t="s">
        <v>33</v>
      </c>
      <c r="H66" s="83" t="s">
        <v>155</v>
      </c>
      <c r="I66" s="35" t="s">
        <v>123</v>
      </c>
      <c r="J66" s="83" t="s">
        <v>36</v>
      </c>
      <c r="K66" s="83" t="s">
        <v>37</v>
      </c>
      <c r="L66" s="83" t="s">
        <v>38</v>
      </c>
      <c r="M66" s="83" t="s">
        <v>39</v>
      </c>
      <c r="N66" s="83"/>
      <c r="O66" s="83">
        <v>3</v>
      </c>
      <c r="P66" s="83">
        <v>3</v>
      </c>
      <c r="Q66" s="58">
        <v>0</v>
      </c>
      <c r="R66" s="35" t="s">
        <v>40</v>
      </c>
      <c r="T66" s="35" t="s">
        <v>41</v>
      </c>
      <c r="U66" s="35" t="s">
        <v>124</v>
      </c>
    </row>
    <row r="67" spans="1:21">
      <c r="A67" s="64">
        <v>2022</v>
      </c>
      <c r="B67" s="83" t="s">
        <v>156</v>
      </c>
      <c r="C67" s="77">
        <v>28737</v>
      </c>
      <c r="D67" s="77">
        <v>37</v>
      </c>
      <c r="E67" s="79">
        <v>44818</v>
      </c>
      <c r="F67" s="83" t="s">
        <v>32</v>
      </c>
      <c r="G67" s="83" t="s">
        <v>33</v>
      </c>
      <c r="H67" s="83" t="s">
        <v>155</v>
      </c>
      <c r="I67" s="35" t="s">
        <v>123</v>
      </c>
      <c r="J67" s="83" t="s">
        <v>36</v>
      </c>
      <c r="K67" s="83" t="s">
        <v>37</v>
      </c>
      <c r="L67" s="83" t="s">
        <v>44</v>
      </c>
      <c r="M67" s="83" t="s">
        <v>39</v>
      </c>
      <c r="N67" s="83"/>
      <c r="O67" s="83">
        <v>43</v>
      </c>
      <c r="P67" s="83">
        <v>43</v>
      </c>
      <c r="Q67" s="58">
        <v>0</v>
      </c>
      <c r="R67" s="35" t="s">
        <v>40</v>
      </c>
      <c r="T67" s="35" t="s">
        <v>45</v>
      </c>
      <c r="U67" s="35" t="s">
        <v>126</v>
      </c>
    </row>
    <row r="68" spans="1:21">
      <c r="A68" s="64">
        <v>2022</v>
      </c>
      <c r="B68" s="83" t="s">
        <v>157</v>
      </c>
      <c r="C68" s="77">
        <v>28738</v>
      </c>
      <c r="D68" s="77">
        <v>37</v>
      </c>
      <c r="E68" s="79">
        <v>44818</v>
      </c>
      <c r="F68" s="83" t="s">
        <v>32</v>
      </c>
      <c r="G68" s="83" t="s">
        <v>33</v>
      </c>
      <c r="H68" s="83" t="s">
        <v>158</v>
      </c>
      <c r="I68" s="35" t="s">
        <v>123</v>
      </c>
      <c r="J68" s="83" t="s">
        <v>36</v>
      </c>
      <c r="K68" s="83" t="s">
        <v>37</v>
      </c>
      <c r="L68" s="83" t="s">
        <v>38</v>
      </c>
      <c r="M68" s="83" t="s">
        <v>39</v>
      </c>
      <c r="N68" s="83"/>
      <c r="O68" s="83">
        <v>8</v>
      </c>
      <c r="P68" s="83">
        <v>8</v>
      </c>
      <c r="Q68" s="58">
        <v>0</v>
      </c>
      <c r="R68" s="35" t="s">
        <v>40</v>
      </c>
      <c r="T68" s="35" t="s">
        <v>41</v>
      </c>
      <c r="U68" s="35" t="s">
        <v>124</v>
      </c>
    </row>
    <row r="69" spans="1:21">
      <c r="A69" s="64">
        <v>2022</v>
      </c>
      <c r="B69" s="83" t="s">
        <v>159</v>
      </c>
      <c r="C69" s="77">
        <v>28739</v>
      </c>
      <c r="D69" s="77">
        <v>37</v>
      </c>
      <c r="E69" s="79">
        <v>44818</v>
      </c>
      <c r="F69" s="83" t="s">
        <v>32</v>
      </c>
      <c r="G69" s="83" t="s">
        <v>33</v>
      </c>
      <c r="H69" s="83" t="s">
        <v>158</v>
      </c>
      <c r="I69" s="35" t="s">
        <v>123</v>
      </c>
      <c r="J69" s="83" t="s">
        <v>36</v>
      </c>
      <c r="K69" s="83" t="s">
        <v>37</v>
      </c>
      <c r="L69" s="83" t="s">
        <v>44</v>
      </c>
      <c r="M69" s="83" t="s">
        <v>39</v>
      </c>
      <c r="N69" s="83"/>
      <c r="O69" s="83">
        <v>35</v>
      </c>
      <c r="P69" s="83">
        <v>35</v>
      </c>
      <c r="Q69" s="58">
        <v>0</v>
      </c>
      <c r="R69" s="35" t="s">
        <v>40</v>
      </c>
      <c r="T69" s="35" t="s">
        <v>45</v>
      </c>
      <c r="U69" s="35" t="s">
        <v>126</v>
      </c>
    </row>
    <row r="70" spans="1:21">
      <c r="A70" s="64">
        <v>2022</v>
      </c>
      <c r="B70" s="83" t="s">
        <v>160</v>
      </c>
      <c r="C70" s="77">
        <v>28740</v>
      </c>
      <c r="D70" s="77">
        <v>37</v>
      </c>
      <c r="E70" s="79">
        <v>44818</v>
      </c>
      <c r="F70" s="83" t="s">
        <v>32</v>
      </c>
      <c r="G70" s="83" t="s">
        <v>33</v>
      </c>
      <c r="H70" s="83" t="s">
        <v>161</v>
      </c>
      <c r="I70" s="35" t="s">
        <v>123</v>
      </c>
      <c r="J70" s="83" t="s">
        <v>59</v>
      </c>
      <c r="K70" s="83" t="s">
        <v>37</v>
      </c>
      <c r="L70" s="83" t="s">
        <v>38</v>
      </c>
      <c r="M70" s="83" t="s">
        <v>39</v>
      </c>
      <c r="N70" s="83">
        <v>1</v>
      </c>
      <c r="O70" s="83"/>
      <c r="P70" s="83">
        <v>1</v>
      </c>
      <c r="Q70" s="58">
        <v>0</v>
      </c>
      <c r="R70" s="35" t="s">
        <v>40</v>
      </c>
      <c r="T70" s="35" t="s">
        <v>41</v>
      </c>
      <c r="U70" s="35" t="s">
        <v>124</v>
      </c>
    </row>
    <row r="71" spans="1:21">
      <c r="A71" s="61">
        <v>2022</v>
      </c>
      <c r="B71" s="83" t="s">
        <v>162</v>
      </c>
      <c r="C71" s="77">
        <v>28741</v>
      </c>
      <c r="D71" s="77">
        <v>37</v>
      </c>
      <c r="E71" s="79">
        <v>44818</v>
      </c>
      <c r="F71" s="83" t="s">
        <v>32</v>
      </c>
      <c r="G71" s="83" t="s">
        <v>33</v>
      </c>
      <c r="H71" s="83" t="s">
        <v>161</v>
      </c>
      <c r="I71" s="83" t="s">
        <v>123</v>
      </c>
      <c r="J71" s="83" t="s">
        <v>59</v>
      </c>
      <c r="K71" s="83" t="s">
        <v>37</v>
      </c>
      <c r="L71" s="83" t="s">
        <v>44</v>
      </c>
      <c r="M71" s="83" t="s">
        <v>39</v>
      </c>
      <c r="N71" s="83">
        <v>8</v>
      </c>
      <c r="O71" s="83"/>
      <c r="P71" s="83">
        <v>8</v>
      </c>
      <c r="Q71" s="58">
        <v>0</v>
      </c>
      <c r="R71" s="35" t="s">
        <v>40</v>
      </c>
      <c r="T71" s="35" t="s">
        <v>45</v>
      </c>
      <c r="U71" s="35" t="s">
        <v>126</v>
      </c>
    </row>
    <row r="72" spans="1:21">
      <c r="A72" s="61">
        <v>2022</v>
      </c>
      <c r="B72" s="83" t="s">
        <v>163</v>
      </c>
      <c r="C72" s="77">
        <v>28742</v>
      </c>
      <c r="D72" s="77">
        <v>37</v>
      </c>
      <c r="E72" s="79">
        <v>44818</v>
      </c>
      <c r="F72" s="83" t="s">
        <v>32</v>
      </c>
      <c r="G72" s="83" t="s">
        <v>33</v>
      </c>
      <c r="H72" s="83" t="s">
        <v>164</v>
      </c>
      <c r="I72" s="83" t="s">
        <v>123</v>
      </c>
      <c r="J72" s="83" t="s">
        <v>36</v>
      </c>
      <c r="K72" s="83" t="s">
        <v>37</v>
      </c>
      <c r="L72" s="83" t="s">
        <v>38</v>
      </c>
      <c r="M72" s="83" t="s">
        <v>39</v>
      </c>
      <c r="N72" s="83"/>
      <c r="O72" s="83">
        <v>3</v>
      </c>
      <c r="P72" s="83">
        <v>3</v>
      </c>
      <c r="Q72" s="58">
        <v>0</v>
      </c>
      <c r="R72" s="35" t="s">
        <v>40</v>
      </c>
      <c r="T72" s="35" t="s">
        <v>41</v>
      </c>
      <c r="U72" s="35" t="s">
        <v>124</v>
      </c>
    </row>
    <row r="73" spans="1:21">
      <c r="A73" s="61">
        <v>2022</v>
      </c>
      <c r="B73" s="83" t="s">
        <v>165</v>
      </c>
      <c r="C73" s="77">
        <v>28743</v>
      </c>
      <c r="D73" s="77">
        <v>37</v>
      </c>
      <c r="E73" s="79">
        <v>44818</v>
      </c>
      <c r="F73" s="83" t="s">
        <v>32</v>
      </c>
      <c r="G73" s="83" t="s">
        <v>33</v>
      </c>
      <c r="H73" s="83" t="s">
        <v>164</v>
      </c>
      <c r="I73" s="83" t="s">
        <v>123</v>
      </c>
      <c r="J73" s="83" t="s">
        <v>36</v>
      </c>
      <c r="K73" s="83" t="s">
        <v>37</v>
      </c>
      <c r="L73" s="83" t="s">
        <v>44</v>
      </c>
      <c r="M73" s="83" t="s">
        <v>39</v>
      </c>
      <c r="N73" s="83"/>
      <c r="O73" s="83">
        <v>50</v>
      </c>
      <c r="P73" s="83">
        <v>50</v>
      </c>
      <c r="Q73" s="58">
        <v>0</v>
      </c>
      <c r="R73" s="35" t="s">
        <v>40</v>
      </c>
      <c r="T73" s="35" t="s">
        <v>45</v>
      </c>
      <c r="U73" s="35" t="s">
        <v>126</v>
      </c>
    </row>
    <row r="74" spans="1:21">
      <c r="A74" s="61">
        <v>2022</v>
      </c>
      <c r="B74" s="83" t="s">
        <v>166</v>
      </c>
      <c r="C74" s="77">
        <v>28744</v>
      </c>
      <c r="D74" s="77">
        <v>37</v>
      </c>
      <c r="E74" s="79">
        <v>44818</v>
      </c>
      <c r="F74" s="83" t="s">
        <v>32</v>
      </c>
      <c r="G74" s="83" t="s">
        <v>33</v>
      </c>
      <c r="H74" s="83" t="s">
        <v>164</v>
      </c>
      <c r="I74" s="35" t="s">
        <v>123</v>
      </c>
      <c r="J74" s="83" t="s">
        <v>36</v>
      </c>
      <c r="K74" s="83" t="s">
        <v>37</v>
      </c>
      <c r="L74" s="83" t="s">
        <v>44</v>
      </c>
      <c r="M74" s="83" t="s">
        <v>39</v>
      </c>
      <c r="N74" s="83"/>
      <c r="O74" s="83">
        <v>50</v>
      </c>
      <c r="P74" s="83">
        <v>50</v>
      </c>
      <c r="Q74" s="58">
        <v>0</v>
      </c>
      <c r="R74" s="35" t="s">
        <v>40</v>
      </c>
      <c r="T74" s="35" t="s">
        <v>45</v>
      </c>
      <c r="U74" s="35" t="s">
        <v>126</v>
      </c>
    </row>
    <row r="75" spans="1:21">
      <c r="A75" s="61">
        <v>2022</v>
      </c>
      <c r="B75" s="83" t="s">
        <v>167</v>
      </c>
      <c r="C75" s="77">
        <v>28745</v>
      </c>
      <c r="D75" s="77">
        <v>37</v>
      </c>
      <c r="E75" s="79">
        <v>44818</v>
      </c>
      <c r="F75" s="83" t="s">
        <v>32</v>
      </c>
      <c r="G75" s="83" t="s">
        <v>33</v>
      </c>
      <c r="H75" s="83" t="s">
        <v>164</v>
      </c>
      <c r="I75" s="35" t="s">
        <v>123</v>
      </c>
      <c r="J75" s="83" t="s">
        <v>36</v>
      </c>
      <c r="K75" s="83" t="s">
        <v>37</v>
      </c>
      <c r="L75" s="83" t="s">
        <v>44</v>
      </c>
      <c r="M75" s="83" t="s">
        <v>39</v>
      </c>
      <c r="N75" s="83"/>
      <c r="O75" s="83">
        <v>50</v>
      </c>
      <c r="P75" s="83">
        <v>50</v>
      </c>
      <c r="Q75" s="58">
        <v>0</v>
      </c>
      <c r="R75" s="35" t="s">
        <v>40</v>
      </c>
      <c r="T75" s="35" t="s">
        <v>45</v>
      </c>
      <c r="U75" s="35" t="s">
        <v>126</v>
      </c>
    </row>
    <row r="76" spans="1:21" s="89" customFormat="1">
      <c r="A76" s="92">
        <v>2022</v>
      </c>
      <c r="B76" s="86" t="s">
        <v>168</v>
      </c>
      <c r="C76" s="87">
        <v>28746</v>
      </c>
      <c r="D76" s="87">
        <v>37</v>
      </c>
      <c r="E76" s="88">
        <v>44818</v>
      </c>
      <c r="F76" s="86" t="s">
        <v>32</v>
      </c>
      <c r="G76" s="86" t="s">
        <v>33</v>
      </c>
      <c r="H76" s="86" t="s">
        <v>164</v>
      </c>
      <c r="I76" s="89" t="s">
        <v>123</v>
      </c>
      <c r="J76" s="86" t="s">
        <v>36</v>
      </c>
      <c r="K76" s="86" t="s">
        <v>37</v>
      </c>
      <c r="L76" s="86" t="s">
        <v>44</v>
      </c>
      <c r="M76" s="86" t="s">
        <v>39</v>
      </c>
      <c r="N76" s="86"/>
      <c r="O76" s="86">
        <v>50</v>
      </c>
      <c r="P76" s="86">
        <v>50</v>
      </c>
      <c r="Q76" s="90">
        <v>1</v>
      </c>
      <c r="R76" s="89" t="s">
        <v>101</v>
      </c>
      <c r="T76" s="89" t="s">
        <v>45</v>
      </c>
      <c r="U76" s="89" t="s">
        <v>126</v>
      </c>
    </row>
    <row r="77" spans="1:21">
      <c r="A77" s="61">
        <v>2022</v>
      </c>
      <c r="B77" s="35" t="s">
        <v>169</v>
      </c>
      <c r="C77" s="77">
        <v>28747</v>
      </c>
      <c r="D77" s="58">
        <v>37</v>
      </c>
      <c r="E77" s="79">
        <v>44818</v>
      </c>
      <c r="F77" s="35" t="s">
        <v>32</v>
      </c>
      <c r="G77" s="83" t="s">
        <v>33</v>
      </c>
      <c r="H77" s="35" t="s">
        <v>164</v>
      </c>
      <c r="I77" s="35" t="s">
        <v>123</v>
      </c>
      <c r="J77" s="35" t="s">
        <v>36</v>
      </c>
      <c r="K77" s="35" t="s">
        <v>37</v>
      </c>
      <c r="L77" s="35" t="s">
        <v>44</v>
      </c>
      <c r="M77" s="35" t="s">
        <v>39</v>
      </c>
      <c r="O77" s="61">
        <v>50</v>
      </c>
      <c r="P77" s="61">
        <v>50</v>
      </c>
      <c r="Q77" s="58">
        <v>0</v>
      </c>
      <c r="R77" s="35" t="s">
        <v>40</v>
      </c>
      <c r="T77" s="35" t="s">
        <v>45</v>
      </c>
      <c r="U77" s="35" t="s">
        <v>126</v>
      </c>
    </row>
    <row r="78" spans="1:21">
      <c r="A78" s="61">
        <v>2022</v>
      </c>
      <c r="B78" s="35" t="s">
        <v>170</v>
      </c>
      <c r="C78" s="77">
        <v>28748</v>
      </c>
      <c r="D78" s="58">
        <v>37</v>
      </c>
      <c r="E78" s="79">
        <v>44818</v>
      </c>
      <c r="F78" s="35" t="s">
        <v>32</v>
      </c>
      <c r="G78" s="83" t="s">
        <v>33</v>
      </c>
      <c r="H78" s="35" t="s">
        <v>164</v>
      </c>
      <c r="I78" s="35" t="s">
        <v>123</v>
      </c>
      <c r="J78" s="35" t="s">
        <v>36</v>
      </c>
      <c r="K78" s="35" t="s">
        <v>37</v>
      </c>
      <c r="L78" s="35" t="s">
        <v>44</v>
      </c>
      <c r="M78" s="35" t="s">
        <v>39</v>
      </c>
      <c r="O78" s="61">
        <v>50</v>
      </c>
      <c r="P78" s="61">
        <v>50</v>
      </c>
      <c r="Q78" s="58">
        <v>0</v>
      </c>
      <c r="R78" s="35" t="s">
        <v>40</v>
      </c>
      <c r="T78" s="35" t="s">
        <v>45</v>
      </c>
      <c r="U78" s="35" t="s">
        <v>126</v>
      </c>
    </row>
    <row r="79" spans="1:21">
      <c r="A79" s="61">
        <v>2022</v>
      </c>
      <c r="B79" s="35" t="s">
        <v>171</v>
      </c>
      <c r="C79" s="77">
        <v>28749</v>
      </c>
      <c r="D79" s="58">
        <v>37</v>
      </c>
      <c r="E79" s="79">
        <v>44818</v>
      </c>
      <c r="F79" s="35" t="s">
        <v>32</v>
      </c>
      <c r="G79" s="83" t="s">
        <v>33</v>
      </c>
      <c r="H79" s="35" t="s">
        <v>164</v>
      </c>
      <c r="I79" s="35" t="s">
        <v>123</v>
      </c>
      <c r="J79" s="35" t="s">
        <v>36</v>
      </c>
      <c r="K79" s="35" t="s">
        <v>37</v>
      </c>
      <c r="L79" s="35" t="s">
        <v>44</v>
      </c>
      <c r="M79" s="35" t="s">
        <v>39</v>
      </c>
      <c r="O79" s="61">
        <v>50</v>
      </c>
      <c r="P79" s="61">
        <v>50</v>
      </c>
      <c r="Q79" s="58">
        <v>0</v>
      </c>
      <c r="R79" s="35" t="s">
        <v>40</v>
      </c>
      <c r="T79" s="35" t="s">
        <v>45</v>
      </c>
      <c r="U79" s="35" t="s">
        <v>126</v>
      </c>
    </row>
    <row r="80" spans="1:21">
      <c r="A80" s="61">
        <v>2022</v>
      </c>
      <c r="B80" s="35" t="s">
        <v>172</v>
      </c>
      <c r="C80" s="77">
        <v>28750</v>
      </c>
      <c r="D80" s="58">
        <v>37</v>
      </c>
      <c r="E80" s="79">
        <v>44818</v>
      </c>
      <c r="F80" s="35" t="s">
        <v>32</v>
      </c>
      <c r="G80" s="83" t="s">
        <v>33</v>
      </c>
      <c r="H80" s="35" t="s">
        <v>164</v>
      </c>
      <c r="I80" s="83" t="s">
        <v>123</v>
      </c>
      <c r="J80" s="35" t="s">
        <v>36</v>
      </c>
      <c r="K80" s="35" t="s">
        <v>37</v>
      </c>
      <c r="L80" s="35" t="s">
        <v>44</v>
      </c>
      <c r="M80" s="35" t="s">
        <v>39</v>
      </c>
      <c r="O80" s="61">
        <v>50</v>
      </c>
      <c r="P80" s="61">
        <v>50</v>
      </c>
      <c r="Q80" s="58">
        <v>0</v>
      </c>
      <c r="R80" s="35" t="s">
        <v>40</v>
      </c>
      <c r="T80" s="35" t="s">
        <v>45</v>
      </c>
      <c r="U80" s="35" t="s">
        <v>126</v>
      </c>
    </row>
    <row r="81" spans="1:21">
      <c r="A81" s="61">
        <v>2022</v>
      </c>
      <c r="B81" s="35" t="s">
        <v>173</v>
      </c>
      <c r="C81" s="77">
        <v>28751</v>
      </c>
      <c r="D81" s="58">
        <v>37</v>
      </c>
      <c r="E81" s="79">
        <v>44818</v>
      </c>
      <c r="F81" s="35" t="s">
        <v>32</v>
      </c>
      <c r="G81" s="83" t="s">
        <v>33</v>
      </c>
      <c r="H81" s="35" t="s">
        <v>164</v>
      </c>
      <c r="I81" s="83" t="s">
        <v>123</v>
      </c>
      <c r="J81" s="35" t="s">
        <v>36</v>
      </c>
      <c r="K81" s="35" t="s">
        <v>37</v>
      </c>
      <c r="L81" s="35" t="s">
        <v>44</v>
      </c>
      <c r="M81" s="35" t="s">
        <v>39</v>
      </c>
      <c r="O81" s="61">
        <v>50</v>
      </c>
      <c r="P81" s="61">
        <v>50</v>
      </c>
      <c r="Q81" s="58">
        <v>0</v>
      </c>
      <c r="R81" s="35" t="s">
        <v>40</v>
      </c>
      <c r="T81" s="35" t="s">
        <v>45</v>
      </c>
      <c r="U81" s="35" t="s">
        <v>126</v>
      </c>
    </row>
    <row r="82" spans="1:21">
      <c r="A82" s="61">
        <v>2022</v>
      </c>
      <c r="B82" s="35" t="s">
        <v>174</v>
      </c>
      <c r="C82" s="77">
        <v>28752</v>
      </c>
      <c r="D82" s="58">
        <v>37</v>
      </c>
      <c r="E82" s="79">
        <v>44818</v>
      </c>
      <c r="F82" s="35" t="s">
        <v>32</v>
      </c>
      <c r="G82" s="83" t="s">
        <v>33</v>
      </c>
      <c r="H82" s="35" t="s">
        <v>164</v>
      </c>
      <c r="I82" s="83" t="s">
        <v>123</v>
      </c>
      <c r="J82" s="35" t="s">
        <v>36</v>
      </c>
      <c r="K82" s="35" t="s">
        <v>37</v>
      </c>
      <c r="L82" s="35" t="s">
        <v>44</v>
      </c>
      <c r="M82" s="35" t="s">
        <v>39</v>
      </c>
      <c r="O82" s="61">
        <v>26</v>
      </c>
      <c r="P82" s="61">
        <v>26</v>
      </c>
      <c r="Q82" s="58">
        <v>0</v>
      </c>
      <c r="R82" s="35" t="s">
        <v>40</v>
      </c>
      <c r="T82" s="35" t="s">
        <v>45</v>
      </c>
      <c r="U82" s="35" t="s">
        <v>126</v>
      </c>
    </row>
    <row r="83" spans="1:21">
      <c r="A83" s="61">
        <v>2022</v>
      </c>
      <c r="B83" s="35" t="s">
        <v>175</v>
      </c>
      <c r="C83" s="77">
        <v>28753</v>
      </c>
      <c r="D83" s="58">
        <v>37</v>
      </c>
      <c r="E83" s="79">
        <v>44818</v>
      </c>
      <c r="F83" s="35" t="s">
        <v>32</v>
      </c>
      <c r="G83" s="83" t="s">
        <v>33</v>
      </c>
      <c r="H83" s="35" t="s">
        <v>176</v>
      </c>
      <c r="I83" s="83" t="s">
        <v>123</v>
      </c>
      <c r="J83" s="35" t="s">
        <v>36</v>
      </c>
      <c r="K83" s="35" t="s">
        <v>37</v>
      </c>
      <c r="L83" s="35" t="s">
        <v>38</v>
      </c>
      <c r="M83" s="35" t="s">
        <v>39</v>
      </c>
      <c r="O83" s="61">
        <v>9</v>
      </c>
      <c r="P83" s="61">
        <v>9</v>
      </c>
      <c r="Q83" s="58">
        <v>0</v>
      </c>
      <c r="R83" s="35" t="s">
        <v>40</v>
      </c>
      <c r="T83" s="35" t="s">
        <v>41</v>
      </c>
      <c r="U83" s="35" t="s">
        <v>124</v>
      </c>
    </row>
    <row r="84" spans="1:21">
      <c r="A84" s="61">
        <v>2022</v>
      </c>
      <c r="B84" s="35" t="s">
        <v>177</v>
      </c>
      <c r="C84" s="77">
        <v>28754</v>
      </c>
      <c r="D84" s="58">
        <v>37</v>
      </c>
      <c r="E84" s="79">
        <v>44818</v>
      </c>
      <c r="F84" s="35" t="s">
        <v>32</v>
      </c>
      <c r="G84" s="83" t="s">
        <v>33</v>
      </c>
      <c r="H84" s="35" t="s">
        <v>176</v>
      </c>
      <c r="I84" s="83" t="s">
        <v>123</v>
      </c>
      <c r="J84" s="35" t="s">
        <v>36</v>
      </c>
      <c r="K84" s="35" t="s">
        <v>37</v>
      </c>
      <c r="L84" s="35" t="s">
        <v>44</v>
      </c>
      <c r="M84" s="35" t="s">
        <v>39</v>
      </c>
      <c r="O84" s="61">
        <v>50</v>
      </c>
      <c r="P84" s="61">
        <v>50</v>
      </c>
      <c r="Q84" s="58">
        <v>0</v>
      </c>
      <c r="R84" s="35" t="s">
        <v>40</v>
      </c>
      <c r="T84" s="35" t="s">
        <v>45</v>
      </c>
      <c r="U84" s="35" t="s">
        <v>126</v>
      </c>
    </row>
    <row r="85" spans="1:21">
      <c r="A85" s="61">
        <v>2022</v>
      </c>
      <c r="B85" s="35" t="s">
        <v>178</v>
      </c>
      <c r="C85" s="77">
        <v>28755</v>
      </c>
      <c r="D85" s="58">
        <v>37</v>
      </c>
      <c r="E85" s="79">
        <v>44818</v>
      </c>
      <c r="F85" s="35" t="s">
        <v>32</v>
      </c>
      <c r="G85" s="83" t="s">
        <v>33</v>
      </c>
      <c r="H85" s="35" t="s">
        <v>176</v>
      </c>
      <c r="I85" s="83" t="s">
        <v>123</v>
      </c>
      <c r="J85" s="35" t="s">
        <v>36</v>
      </c>
      <c r="K85" s="35" t="s">
        <v>37</v>
      </c>
      <c r="L85" s="35" t="s">
        <v>44</v>
      </c>
      <c r="M85" s="35" t="s">
        <v>39</v>
      </c>
      <c r="O85" s="61">
        <v>50</v>
      </c>
      <c r="P85" s="61">
        <v>50</v>
      </c>
      <c r="Q85" s="58">
        <v>0</v>
      </c>
      <c r="R85" s="35" t="s">
        <v>40</v>
      </c>
      <c r="T85" s="35" t="s">
        <v>45</v>
      </c>
      <c r="U85" s="35" t="s">
        <v>126</v>
      </c>
    </row>
    <row r="86" spans="1:21">
      <c r="A86" s="61">
        <v>2022</v>
      </c>
      <c r="B86" s="35" t="s">
        <v>179</v>
      </c>
      <c r="C86" s="77">
        <v>28756</v>
      </c>
      <c r="D86" s="58">
        <v>37</v>
      </c>
      <c r="E86" s="79">
        <v>44818</v>
      </c>
      <c r="F86" s="35" t="s">
        <v>32</v>
      </c>
      <c r="G86" s="83" t="s">
        <v>33</v>
      </c>
      <c r="H86" s="35" t="s">
        <v>176</v>
      </c>
      <c r="I86" s="83" t="s">
        <v>123</v>
      </c>
      <c r="J86" s="35" t="s">
        <v>36</v>
      </c>
      <c r="K86" s="35" t="s">
        <v>37</v>
      </c>
      <c r="L86" s="35" t="s">
        <v>44</v>
      </c>
      <c r="M86" s="35" t="s">
        <v>39</v>
      </c>
      <c r="O86" s="61">
        <v>50</v>
      </c>
      <c r="P86" s="61">
        <v>50</v>
      </c>
      <c r="Q86" s="58">
        <v>0</v>
      </c>
      <c r="R86" s="35" t="s">
        <v>40</v>
      </c>
      <c r="T86" s="35" t="s">
        <v>45</v>
      </c>
      <c r="U86" s="35" t="s">
        <v>126</v>
      </c>
    </row>
    <row r="87" spans="1:21">
      <c r="A87" s="61">
        <v>2022</v>
      </c>
      <c r="B87" s="35" t="s">
        <v>180</v>
      </c>
      <c r="C87" s="77">
        <v>28757</v>
      </c>
      <c r="D87" s="58">
        <v>37</v>
      </c>
      <c r="E87" s="79">
        <v>44818</v>
      </c>
      <c r="F87" s="35" t="s">
        <v>32</v>
      </c>
      <c r="G87" s="83" t="s">
        <v>33</v>
      </c>
      <c r="H87" s="35" t="s">
        <v>176</v>
      </c>
      <c r="I87" s="83" t="s">
        <v>123</v>
      </c>
      <c r="J87" s="35" t="s">
        <v>36</v>
      </c>
      <c r="K87" s="35" t="s">
        <v>37</v>
      </c>
      <c r="L87" s="35" t="s">
        <v>44</v>
      </c>
      <c r="M87" s="35" t="s">
        <v>39</v>
      </c>
      <c r="O87" s="61">
        <v>50</v>
      </c>
      <c r="P87" s="61">
        <v>50</v>
      </c>
      <c r="Q87" s="58">
        <v>0</v>
      </c>
      <c r="R87" s="35" t="s">
        <v>40</v>
      </c>
      <c r="T87" s="35" t="s">
        <v>45</v>
      </c>
      <c r="U87" s="35" t="s">
        <v>126</v>
      </c>
    </row>
    <row r="88" spans="1:21">
      <c r="A88" s="61">
        <v>2022</v>
      </c>
      <c r="B88" s="35" t="s">
        <v>181</v>
      </c>
      <c r="C88" s="77">
        <v>28758</v>
      </c>
      <c r="D88" s="58">
        <v>37</v>
      </c>
      <c r="E88" s="79">
        <v>44818</v>
      </c>
      <c r="F88" s="35" t="s">
        <v>32</v>
      </c>
      <c r="G88" s="83" t="s">
        <v>33</v>
      </c>
      <c r="H88" s="35" t="s">
        <v>176</v>
      </c>
      <c r="I88" s="83" t="s">
        <v>123</v>
      </c>
      <c r="J88" s="35" t="s">
        <v>36</v>
      </c>
      <c r="K88" s="35" t="s">
        <v>37</v>
      </c>
      <c r="L88" s="35" t="s">
        <v>44</v>
      </c>
      <c r="M88" s="35" t="s">
        <v>39</v>
      </c>
      <c r="O88" s="61">
        <v>50</v>
      </c>
      <c r="P88" s="61">
        <v>50</v>
      </c>
      <c r="Q88" s="58">
        <v>0</v>
      </c>
      <c r="R88" s="35" t="s">
        <v>40</v>
      </c>
      <c r="T88" s="35" t="s">
        <v>45</v>
      </c>
      <c r="U88" s="35" t="s">
        <v>126</v>
      </c>
    </row>
    <row r="89" spans="1:21">
      <c r="A89" s="61">
        <v>2022</v>
      </c>
      <c r="B89" s="35" t="s">
        <v>182</v>
      </c>
      <c r="C89" s="77">
        <v>28759</v>
      </c>
      <c r="D89" s="58">
        <v>37</v>
      </c>
      <c r="E89" s="79">
        <v>44818</v>
      </c>
      <c r="F89" s="35" t="s">
        <v>32</v>
      </c>
      <c r="G89" s="83" t="s">
        <v>33</v>
      </c>
      <c r="H89" s="35" t="s">
        <v>176</v>
      </c>
      <c r="I89" s="83" t="s">
        <v>123</v>
      </c>
      <c r="J89" s="35" t="s">
        <v>36</v>
      </c>
      <c r="K89" s="35" t="s">
        <v>37</v>
      </c>
      <c r="L89" s="35" t="s">
        <v>44</v>
      </c>
      <c r="M89" s="35" t="s">
        <v>39</v>
      </c>
      <c r="O89" s="61">
        <v>50</v>
      </c>
      <c r="P89" s="61">
        <v>50</v>
      </c>
      <c r="Q89" s="58">
        <v>0</v>
      </c>
      <c r="R89" s="35" t="s">
        <v>40</v>
      </c>
      <c r="T89" s="35" t="s">
        <v>45</v>
      </c>
      <c r="U89" s="35" t="s">
        <v>126</v>
      </c>
    </row>
    <row r="90" spans="1:21">
      <c r="A90" s="61">
        <v>2022</v>
      </c>
      <c r="B90" s="35" t="s">
        <v>183</v>
      </c>
      <c r="C90" s="77">
        <v>28760</v>
      </c>
      <c r="D90" s="58">
        <v>37</v>
      </c>
      <c r="E90" s="79">
        <v>44818</v>
      </c>
      <c r="F90" s="35" t="s">
        <v>32</v>
      </c>
      <c r="G90" s="83" t="s">
        <v>33</v>
      </c>
      <c r="H90" s="35" t="s">
        <v>176</v>
      </c>
      <c r="I90" s="83" t="s">
        <v>123</v>
      </c>
      <c r="J90" s="35" t="s">
        <v>36</v>
      </c>
      <c r="K90" s="35" t="s">
        <v>37</v>
      </c>
      <c r="L90" s="35" t="s">
        <v>44</v>
      </c>
      <c r="M90" s="35" t="s">
        <v>39</v>
      </c>
      <c r="O90" s="61">
        <v>50</v>
      </c>
      <c r="P90" s="61">
        <v>50</v>
      </c>
      <c r="Q90" s="58">
        <v>0</v>
      </c>
      <c r="R90" s="35" t="s">
        <v>40</v>
      </c>
      <c r="T90" s="35" t="s">
        <v>45</v>
      </c>
      <c r="U90" s="35" t="s">
        <v>126</v>
      </c>
    </row>
    <row r="91" spans="1:21">
      <c r="A91" s="61">
        <v>2022</v>
      </c>
      <c r="B91" s="35" t="s">
        <v>184</v>
      </c>
      <c r="C91" s="77">
        <v>28761</v>
      </c>
      <c r="D91" s="58">
        <v>37</v>
      </c>
      <c r="E91" s="79">
        <v>44818</v>
      </c>
      <c r="F91" s="35" t="s">
        <v>32</v>
      </c>
      <c r="G91" s="83" t="s">
        <v>33</v>
      </c>
      <c r="H91" s="35" t="s">
        <v>176</v>
      </c>
      <c r="I91" s="83" t="s">
        <v>123</v>
      </c>
      <c r="J91" s="35" t="s">
        <v>36</v>
      </c>
      <c r="K91" s="35" t="s">
        <v>37</v>
      </c>
      <c r="L91" s="35" t="s">
        <v>44</v>
      </c>
      <c r="M91" s="35" t="s">
        <v>39</v>
      </c>
      <c r="O91" s="61">
        <v>50</v>
      </c>
      <c r="P91" s="61">
        <v>50</v>
      </c>
      <c r="Q91" s="58">
        <v>0</v>
      </c>
      <c r="R91" s="35" t="s">
        <v>40</v>
      </c>
      <c r="T91" s="35" t="s">
        <v>45</v>
      </c>
      <c r="U91" s="35" t="s">
        <v>126</v>
      </c>
    </row>
    <row r="92" spans="1:21">
      <c r="A92" s="61">
        <v>2022</v>
      </c>
      <c r="B92" s="35" t="s">
        <v>185</v>
      </c>
      <c r="C92" s="77">
        <v>28762</v>
      </c>
      <c r="D92" s="58">
        <v>37</v>
      </c>
      <c r="E92" s="79">
        <v>44818</v>
      </c>
      <c r="F92" s="35" t="s">
        <v>32</v>
      </c>
      <c r="G92" s="83" t="s">
        <v>33</v>
      </c>
      <c r="H92" s="35" t="s">
        <v>176</v>
      </c>
      <c r="I92" s="83" t="s">
        <v>123</v>
      </c>
      <c r="J92" s="35" t="s">
        <v>36</v>
      </c>
      <c r="K92" s="35" t="s">
        <v>37</v>
      </c>
      <c r="L92" s="35" t="s">
        <v>44</v>
      </c>
      <c r="M92" s="35" t="s">
        <v>39</v>
      </c>
      <c r="O92" s="61">
        <v>50</v>
      </c>
      <c r="P92" s="61">
        <v>50</v>
      </c>
      <c r="Q92" s="58">
        <v>0</v>
      </c>
      <c r="R92" s="35" t="s">
        <v>40</v>
      </c>
      <c r="T92" s="35" t="s">
        <v>45</v>
      </c>
      <c r="U92" s="35" t="s">
        <v>126</v>
      </c>
    </row>
    <row r="93" spans="1:21">
      <c r="A93" s="61">
        <v>2022</v>
      </c>
      <c r="B93" s="35" t="s">
        <v>186</v>
      </c>
      <c r="C93" s="77">
        <v>28763</v>
      </c>
      <c r="D93" s="58">
        <v>37</v>
      </c>
      <c r="E93" s="79">
        <v>44818</v>
      </c>
      <c r="F93" s="35" t="s">
        <v>32</v>
      </c>
      <c r="G93" s="83" t="s">
        <v>33</v>
      </c>
      <c r="H93" s="35" t="s">
        <v>176</v>
      </c>
      <c r="I93" s="83" t="s">
        <v>123</v>
      </c>
      <c r="J93" s="35" t="s">
        <v>36</v>
      </c>
      <c r="K93" s="35" t="s">
        <v>37</v>
      </c>
      <c r="L93" s="35" t="s">
        <v>44</v>
      </c>
      <c r="M93" s="35" t="s">
        <v>39</v>
      </c>
      <c r="O93" s="61">
        <v>46</v>
      </c>
      <c r="P93" s="61">
        <v>46</v>
      </c>
      <c r="Q93" s="58">
        <v>0</v>
      </c>
      <c r="R93" s="35" t="s">
        <v>40</v>
      </c>
      <c r="T93" s="35" t="s">
        <v>45</v>
      </c>
      <c r="U93" s="35" t="s">
        <v>126</v>
      </c>
    </row>
    <row r="94" spans="1:21">
      <c r="A94" s="61">
        <v>2022</v>
      </c>
      <c r="B94" s="35" t="s">
        <v>187</v>
      </c>
      <c r="C94" s="77">
        <v>28764</v>
      </c>
      <c r="D94" s="58">
        <v>37</v>
      </c>
      <c r="E94" s="79">
        <v>44818</v>
      </c>
      <c r="F94" s="35" t="s">
        <v>32</v>
      </c>
      <c r="G94" s="83" t="s">
        <v>33</v>
      </c>
      <c r="H94" s="35" t="s">
        <v>188</v>
      </c>
      <c r="I94" s="83" t="s">
        <v>138</v>
      </c>
      <c r="J94" s="35" t="s">
        <v>36</v>
      </c>
      <c r="K94" s="35" t="s">
        <v>37</v>
      </c>
      <c r="L94" s="35" t="s">
        <v>44</v>
      </c>
      <c r="M94" s="35" t="s">
        <v>39</v>
      </c>
      <c r="O94" s="61">
        <v>1</v>
      </c>
      <c r="P94" s="61">
        <v>1</v>
      </c>
      <c r="Q94" s="58">
        <v>0</v>
      </c>
      <c r="R94" s="35" t="s">
        <v>40</v>
      </c>
      <c r="T94" s="35" t="s">
        <v>45</v>
      </c>
      <c r="U94" s="35" t="s">
        <v>139</v>
      </c>
    </row>
    <row r="95" spans="1:21">
      <c r="A95" s="61">
        <v>2022</v>
      </c>
      <c r="B95" s="35" t="s">
        <v>189</v>
      </c>
      <c r="C95" s="77">
        <v>28765</v>
      </c>
      <c r="D95" s="58">
        <v>37</v>
      </c>
      <c r="E95" s="79">
        <v>44818</v>
      </c>
      <c r="F95" s="35" t="s">
        <v>32</v>
      </c>
      <c r="G95" s="83" t="s">
        <v>33</v>
      </c>
      <c r="H95" s="35" t="s">
        <v>190</v>
      </c>
      <c r="I95" s="83" t="s">
        <v>138</v>
      </c>
      <c r="J95" s="35" t="s">
        <v>36</v>
      </c>
      <c r="K95" s="35" t="s">
        <v>37</v>
      </c>
      <c r="L95" s="83" t="s">
        <v>38</v>
      </c>
      <c r="M95" s="35" t="s">
        <v>39</v>
      </c>
      <c r="O95" s="61">
        <v>1</v>
      </c>
      <c r="P95" s="61">
        <v>1</v>
      </c>
      <c r="Q95" s="58">
        <v>0</v>
      </c>
      <c r="R95" s="35" t="s">
        <v>40</v>
      </c>
      <c r="T95" s="35" t="s">
        <v>41</v>
      </c>
      <c r="U95" s="35" t="s">
        <v>191</v>
      </c>
    </row>
    <row r="96" spans="1:21">
      <c r="A96" s="61">
        <v>2022</v>
      </c>
      <c r="B96" s="35" t="s">
        <v>192</v>
      </c>
      <c r="C96" s="77">
        <v>28766</v>
      </c>
      <c r="D96" s="58">
        <v>37</v>
      </c>
      <c r="E96" s="79">
        <v>44818</v>
      </c>
      <c r="F96" s="35" t="s">
        <v>32</v>
      </c>
      <c r="G96" s="83" t="s">
        <v>33</v>
      </c>
      <c r="H96" s="35" t="s">
        <v>190</v>
      </c>
      <c r="I96" s="83" t="s">
        <v>138</v>
      </c>
      <c r="J96" s="35" t="s">
        <v>36</v>
      </c>
      <c r="K96" s="35" t="s">
        <v>37</v>
      </c>
      <c r="L96" s="35" t="s">
        <v>44</v>
      </c>
      <c r="M96" s="35" t="s">
        <v>39</v>
      </c>
      <c r="O96" s="61">
        <v>1</v>
      </c>
      <c r="P96" s="61">
        <v>1</v>
      </c>
      <c r="Q96" s="58">
        <v>0</v>
      </c>
      <c r="R96" s="35" t="s">
        <v>40</v>
      </c>
      <c r="T96" s="35" t="s">
        <v>45</v>
      </c>
      <c r="U96" s="35" t="s">
        <v>139</v>
      </c>
    </row>
    <row r="97" spans="1:21">
      <c r="A97" s="61">
        <v>2022</v>
      </c>
      <c r="B97" s="35" t="s">
        <v>193</v>
      </c>
      <c r="C97" s="77">
        <v>28767</v>
      </c>
      <c r="D97" s="58">
        <v>37</v>
      </c>
      <c r="E97" s="79">
        <v>44818</v>
      </c>
      <c r="F97" s="35" t="s">
        <v>32</v>
      </c>
      <c r="G97" s="83" t="s">
        <v>33</v>
      </c>
      <c r="H97" s="35" t="s">
        <v>194</v>
      </c>
      <c r="I97" s="83" t="s">
        <v>138</v>
      </c>
      <c r="J97" s="35" t="s">
        <v>36</v>
      </c>
      <c r="K97" s="35" t="s">
        <v>37</v>
      </c>
      <c r="L97" s="35" t="s">
        <v>44</v>
      </c>
      <c r="M97" s="35" t="s">
        <v>39</v>
      </c>
      <c r="O97" s="61">
        <v>3</v>
      </c>
      <c r="P97" s="61">
        <v>3</v>
      </c>
      <c r="Q97" s="58">
        <v>0</v>
      </c>
      <c r="R97" s="35" t="s">
        <v>40</v>
      </c>
      <c r="T97" s="35" t="s">
        <v>45</v>
      </c>
      <c r="U97" s="35" t="s">
        <v>139</v>
      </c>
    </row>
    <row r="98" spans="1:21">
      <c r="A98" s="61">
        <v>2022</v>
      </c>
      <c r="B98" s="35" t="s">
        <v>195</v>
      </c>
      <c r="C98" s="77">
        <v>28768</v>
      </c>
      <c r="D98" s="58">
        <v>37</v>
      </c>
      <c r="E98" s="79">
        <v>44818</v>
      </c>
      <c r="F98" s="35" t="s">
        <v>32</v>
      </c>
      <c r="G98" s="83" t="s">
        <v>33</v>
      </c>
      <c r="H98" s="35" t="s">
        <v>196</v>
      </c>
      <c r="I98" s="83" t="s">
        <v>138</v>
      </c>
      <c r="J98" s="35" t="s">
        <v>59</v>
      </c>
      <c r="K98" s="35" t="s">
        <v>37</v>
      </c>
      <c r="L98" s="35" t="s">
        <v>44</v>
      </c>
      <c r="M98" s="35" t="s">
        <v>39</v>
      </c>
      <c r="N98" s="61">
        <v>2</v>
      </c>
      <c r="P98" s="61">
        <v>2</v>
      </c>
      <c r="Q98" s="58">
        <v>0</v>
      </c>
      <c r="R98" s="35" t="s">
        <v>40</v>
      </c>
      <c r="T98" s="35" t="s">
        <v>45</v>
      </c>
      <c r="U98" s="35" t="s">
        <v>139</v>
      </c>
    </row>
    <row r="99" spans="1:21">
      <c r="A99" s="61">
        <v>2022</v>
      </c>
      <c r="B99" s="35" t="s">
        <v>197</v>
      </c>
      <c r="C99" s="77">
        <v>28769</v>
      </c>
      <c r="D99" s="58">
        <v>37</v>
      </c>
      <c r="E99" s="79">
        <v>44818</v>
      </c>
      <c r="F99" s="35" t="s">
        <v>32</v>
      </c>
      <c r="G99" s="83" t="s">
        <v>33</v>
      </c>
      <c r="H99" s="35" t="s">
        <v>198</v>
      </c>
      <c r="I99" s="83" t="s">
        <v>138</v>
      </c>
      <c r="J99" s="35" t="s">
        <v>36</v>
      </c>
      <c r="K99" s="35" t="s">
        <v>37</v>
      </c>
      <c r="L99" s="35" t="s">
        <v>44</v>
      </c>
      <c r="M99" s="35" t="s">
        <v>39</v>
      </c>
      <c r="O99" s="61">
        <v>2</v>
      </c>
      <c r="P99" s="61">
        <v>2</v>
      </c>
      <c r="Q99" s="58">
        <v>0</v>
      </c>
      <c r="R99" s="35" t="s">
        <v>40</v>
      </c>
      <c r="T99" s="35" t="s">
        <v>45</v>
      </c>
      <c r="U99" s="35" t="s">
        <v>139</v>
      </c>
    </row>
    <row r="100" spans="1:21">
      <c r="A100" s="61">
        <v>2022</v>
      </c>
      <c r="B100" s="35" t="s">
        <v>199</v>
      </c>
      <c r="C100" s="77">
        <v>28770</v>
      </c>
      <c r="D100" s="58">
        <v>37</v>
      </c>
      <c r="E100" s="79">
        <v>44818</v>
      </c>
      <c r="F100" s="35" t="s">
        <v>32</v>
      </c>
      <c r="G100" s="83" t="s">
        <v>33</v>
      </c>
      <c r="H100" s="35" t="s">
        <v>200</v>
      </c>
      <c r="I100" s="83" t="s">
        <v>138</v>
      </c>
      <c r="J100" s="35" t="s">
        <v>36</v>
      </c>
      <c r="K100" s="35" t="s">
        <v>37</v>
      </c>
      <c r="L100" s="35" t="s">
        <v>38</v>
      </c>
      <c r="M100" s="35" t="s">
        <v>39</v>
      </c>
      <c r="O100" s="61">
        <v>2</v>
      </c>
      <c r="P100" s="61">
        <v>2</v>
      </c>
      <c r="Q100" s="58">
        <v>0</v>
      </c>
      <c r="R100" s="35" t="s">
        <v>40</v>
      </c>
      <c r="T100" s="35" t="s">
        <v>41</v>
      </c>
      <c r="U100" s="35" t="s">
        <v>191</v>
      </c>
    </row>
    <row r="101" spans="1:21">
      <c r="A101" s="61">
        <v>2022</v>
      </c>
      <c r="B101" s="35" t="s">
        <v>201</v>
      </c>
      <c r="C101" s="77">
        <v>28771</v>
      </c>
      <c r="D101" s="58">
        <v>37</v>
      </c>
      <c r="E101" s="79">
        <v>44818</v>
      </c>
      <c r="F101" s="35" t="s">
        <v>32</v>
      </c>
      <c r="G101" s="83" t="s">
        <v>33</v>
      </c>
      <c r="H101" s="35" t="s">
        <v>200</v>
      </c>
      <c r="I101" s="83" t="s">
        <v>138</v>
      </c>
      <c r="J101" s="35" t="s">
        <v>36</v>
      </c>
      <c r="K101" s="35" t="s">
        <v>37</v>
      </c>
      <c r="L101" s="35" t="s">
        <v>44</v>
      </c>
      <c r="M101" s="35" t="s">
        <v>39</v>
      </c>
      <c r="O101" s="61">
        <v>4</v>
      </c>
      <c r="P101" s="61">
        <v>4</v>
      </c>
      <c r="Q101" s="58">
        <v>0</v>
      </c>
      <c r="R101" s="35" t="s">
        <v>40</v>
      </c>
      <c r="T101" s="35" t="s">
        <v>45</v>
      </c>
      <c r="U101" s="35" t="s">
        <v>139</v>
      </c>
    </row>
    <row r="102" spans="1:21">
      <c r="A102" s="75">
        <v>2022</v>
      </c>
      <c r="B102" s="35" t="s">
        <v>202</v>
      </c>
      <c r="C102" s="77">
        <v>28772</v>
      </c>
      <c r="D102" s="58">
        <v>37</v>
      </c>
      <c r="E102" s="79">
        <v>44818</v>
      </c>
      <c r="F102" s="35" t="s">
        <v>32</v>
      </c>
      <c r="G102" s="83" t="s">
        <v>33</v>
      </c>
      <c r="H102" s="35" t="s">
        <v>203</v>
      </c>
      <c r="I102" s="83" t="s">
        <v>138</v>
      </c>
      <c r="J102" s="35" t="s">
        <v>36</v>
      </c>
      <c r="K102" s="35" t="s">
        <v>37</v>
      </c>
      <c r="L102" s="35" t="s">
        <v>44</v>
      </c>
      <c r="M102" s="35" t="s">
        <v>39</v>
      </c>
      <c r="O102" s="61">
        <v>1</v>
      </c>
      <c r="P102" s="61">
        <v>1</v>
      </c>
      <c r="Q102" s="58">
        <v>0</v>
      </c>
      <c r="R102" s="35" t="s">
        <v>40</v>
      </c>
      <c r="T102" s="35" t="s">
        <v>45</v>
      </c>
      <c r="U102" s="35" t="s">
        <v>139</v>
      </c>
    </row>
    <row r="103" spans="1:21">
      <c r="A103" s="75">
        <v>2022</v>
      </c>
      <c r="B103" s="35" t="s">
        <v>204</v>
      </c>
      <c r="C103" s="77">
        <v>28773</v>
      </c>
      <c r="D103" s="58">
        <v>37</v>
      </c>
      <c r="E103" s="79">
        <v>44818</v>
      </c>
      <c r="F103" s="35" t="s">
        <v>32</v>
      </c>
      <c r="G103" s="83" t="s">
        <v>33</v>
      </c>
      <c r="H103" s="35" t="s">
        <v>205</v>
      </c>
      <c r="I103" s="83" t="s">
        <v>138</v>
      </c>
      <c r="J103" s="35" t="s">
        <v>59</v>
      </c>
      <c r="K103" s="35" t="s">
        <v>37</v>
      </c>
      <c r="L103" s="35" t="s">
        <v>44</v>
      </c>
      <c r="M103" s="35" t="s">
        <v>39</v>
      </c>
      <c r="N103" s="61">
        <v>4</v>
      </c>
      <c r="P103" s="61">
        <v>4</v>
      </c>
      <c r="Q103" s="58">
        <v>0</v>
      </c>
      <c r="R103" s="35" t="s">
        <v>40</v>
      </c>
      <c r="T103" s="35" t="s">
        <v>45</v>
      </c>
      <c r="U103" s="35" t="s">
        <v>139</v>
      </c>
    </row>
    <row r="104" spans="1:21">
      <c r="A104" s="75">
        <v>2022</v>
      </c>
      <c r="B104" s="35" t="s">
        <v>206</v>
      </c>
      <c r="C104" s="77">
        <v>28774</v>
      </c>
      <c r="D104" s="58">
        <v>37</v>
      </c>
      <c r="E104" s="79">
        <v>44818</v>
      </c>
      <c r="F104" s="35" t="s">
        <v>32</v>
      </c>
      <c r="G104" s="83" t="s">
        <v>33</v>
      </c>
      <c r="H104" s="35" t="s">
        <v>207</v>
      </c>
      <c r="I104" s="83" t="s">
        <v>138</v>
      </c>
      <c r="J104" s="35" t="s">
        <v>36</v>
      </c>
      <c r="K104" s="35" t="s">
        <v>37</v>
      </c>
      <c r="L104" s="35" t="s">
        <v>38</v>
      </c>
      <c r="M104" s="35" t="s">
        <v>39</v>
      </c>
      <c r="O104" s="61">
        <v>5</v>
      </c>
      <c r="P104" s="61">
        <v>5</v>
      </c>
      <c r="Q104" s="58">
        <v>0</v>
      </c>
      <c r="R104" s="35" t="s">
        <v>40</v>
      </c>
      <c r="T104" s="35" t="s">
        <v>41</v>
      </c>
      <c r="U104" s="35" t="s">
        <v>191</v>
      </c>
    </row>
    <row r="105" spans="1:21">
      <c r="A105" s="75">
        <v>2022</v>
      </c>
      <c r="B105" s="35" t="s">
        <v>208</v>
      </c>
      <c r="C105" s="77">
        <v>28775</v>
      </c>
      <c r="D105" s="58">
        <v>37</v>
      </c>
      <c r="E105" s="79">
        <v>44818</v>
      </c>
      <c r="F105" s="35" t="s">
        <v>32</v>
      </c>
      <c r="G105" s="83" t="s">
        <v>33</v>
      </c>
      <c r="H105" s="35" t="s">
        <v>207</v>
      </c>
      <c r="I105" s="83" t="s">
        <v>138</v>
      </c>
      <c r="J105" s="35" t="s">
        <v>36</v>
      </c>
      <c r="K105" s="35" t="s">
        <v>37</v>
      </c>
      <c r="L105" s="35" t="s">
        <v>44</v>
      </c>
      <c r="M105" s="35" t="s">
        <v>39</v>
      </c>
      <c r="O105" s="61">
        <v>1</v>
      </c>
      <c r="P105" s="61">
        <v>1</v>
      </c>
      <c r="Q105" s="58">
        <v>0</v>
      </c>
      <c r="R105" s="35" t="s">
        <v>40</v>
      </c>
      <c r="T105" s="35" t="s">
        <v>45</v>
      </c>
      <c r="U105" s="35" t="s">
        <v>139</v>
      </c>
    </row>
    <row r="106" spans="1:21">
      <c r="A106" s="61">
        <v>2022</v>
      </c>
      <c r="B106" s="35" t="s">
        <v>209</v>
      </c>
      <c r="C106" s="77">
        <v>28776</v>
      </c>
      <c r="D106" s="58">
        <v>37</v>
      </c>
      <c r="E106" s="79">
        <v>44818</v>
      </c>
      <c r="F106" s="35" t="s">
        <v>32</v>
      </c>
      <c r="G106" s="83" t="s">
        <v>33</v>
      </c>
      <c r="H106" s="35" t="s">
        <v>210</v>
      </c>
      <c r="I106" s="83" t="s">
        <v>138</v>
      </c>
      <c r="J106" s="35" t="s">
        <v>36</v>
      </c>
      <c r="K106" s="35" t="s">
        <v>37</v>
      </c>
      <c r="L106" s="35" t="s">
        <v>38</v>
      </c>
      <c r="M106" s="35" t="s">
        <v>39</v>
      </c>
      <c r="O106" s="61">
        <v>1</v>
      </c>
      <c r="P106" s="61">
        <v>1</v>
      </c>
      <c r="Q106" s="58">
        <v>0</v>
      </c>
      <c r="R106" s="35" t="s">
        <v>40</v>
      </c>
      <c r="T106" s="35" t="s">
        <v>41</v>
      </c>
      <c r="U106" s="35" t="s">
        <v>191</v>
      </c>
    </row>
    <row r="107" spans="1:21">
      <c r="A107" s="61">
        <v>2022</v>
      </c>
      <c r="B107" s="35" t="s">
        <v>211</v>
      </c>
      <c r="C107" s="77">
        <v>28777</v>
      </c>
      <c r="D107" s="58">
        <v>37</v>
      </c>
      <c r="E107" s="79">
        <v>44818</v>
      </c>
      <c r="F107" s="35" t="s">
        <v>32</v>
      </c>
      <c r="G107" s="83" t="s">
        <v>33</v>
      </c>
      <c r="H107" s="35" t="s">
        <v>210</v>
      </c>
      <c r="I107" s="83" t="s">
        <v>138</v>
      </c>
      <c r="J107" s="35" t="s">
        <v>36</v>
      </c>
      <c r="K107" s="35" t="s">
        <v>37</v>
      </c>
      <c r="L107" s="35" t="s">
        <v>44</v>
      </c>
      <c r="M107" s="35" t="s">
        <v>39</v>
      </c>
      <c r="O107" s="61">
        <v>11</v>
      </c>
      <c r="P107" s="61">
        <v>11</v>
      </c>
      <c r="Q107" s="58">
        <v>0</v>
      </c>
      <c r="R107" s="35" t="s">
        <v>40</v>
      </c>
      <c r="T107" s="35" t="s">
        <v>45</v>
      </c>
      <c r="U107" s="35" t="s">
        <v>139</v>
      </c>
    </row>
    <row r="108" spans="1:21">
      <c r="A108" s="83">
        <v>2022</v>
      </c>
      <c r="B108" s="35" t="s">
        <v>212</v>
      </c>
      <c r="C108" s="77">
        <v>28778</v>
      </c>
      <c r="D108" s="58">
        <v>37</v>
      </c>
      <c r="E108" s="79">
        <v>44818</v>
      </c>
      <c r="F108" s="35" t="s">
        <v>32</v>
      </c>
      <c r="G108" s="83" t="s">
        <v>33</v>
      </c>
      <c r="H108" s="35" t="s">
        <v>213</v>
      </c>
      <c r="I108" s="83" t="s">
        <v>138</v>
      </c>
      <c r="J108" s="35" t="s">
        <v>36</v>
      </c>
      <c r="K108" s="35" t="s">
        <v>37</v>
      </c>
      <c r="L108" s="35" t="s">
        <v>38</v>
      </c>
      <c r="M108" s="35" t="s">
        <v>39</v>
      </c>
      <c r="O108" s="61">
        <v>2</v>
      </c>
      <c r="P108" s="61">
        <v>2</v>
      </c>
      <c r="Q108" s="58">
        <v>0</v>
      </c>
      <c r="R108" s="35" t="s">
        <v>40</v>
      </c>
      <c r="T108" s="35" t="s">
        <v>41</v>
      </c>
      <c r="U108" s="35" t="s">
        <v>191</v>
      </c>
    </row>
    <row r="109" spans="1:21">
      <c r="A109" s="83">
        <v>2022</v>
      </c>
      <c r="B109" s="35" t="s">
        <v>214</v>
      </c>
      <c r="C109" s="77" t="s">
        <v>215</v>
      </c>
      <c r="D109" s="58">
        <v>37</v>
      </c>
      <c r="E109" s="79">
        <v>44816</v>
      </c>
      <c r="F109" s="35" t="s">
        <v>216</v>
      </c>
      <c r="G109" s="83" t="s">
        <v>216</v>
      </c>
      <c r="H109" s="35" t="s">
        <v>217</v>
      </c>
      <c r="I109" s="83" t="s">
        <v>216</v>
      </c>
      <c r="J109" s="35" t="s">
        <v>36</v>
      </c>
      <c r="K109" s="35" t="s">
        <v>37</v>
      </c>
      <c r="L109" s="35" t="s">
        <v>38</v>
      </c>
      <c r="M109" s="35" t="s">
        <v>39</v>
      </c>
      <c r="N109" s="61">
        <v>0</v>
      </c>
      <c r="O109" s="61">
        <v>5</v>
      </c>
      <c r="P109" s="61">
        <v>5</v>
      </c>
      <c r="Q109" s="58">
        <v>0</v>
      </c>
      <c r="R109" s="35" t="s">
        <v>40</v>
      </c>
      <c r="T109" s="35" t="s">
        <v>218</v>
      </c>
      <c r="U109" s="35" t="s">
        <v>218</v>
      </c>
    </row>
    <row r="110" spans="1:21">
      <c r="A110" s="83">
        <v>2022</v>
      </c>
      <c r="B110" s="35" t="s">
        <v>219</v>
      </c>
      <c r="C110" s="77" t="s">
        <v>215</v>
      </c>
      <c r="D110" s="58">
        <v>37</v>
      </c>
      <c r="E110" s="79">
        <v>44816</v>
      </c>
      <c r="F110" s="35" t="s">
        <v>216</v>
      </c>
      <c r="G110" s="83" t="s">
        <v>216</v>
      </c>
      <c r="H110" s="35" t="s">
        <v>220</v>
      </c>
      <c r="I110" s="83" t="s">
        <v>216</v>
      </c>
      <c r="J110" s="35" t="s">
        <v>36</v>
      </c>
      <c r="K110" s="35" t="s">
        <v>37</v>
      </c>
      <c r="L110" s="35" t="s">
        <v>38</v>
      </c>
      <c r="M110" s="35" t="s">
        <v>39</v>
      </c>
      <c r="N110" s="61">
        <v>0</v>
      </c>
      <c r="O110" s="61">
        <v>3</v>
      </c>
      <c r="P110" s="61">
        <v>3</v>
      </c>
      <c r="Q110" s="58">
        <v>0</v>
      </c>
      <c r="R110" s="35" t="s">
        <v>40</v>
      </c>
      <c r="T110" s="35" t="s">
        <v>218</v>
      </c>
      <c r="U110" s="35" t="s">
        <v>218</v>
      </c>
    </row>
    <row r="111" spans="1:21">
      <c r="A111" s="83">
        <v>2022</v>
      </c>
      <c r="B111" s="35" t="s">
        <v>221</v>
      </c>
      <c r="C111" s="77" t="s">
        <v>215</v>
      </c>
      <c r="D111" s="58">
        <v>37</v>
      </c>
      <c r="E111" s="79">
        <v>44816</v>
      </c>
      <c r="F111" s="35" t="s">
        <v>216</v>
      </c>
      <c r="G111" s="83" t="s">
        <v>216</v>
      </c>
      <c r="H111" s="35" t="s">
        <v>220</v>
      </c>
      <c r="I111" s="83" t="s">
        <v>216</v>
      </c>
      <c r="J111" s="35" t="s">
        <v>36</v>
      </c>
      <c r="K111" s="35" t="s">
        <v>37</v>
      </c>
      <c r="L111" s="35" t="s">
        <v>44</v>
      </c>
      <c r="M111" s="35" t="s">
        <v>39</v>
      </c>
      <c r="N111" s="61">
        <v>0</v>
      </c>
      <c r="O111" s="61">
        <v>7</v>
      </c>
      <c r="P111" s="61">
        <v>7</v>
      </c>
      <c r="Q111" s="58">
        <v>0</v>
      </c>
      <c r="R111" s="35" t="s">
        <v>40</v>
      </c>
      <c r="T111" s="35" t="s">
        <v>222</v>
      </c>
      <c r="U111" s="35" t="s">
        <v>222</v>
      </c>
    </row>
    <row r="112" spans="1:21">
      <c r="A112" s="83">
        <v>2022</v>
      </c>
      <c r="B112" s="35" t="s">
        <v>223</v>
      </c>
      <c r="C112" s="77" t="s">
        <v>215</v>
      </c>
      <c r="D112" s="58">
        <v>37</v>
      </c>
      <c r="E112" s="79">
        <v>44816</v>
      </c>
      <c r="F112" s="35" t="s">
        <v>216</v>
      </c>
      <c r="G112" s="83" t="s">
        <v>216</v>
      </c>
      <c r="H112" s="35" t="s">
        <v>224</v>
      </c>
      <c r="I112" s="83" t="s">
        <v>216</v>
      </c>
      <c r="J112" s="35" t="s">
        <v>36</v>
      </c>
      <c r="K112" s="35" t="s">
        <v>37</v>
      </c>
      <c r="L112" s="35" t="s">
        <v>38</v>
      </c>
      <c r="M112" s="35" t="s">
        <v>39</v>
      </c>
      <c r="N112" s="61">
        <v>0</v>
      </c>
      <c r="O112" s="61">
        <v>6</v>
      </c>
      <c r="P112" s="61">
        <v>6</v>
      </c>
      <c r="Q112" s="58">
        <v>0</v>
      </c>
      <c r="R112" s="35" t="s">
        <v>40</v>
      </c>
      <c r="T112" s="35" t="s">
        <v>218</v>
      </c>
      <c r="U112" s="35" t="s">
        <v>218</v>
      </c>
    </row>
    <row r="113" spans="1:21">
      <c r="A113" s="83">
        <v>2022</v>
      </c>
      <c r="B113" s="35" t="s">
        <v>225</v>
      </c>
      <c r="C113" s="77" t="s">
        <v>215</v>
      </c>
      <c r="D113" s="58">
        <v>37</v>
      </c>
      <c r="E113" s="79">
        <v>44816</v>
      </c>
      <c r="F113" s="35" t="s">
        <v>216</v>
      </c>
      <c r="G113" s="83" t="s">
        <v>216</v>
      </c>
      <c r="H113" s="35" t="s">
        <v>226</v>
      </c>
      <c r="I113" s="83" t="s">
        <v>216</v>
      </c>
      <c r="J113" s="35" t="s">
        <v>36</v>
      </c>
      <c r="K113" s="35" t="s">
        <v>37</v>
      </c>
      <c r="L113" s="35" t="s">
        <v>44</v>
      </c>
      <c r="M113" s="35" t="s">
        <v>39</v>
      </c>
      <c r="N113" s="61">
        <v>0</v>
      </c>
      <c r="O113" s="61">
        <v>3</v>
      </c>
      <c r="P113" s="61">
        <v>3</v>
      </c>
      <c r="Q113" s="58">
        <v>0</v>
      </c>
      <c r="R113" s="35" t="s">
        <v>40</v>
      </c>
      <c r="T113" s="35" t="s">
        <v>222</v>
      </c>
      <c r="U113" s="35" t="s">
        <v>222</v>
      </c>
    </row>
    <row r="114" spans="1:21">
      <c r="A114" s="83"/>
      <c r="C114" s="77"/>
      <c r="E114" s="79"/>
      <c r="G114" s="83"/>
      <c r="I114" s="83"/>
      <c r="Q114" s="58"/>
    </row>
    <row r="115" spans="1:21">
      <c r="A115" s="83"/>
      <c r="C115" s="77"/>
      <c r="E115" s="79"/>
      <c r="G115" s="83"/>
      <c r="I115" s="83"/>
      <c r="Q115" s="58"/>
    </row>
    <row r="116" spans="1:21">
      <c r="A116" s="83"/>
      <c r="C116" s="77"/>
      <c r="E116" s="79"/>
      <c r="G116" s="83"/>
      <c r="I116" s="83"/>
      <c r="Q116" s="58"/>
    </row>
    <row r="117" spans="1:21">
      <c r="A117" s="83"/>
      <c r="C117" s="77"/>
      <c r="E117" s="79"/>
      <c r="G117" s="83"/>
      <c r="I117" s="83"/>
      <c r="Q117" s="58"/>
    </row>
    <row r="118" spans="1:21">
      <c r="A118" s="83"/>
      <c r="C118" s="77"/>
      <c r="E118" s="79"/>
      <c r="G118" s="83"/>
      <c r="I118" s="83"/>
      <c r="Q118" s="58"/>
    </row>
    <row r="119" spans="1:21">
      <c r="A119" s="83"/>
      <c r="C119" s="77"/>
      <c r="E119" s="79"/>
      <c r="G119" s="83"/>
      <c r="I119" s="83"/>
      <c r="Q119" s="58"/>
    </row>
    <row r="120" spans="1:21">
      <c r="A120" s="61"/>
      <c r="C120" s="77"/>
      <c r="E120" s="79"/>
      <c r="G120" s="83"/>
      <c r="I120" s="83"/>
      <c r="Q120" s="58"/>
    </row>
    <row r="121" spans="1:21">
      <c r="A121" s="61"/>
      <c r="C121" s="77"/>
      <c r="E121" s="79"/>
      <c r="G121" s="83"/>
      <c r="I121" s="83"/>
      <c r="Q121" s="58"/>
    </row>
    <row r="122" spans="1:21">
      <c r="A122" s="61"/>
      <c r="C122" s="77"/>
      <c r="E122" s="79"/>
      <c r="G122" s="83"/>
      <c r="I122" s="83"/>
      <c r="Q122" s="58"/>
    </row>
    <row r="123" spans="1:21">
      <c r="A123" s="61"/>
      <c r="C123" s="77"/>
      <c r="E123" s="79"/>
      <c r="G123" s="83"/>
      <c r="I123" s="83"/>
      <c r="Q123" s="58"/>
    </row>
    <row r="124" spans="1:21">
      <c r="A124" s="61"/>
      <c r="C124" s="77"/>
      <c r="E124" s="79"/>
      <c r="G124" s="83"/>
      <c r="I124" s="83"/>
      <c r="Q124" s="58"/>
    </row>
    <row r="125" spans="1:21">
      <c r="A125" s="61"/>
      <c r="C125" s="77"/>
      <c r="E125" s="79"/>
      <c r="G125" s="83"/>
      <c r="I125" s="83"/>
      <c r="Q125" s="58"/>
    </row>
    <row r="126" spans="1:21">
      <c r="A126" s="61"/>
      <c r="C126" s="77"/>
      <c r="E126" s="79"/>
      <c r="G126" s="83"/>
      <c r="I126" s="83"/>
      <c r="Q126" s="58"/>
    </row>
    <row r="127" spans="1:21">
      <c r="A127" s="61"/>
      <c r="C127" s="77"/>
      <c r="E127" s="79"/>
      <c r="G127" s="83"/>
      <c r="Q127" s="58"/>
    </row>
    <row r="128" spans="1:21">
      <c r="A128" s="61"/>
      <c r="C128" s="77"/>
      <c r="E128" s="79"/>
      <c r="G128" s="83"/>
      <c r="Q128" s="58"/>
    </row>
    <row r="129" spans="1:17">
      <c r="A129" s="61"/>
      <c r="C129" s="77"/>
      <c r="E129" s="79"/>
      <c r="G129" s="83"/>
      <c r="Q129" s="58"/>
    </row>
    <row r="130" spans="1:17">
      <c r="A130" s="61"/>
      <c r="C130" s="77"/>
      <c r="E130" s="79"/>
      <c r="G130" s="83"/>
      <c r="Q130" s="58"/>
    </row>
    <row r="131" spans="1:17">
      <c r="A131" s="61"/>
      <c r="C131" s="77"/>
      <c r="E131" s="79"/>
      <c r="G131" s="83"/>
      <c r="Q131" s="58"/>
    </row>
    <row r="132" spans="1:17">
      <c r="A132" s="61"/>
      <c r="C132" s="77"/>
      <c r="E132" s="79"/>
      <c r="G132" s="83"/>
      <c r="I132" s="83"/>
      <c r="Q132" s="58"/>
    </row>
    <row r="133" spans="1:17">
      <c r="A133" s="61"/>
      <c r="C133" s="77"/>
      <c r="E133" s="79"/>
      <c r="G133" s="83"/>
      <c r="I133" s="83"/>
      <c r="Q133" s="58"/>
    </row>
    <row r="134" spans="1:17">
      <c r="A134" s="61"/>
      <c r="C134" s="77"/>
      <c r="E134" s="79"/>
      <c r="G134" s="83"/>
      <c r="I134" s="83"/>
      <c r="Q134" s="58"/>
    </row>
    <row r="135" spans="1:17">
      <c r="A135" s="61"/>
      <c r="C135" s="77"/>
      <c r="E135" s="79"/>
      <c r="G135" s="83"/>
      <c r="I135" s="83"/>
      <c r="Q135" s="58"/>
    </row>
    <row r="136" spans="1:17">
      <c r="A136" s="61"/>
      <c r="C136" s="77"/>
      <c r="E136" s="79"/>
      <c r="G136" s="83"/>
      <c r="I136" s="83"/>
      <c r="Q136" s="58"/>
    </row>
    <row r="137" spans="1:17">
      <c r="A137" s="61"/>
      <c r="C137" s="77"/>
      <c r="E137" s="79"/>
      <c r="Q137" s="58"/>
    </row>
    <row r="138" spans="1:17">
      <c r="A138" s="61"/>
      <c r="C138" s="77"/>
      <c r="E138" s="79"/>
      <c r="Q138" s="58"/>
    </row>
    <row r="139" spans="1:17">
      <c r="A139" s="61"/>
      <c r="C139" s="77"/>
      <c r="E139" s="79"/>
      <c r="Q139" s="58"/>
    </row>
    <row r="140" spans="1:17">
      <c r="A140" s="61"/>
      <c r="C140" s="77"/>
      <c r="E140" s="79"/>
      <c r="Q140" s="58"/>
    </row>
    <row r="141" spans="1:17">
      <c r="A141" s="61"/>
      <c r="C141" s="77"/>
      <c r="Q141" s="58"/>
    </row>
    <row r="142" spans="1:17">
      <c r="A142" s="61"/>
      <c r="C142" s="77"/>
      <c r="Q142" s="58"/>
    </row>
    <row r="143" spans="1:17">
      <c r="A143" s="61"/>
      <c r="C143" s="77"/>
      <c r="Q143" s="58"/>
    </row>
    <row r="144" spans="1:17">
      <c r="A144" s="61"/>
      <c r="C144" s="77"/>
      <c r="Q144" s="58"/>
    </row>
    <row r="145" spans="1:17">
      <c r="A145" s="61"/>
      <c r="C145" s="77"/>
      <c r="Q145" s="58"/>
    </row>
    <row r="146" spans="1:17">
      <c r="A146" s="61"/>
      <c r="C146" s="77"/>
      <c r="Q146" s="58"/>
    </row>
    <row r="147" spans="1:17">
      <c r="A147" s="61"/>
      <c r="C147" s="77"/>
      <c r="Q147" s="58"/>
    </row>
    <row r="148" spans="1:17">
      <c r="A148" s="61"/>
      <c r="C148" s="77"/>
      <c r="Q148" s="58"/>
    </row>
    <row r="149" spans="1:17">
      <c r="A149" s="61"/>
      <c r="C149" s="77"/>
      <c r="Q149" s="58"/>
    </row>
    <row r="150" spans="1:17">
      <c r="A150" s="61"/>
      <c r="C150" s="77"/>
      <c r="Q150" s="58"/>
    </row>
    <row r="151" spans="1:17">
      <c r="A151" s="61"/>
      <c r="C151" s="77"/>
      <c r="Q151" s="58"/>
    </row>
    <row r="152" spans="1:17">
      <c r="A152" s="61"/>
      <c r="C152" s="77"/>
      <c r="Q152" s="58"/>
    </row>
    <row r="153" spans="1:17">
      <c r="A153" s="61"/>
      <c r="C153" s="77"/>
      <c r="Q153" s="58"/>
    </row>
    <row r="154" spans="1:17">
      <c r="A154" s="61"/>
      <c r="C154" s="77"/>
      <c r="Q154" s="58"/>
    </row>
    <row r="155" spans="1:17">
      <c r="A155" s="61"/>
      <c r="C155" s="77"/>
      <c r="Q155" s="58"/>
    </row>
    <row r="156" spans="1:17">
      <c r="A156" s="61"/>
      <c r="C156" s="77"/>
      <c r="Q156" s="58"/>
    </row>
    <row r="157" spans="1:17">
      <c r="A157" s="83"/>
      <c r="C157" s="77"/>
      <c r="Q157" s="58"/>
    </row>
    <row r="158" spans="1:17">
      <c r="A158" s="83"/>
      <c r="C158" s="77"/>
      <c r="Q158" s="58"/>
    </row>
    <row r="159" spans="1:17">
      <c r="A159" s="83"/>
      <c r="C159" s="77"/>
      <c r="I159" s="83"/>
      <c r="Q159" s="58"/>
    </row>
    <row r="160" spans="1:17">
      <c r="A160" s="83"/>
      <c r="C160" s="77"/>
      <c r="I160" s="83"/>
      <c r="Q160" s="58"/>
    </row>
    <row r="161" spans="1:17">
      <c r="A161" s="61"/>
      <c r="C161" s="77"/>
      <c r="Q161" s="58"/>
    </row>
    <row r="162" spans="1:17">
      <c r="A162" s="61"/>
      <c r="C162" s="77"/>
      <c r="Q162" s="58"/>
    </row>
    <row r="163" spans="1:17">
      <c r="A163" s="61"/>
      <c r="C163" s="77"/>
      <c r="Q163" s="58"/>
    </row>
    <row r="164" spans="1:17">
      <c r="A164" s="83"/>
      <c r="C164" s="77"/>
      <c r="Q164" s="58"/>
    </row>
    <row r="165" spans="1:17">
      <c r="A165" s="83"/>
      <c r="C165" s="77"/>
      <c r="Q165" s="58"/>
    </row>
    <row r="166" spans="1:17">
      <c r="A166" s="83"/>
      <c r="C166" s="77"/>
      <c r="Q166" s="58"/>
    </row>
    <row r="167" spans="1:17">
      <c r="A167" s="61"/>
      <c r="C167" s="77"/>
      <c r="Q167" s="58"/>
    </row>
    <row r="168" spans="1:17">
      <c r="A168" s="61"/>
      <c r="C168" s="77"/>
      <c r="Q168" s="58"/>
    </row>
    <row r="169" spans="1:17">
      <c r="A169" s="61"/>
      <c r="C169" s="77"/>
      <c r="Q169" s="58"/>
    </row>
    <row r="170" spans="1:17">
      <c r="A170" s="61"/>
      <c r="C170" s="77"/>
      <c r="Q170" s="58"/>
    </row>
    <row r="171" spans="1:17">
      <c r="A171" s="61"/>
      <c r="C171" s="77"/>
      <c r="Q171" s="58"/>
    </row>
    <row r="172" spans="1:17">
      <c r="A172" s="61"/>
      <c r="C172" s="77"/>
      <c r="Q172" s="58"/>
    </row>
    <row r="173" spans="1:17">
      <c r="A173" s="61"/>
      <c r="C173" s="77"/>
      <c r="Q173" s="58"/>
    </row>
    <row r="174" spans="1:17">
      <c r="A174" s="61"/>
      <c r="C174" s="77"/>
      <c r="Q174" s="58"/>
    </row>
    <row r="175" spans="1:17">
      <c r="A175" s="61"/>
      <c r="C175" s="77"/>
      <c r="Q175" s="58"/>
    </row>
    <row r="176" spans="1:17">
      <c r="A176" s="61"/>
      <c r="C176" s="77"/>
      <c r="Q176" s="58"/>
    </row>
    <row r="177" spans="1:17">
      <c r="A177" s="61"/>
      <c r="C177" s="77"/>
      <c r="Q177" s="58"/>
    </row>
    <row r="178" spans="1:17">
      <c r="A178" s="61"/>
      <c r="C178" s="77"/>
      <c r="Q178" s="58"/>
    </row>
    <row r="179" spans="1:17">
      <c r="A179" s="61"/>
      <c r="C179" s="77"/>
      <c r="Q179" s="58"/>
    </row>
    <row r="180" spans="1:17">
      <c r="A180" s="61"/>
      <c r="C180" s="77"/>
      <c r="Q180" s="58"/>
    </row>
    <row r="181" spans="1:17">
      <c r="A181" s="61"/>
      <c r="C181" s="77"/>
      <c r="Q181" s="58"/>
    </row>
    <row r="182" spans="1:17">
      <c r="A182" s="61"/>
      <c r="C182" s="77"/>
      <c r="Q182" s="58"/>
    </row>
    <row r="183" spans="1:17">
      <c r="A183" s="61"/>
      <c r="C183" s="77"/>
      <c r="Q183" s="58"/>
    </row>
    <row r="184" spans="1:17">
      <c r="A184" s="61"/>
      <c r="C184" s="77"/>
      <c r="Q184" s="58"/>
    </row>
    <row r="185" spans="1:17">
      <c r="A185" s="61"/>
      <c r="C185" s="77"/>
      <c r="Q185" s="58"/>
    </row>
    <row r="186" spans="1:17">
      <c r="A186" s="61"/>
      <c r="C186" s="77"/>
      <c r="Q186" s="58"/>
    </row>
    <row r="187" spans="1:17">
      <c r="A187" s="61"/>
      <c r="C187" s="77"/>
      <c r="Q187" s="58"/>
    </row>
    <row r="188" spans="1:17">
      <c r="A188" s="61"/>
      <c r="C188" s="83"/>
      <c r="Q188" s="58"/>
    </row>
    <row r="189" spans="1:17">
      <c r="A189" s="61"/>
      <c r="C189" s="83"/>
      <c r="Q189" s="58"/>
    </row>
    <row r="190" spans="1:17">
      <c r="A190" s="61"/>
      <c r="C190" s="83"/>
      <c r="Q190" s="58"/>
    </row>
    <row r="191" spans="1:17">
      <c r="A191" s="61"/>
      <c r="C191" s="83"/>
      <c r="Q191" s="58"/>
    </row>
    <row r="192" spans="1:17">
      <c r="A192" s="61"/>
      <c r="C192" s="83"/>
      <c r="Q192" s="58"/>
    </row>
    <row r="193" spans="1:17">
      <c r="A193" s="61"/>
      <c r="C193" s="83"/>
      <c r="Q193" s="58"/>
    </row>
    <row r="194" spans="1:17">
      <c r="A194" s="61"/>
      <c r="C194" s="83"/>
      <c r="Q194" s="58"/>
    </row>
    <row r="195" spans="1:17">
      <c r="A195" s="61"/>
      <c r="C195" s="83"/>
      <c r="Q195" s="58"/>
    </row>
    <row r="196" spans="1:17">
      <c r="A196" s="61"/>
      <c r="C196" s="83"/>
      <c r="Q196" s="58"/>
    </row>
    <row r="197" spans="1:17">
      <c r="A197" s="61"/>
      <c r="C197" s="83"/>
      <c r="Q197" s="58"/>
    </row>
    <row r="198" spans="1:17">
      <c r="A198" s="61"/>
      <c r="C198" s="83"/>
      <c r="Q198" s="58"/>
    </row>
    <row r="199" spans="1:17">
      <c r="A199" s="61"/>
      <c r="C199" s="77"/>
      <c r="Q199" s="58"/>
    </row>
    <row r="200" spans="1:17">
      <c r="A200" s="61"/>
      <c r="C200" s="77"/>
      <c r="Q200" s="58"/>
    </row>
    <row r="201" spans="1:17">
      <c r="A201" s="61"/>
      <c r="C201" s="77"/>
      <c r="Q201" s="58"/>
    </row>
    <row r="202" spans="1:17">
      <c r="A202" s="61"/>
      <c r="C202" s="77"/>
      <c r="Q202" s="58"/>
    </row>
    <row r="203" spans="1:17">
      <c r="A203" s="61"/>
      <c r="C203" s="77"/>
      <c r="Q203" s="58"/>
    </row>
    <row r="204" spans="1:17">
      <c r="A204" s="61"/>
      <c r="C204" s="83"/>
      <c r="Q204" s="58"/>
    </row>
    <row r="205" spans="1:17">
      <c r="A205" s="61"/>
      <c r="C205" s="83"/>
      <c r="Q205" s="58"/>
    </row>
    <row r="206" spans="1:17">
      <c r="C206" s="83"/>
      <c r="Q206" s="58"/>
    </row>
    <row r="207" spans="1:17">
      <c r="C207" s="83"/>
      <c r="Q207" s="58"/>
    </row>
    <row r="208" spans="1:17">
      <c r="C208" s="83"/>
      <c r="Q208" s="58"/>
    </row>
    <row r="209" spans="3:17">
      <c r="C209" s="83"/>
      <c r="Q209" s="58"/>
    </row>
    <row r="210" spans="3:17">
      <c r="C210" s="83"/>
      <c r="Q210" s="58"/>
    </row>
    <row r="211" spans="3:17">
      <c r="C211" s="83"/>
      <c r="Q211" s="58"/>
    </row>
    <row r="212" spans="3:17">
      <c r="C212" s="83"/>
      <c r="Q212" s="58"/>
    </row>
    <row r="213" spans="3:17">
      <c r="C213" s="83"/>
      <c r="Q213" s="58"/>
    </row>
    <row r="214" spans="3:17">
      <c r="C214" s="83"/>
      <c r="Q214" s="58"/>
    </row>
    <row r="215" spans="3:17">
      <c r="C215" s="83"/>
      <c r="Q215" s="58"/>
    </row>
    <row r="216" spans="3:17">
      <c r="C216" s="83"/>
      <c r="Q216" s="58"/>
    </row>
    <row r="217" spans="3:17">
      <c r="C217" s="83"/>
      <c r="Q217" s="58"/>
    </row>
    <row r="218" spans="3:17">
      <c r="C218" s="83"/>
      <c r="Q218" s="58"/>
    </row>
    <row r="219" spans="3:17">
      <c r="C219" s="83"/>
      <c r="Q219" s="58"/>
    </row>
    <row r="220" spans="3:17">
      <c r="C220" s="83"/>
      <c r="Q220" s="58"/>
    </row>
    <row r="221" spans="3:17">
      <c r="C221" s="83"/>
      <c r="Q221" s="58"/>
    </row>
    <row r="222" spans="3:17">
      <c r="C222" s="83"/>
      <c r="Q222" s="58"/>
    </row>
    <row r="223" spans="3:17">
      <c r="C223" s="83"/>
      <c r="Q223" s="58"/>
    </row>
    <row r="224" spans="3:17">
      <c r="C224" s="83"/>
      <c r="Q224" s="58"/>
    </row>
    <row r="225" spans="3:17">
      <c r="C225" s="83"/>
      <c r="Q225" s="58"/>
    </row>
    <row r="226" spans="3:17">
      <c r="C226" s="83"/>
      <c r="Q226" s="58"/>
    </row>
    <row r="227" spans="3:17">
      <c r="C227" s="83"/>
      <c r="Q227" s="58"/>
    </row>
    <row r="228" spans="3:17">
      <c r="C228" s="83"/>
      <c r="Q228" s="58"/>
    </row>
    <row r="229" spans="3:17">
      <c r="C229" s="83"/>
      <c r="Q229" s="58"/>
    </row>
    <row r="230" spans="3:17">
      <c r="C230" s="83"/>
      <c r="Q230" s="58"/>
    </row>
    <row r="231" spans="3:17">
      <c r="C231" s="83"/>
      <c r="Q231" s="58"/>
    </row>
    <row r="232" spans="3:17">
      <c r="C232" s="83"/>
      <c r="Q232" s="58"/>
    </row>
    <row r="233" spans="3:17">
      <c r="C233" s="83"/>
      <c r="Q233" s="58"/>
    </row>
    <row r="234" spans="3:17">
      <c r="C234" s="83"/>
      <c r="Q234" s="58"/>
    </row>
    <row r="235" spans="3:17">
      <c r="C235" s="83"/>
      <c r="Q235" s="58"/>
    </row>
    <row r="236" spans="3:17">
      <c r="C236" s="83"/>
      <c r="Q236" s="58"/>
    </row>
    <row r="237" spans="3:17">
      <c r="C237" s="83"/>
      <c r="Q237" s="58"/>
    </row>
    <row r="238" spans="3:17">
      <c r="C238" s="83"/>
      <c r="Q238" s="58"/>
    </row>
    <row r="239" spans="3:17">
      <c r="C239" s="83"/>
      <c r="Q239" s="58"/>
    </row>
    <row r="240" spans="3:17">
      <c r="C240" s="83"/>
      <c r="Q240" s="58"/>
    </row>
    <row r="241" spans="1:21">
      <c r="C241" s="83"/>
      <c r="Q241" s="58"/>
    </row>
    <row r="242" spans="1:21">
      <c r="C242" s="83"/>
      <c r="Q242" s="58"/>
    </row>
    <row r="243" spans="1:21">
      <c r="C243" s="83"/>
      <c r="Q243" s="58"/>
    </row>
    <row r="244" spans="1:21">
      <c r="A244" s="63"/>
      <c r="B244" s="49"/>
      <c r="C244" s="50"/>
      <c r="D244" s="51"/>
      <c r="E244" s="55"/>
      <c r="F244" s="49"/>
      <c r="G244" s="49"/>
      <c r="H244" s="49"/>
      <c r="I244" s="49"/>
      <c r="J244" s="49"/>
      <c r="K244" s="49"/>
      <c r="L244" s="49"/>
      <c r="M244" s="49"/>
      <c r="N244" s="60"/>
      <c r="O244" s="60"/>
      <c r="P244" s="60"/>
      <c r="Q244" s="51"/>
      <c r="R244" s="49"/>
      <c r="S244" s="49"/>
      <c r="T244" s="49"/>
      <c r="U244" s="49"/>
    </row>
    <row r="245" spans="1:21">
      <c r="A245" s="63"/>
      <c r="B245" s="49"/>
      <c r="C245" s="50"/>
      <c r="D245" s="51"/>
      <c r="E245" s="55"/>
      <c r="F245" s="49"/>
      <c r="G245" s="49"/>
      <c r="H245" s="49"/>
      <c r="I245" s="49"/>
      <c r="J245" s="49"/>
      <c r="K245" s="49"/>
      <c r="L245" s="49"/>
      <c r="M245" s="49"/>
      <c r="N245" s="60"/>
      <c r="O245" s="60"/>
      <c r="P245" s="60"/>
      <c r="Q245" s="51"/>
      <c r="R245" s="49"/>
      <c r="S245" s="49"/>
      <c r="T245" s="49"/>
      <c r="U245" s="49"/>
    </row>
  </sheetData>
  <sortState xmlns:xlrd2="http://schemas.microsoft.com/office/spreadsheetml/2017/richdata2" ref="A2:U113">
    <sortCondition ref="B2:B1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F09DA-F2F2-4813-8758-336CA689855F}">
  <dimension ref="A1:J3"/>
  <sheetViews>
    <sheetView workbookViewId="0">
      <selection sqref="A1:B3"/>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16</v>
      </c>
      <c r="B1" s="53" t="s">
        <v>227</v>
      </c>
      <c r="C1" s="53" t="s">
        <v>228</v>
      </c>
      <c r="D1" s="53" t="s">
        <v>229</v>
      </c>
      <c r="E1" s="48" t="s">
        <v>230</v>
      </c>
      <c r="F1" s="48" t="s">
        <v>231</v>
      </c>
      <c r="G1" s="48" t="s">
        <v>232</v>
      </c>
      <c r="H1" s="48" t="s">
        <v>233</v>
      </c>
      <c r="I1" s="48" t="s">
        <v>234</v>
      </c>
      <c r="J1" s="48" t="s">
        <v>235</v>
      </c>
    </row>
    <row r="2" spans="1:10">
      <c r="A2" t="s">
        <v>216</v>
      </c>
      <c r="B2" s="30">
        <v>0</v>
      </c>
      <c r="C2" s="30">
        <v>0</v>
      </c>
      <c r="D2" s="30">
        <v>109.5388332948167</v>
      </c>
      <c r="E2" s="71">
        <v>1000</v>
      </c>
      <c r="F2" s="72" t="s">
        <v>236</v>
      </c>
      <c r="G2" s="72" t="s">
        <v>237</v>
      </c>
      <c r="H2">
        <v>5</v>
      </c>
      <c r="I2">
        <v>0</v>
      </c>
      <c r="J2">
        <v>24</v>
      </c>
    </row>
    <row r="3" spans="1:10">
      <c r="A3" t="s">
        <v>33</v>
      </c>
      <c r="B3" s="30">
        <v>2.6468146334156435</v>
      </c>
      <c r="C3" s="30">
        <v>0.99412918714420562</v>
      </c>
      <c r="D3" s="30">
        <v>5.8339089996666607</v>
      </c>
      <c r="E3" s="71">
        <v>1000</v>
      </c>
      <c r="F3" s="72" t="s">
        <v>238</v>
      </c>
      <c r="G3" s="72" t="s">
        <v>239</v>
      </c>
      <c r="H3">
        <v>107</v>
      </c>
      <c r="I3">
        <v>5</v>
      </c>
      <c r="J3">
        <v>1942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2240-B4E6-4DD2-BBF3-4C9CBDB72D13}">
  <dimension ref="A1:J6"/>
  <sheetViews>
    <sheetView workbookViewId="0">
      <selection sqref="A1:B6"/>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18</v>
      </c>
      <c r="B1" s="53" t="s">
        <v>227</v>
      </c>
      <c r="C1" s="53" t="s">
        <v>228</v>
      </c>
      <c r="D1" s="53" t="s">
        <v>229</v>
      </c>
      <c r="E1" s="48" t="s">
        <v>230</v>
      </c>
      <c r="F1" s="48" t="s">
        <v>231</v>
      </c>
      <c r="G1" s="48" t="s">
        <v>232</v>
      </c>
      <c r="H1" s="48" t="s">
        <v>233</v>
      </c>
      <c r="I1" s="48" t="s">
        <v>234</v>
      </c>
      <c r="J1" s="48" t="s">
        <v>235</v>
      </c>
    </row>
    <row r="2" spans="1:10">
      <c r="A2" t="s">
        <v>216</v>
      </c>
      <c r="B2" s="30">
        <v>0</v>
      </c>
      <c r="C2" s="30">
        <v>0</v>
      </c>
      <c r="D2" s="30">
        <v>109.5388332948167</v>
      </c>
      <c r="E2" s="71">
        <v>1000</v>
      </c>
      <c r="F2" s="72" t="s">
        <v>236</v>
      </c>
      <c r="G2" s="72" t="s">
        <v>237</v>
      </c>
      <c r="H2">
        <v>5</v>
      </c>
      <c r="I2">
        <v>0</v>
      </c>
      <c r="J2">
        <v>24</v>
      </c>
    </row>
    <row r="3" spans="1:10">
      <c r="A3" t="s">
        <v>123</v>
      </c>
      <c r="B3" s="30">
        <v>3.1062412252469103</v>
      </c>
      <c r="C3" s="30">
        <v>1.0252259117217286</v>
      </c>
      <c r="D3" s="30">
        <v>7.44644603914643</v>
      </c>
      <c r="E3" s="71">
        <v>1000</v>
      </c>
      <c r="F3" s="72" t="s">
        <v>238</v>
      </c>
      <c r="G3" s="72" t="s">
        <v>239</v>
      </c>
      <c r="H3">
        <v>45</v>
      </c>
      <c r="I3">
        <v>4</v>
      </c>
      <c r="J3">
        <v>1329</v>
      </c>
    </row>
    <row r="4" spans="1:10">
      <c r="A4" t="s">
        <v>138</v>
      </c>
      <c r="B4" s="30">
        <v>0</v>
      </c>
      <c r="C4" s="30">
        <v>0</v>
      </c>
      <c r="D4" s="30">
        <v>61.843653147010492</v>
      </c>
      <c r="E4" s="71">
        <v>1000</v>
      </c>
      <c r="F4" s="72" t="s">
        <v>236</v>
      </c>
      <c r="G4" s="72" t="s">
        <v>237</v>
      </c>
      <c r="H4">
        <v>16</v>
      </c>
      <c r="I4">
        <v>0</v>
      </c>
      <c r="J4">
        <v>50</v>
      </c>
    </row>
    <row r="5" spans="1:10">
      <c r="A5" t="s">
        <v>35</v>
      </c>
      <c r="B5" s="30">
        <v>2.076601883926223</v>
      </c>
      <c r="C5" s="30">
        <v>0.123075975962691</v>
      </c>
      <c r="D5" s="30">
        <v>10.050777808378578</v>
      </c>
      <c r="E5" s="71">
        <v>1000</v>
      </c>
      <c r="F5" s="72" t="s">
        <v>238</v>
      </c>
      <c r="G5" s="72" t="s">
        <v>239</v>
      </c>
      <c r="H5">
        <v>33</v>
      </c>
      <c r="I5">
        <v>1</v>
      </c>
      <c r="J5">
        <v>473</v>
      </c>
    </row>
    <row r="6" spans="1:10">
      <c r="A6" t="s">
        <v>91</v>
      </c>
      <c r="B6" s="30">
        <v>0</v>
      </c>
      <c r="C6" s="30">
        <v>0</v>
      </c>
      <c r="D6" s="30">
        <v>32.088421995437592</v>
      </c>
      <c r="E6" s="71">
        <v>1000</v>
      </c>
      <c r="F6" s="72" t="s">
        <v>236</v>
      </c>
      <c r="G6" s="72" t="s">
        <v>237</v>
      </c>
      <c r="H6">
        <v>13</v>
      </c>
      <c r="I6">
        <v>0</v>
      </c>
      <c r="J6">
        <v>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2DB4-E633-4822-8260-1F8BC6D969D5}">
  <dimension ref="A1:J9"/>
  <sheetViews>
    <sheetView workbookViewId="0">
      <selection sqref="A1: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30</v>
      </c>
      <c r="B1" s="53" t="s">
        <v>227</v>
      </c>
      <c r="C1" s="53" t="s">
        <v>228</v>
      </c>
      <c r="D1" s="53" t="s">
        <v>229</v>
      </c>
      <c r="E1" s="48" t="s">
        <v>230</v>
      </c>
      <c r="F1" s="48" t="s">
        <v>231</v>
      </c>
      <c r="G1" s="48" t="s">
        <v>232</v>
      </c>
      <c r="H1" s="48" t="s">
        <v>233</v>
      </c>
      <c r="I1" s="48" t="s">
        <v>234</v>
      </c>
      <c r="J1" s="48" t="s">
        <v>235</v>
      </c>
    </row>
    <row r="2" spans="1:10">
      <c r="A2" t="s">
        <v>126</v>
      </c>
      <c r="B2" s="30">
        <v>3.231964182692769</v>
      </c>
      <c r="C2" s="30">
        <v>1.0693375079397902</v>
      </c>
      <c r="D2" s="30">
        <v>7.743650935360872</v>
      </c>
      <c r="E2" s="71">
        <v>1000</v>
      </c>
      <c r="F2" s="72" t="s">
        <v>238</v>
      </c>
      <c r="G2" s="72" t="s">
        <v>239</v>
      </c>
      <c r="H2">
        <v>33</v>
      </c>
      <c r="I2">
        <v>4</v>
      </c>
      <c r="J2">
        <v>1278</v>
      </c>
    </row>
    <row r="3" spans="1:10">
      <c r="A3" t="s">
        <v>124</v>
      </c>
      <c r="B3" s="30">
        <v>0</v>
      </c>
      <c r="C3" s="30">
        <v>0</v>
      </c>
      <c r="D3" s="30">
        <v>60.152877254941998</v>
      </c>
      <c r="E3" s="71">
        <v>1000</v>
      </c>
      <c r="F3" s="72" t="s">
        <v>236</v>
      </c>
      <c r="G3" s="72" t="s">
        <v>237</v>
      </c>
      <c r="H3">
        <v>12</v>
      </c>
      <c r="I3">
        <v>0</v>
      </c>
      <c r="J3">
        <v>51</v>
      </c>
    </row>
    <row r="4" spans="1:10">
      <c r="A4" t="s">
        <v>139</v>
      </c>
      <c r="B4" s="30">
        <v>0</v>
      </c>
      <c r="C4" s="30">
        <v>0</v>
      </c>
      <c r="D4" s="30">
        <v>73.714657756696568</v>
      </c>
      <c r="E4" s="71">
        <v>1000</v>
      </c>
      <c r="F4" s="72" t="s">
        <v>236</v>
      </c>
      <c r="G4" s="72" t="s">
        <v>237</v>
      </c>
      <c r="H4">
        <v>11</v>
      </c>
      <c r="I4">
        <v>0</v>
      </c>
      <c r="J4">
        <v>39</v>
      </c>
    </row>
    <row r="5" spans="1:10">
      <c r="A5" t="s">
        <v>191</v>
      </c>
      <c r="B5" s="30">
        <v>0</v>
      </c>
      <c r="C5" s="30">
        <v>0</v>
      </c>
      <c r="D5" s="30">
        <v>211.79027678259163</v>
      </c>
      <c r="E5" s="71">
        <v>1000</v>
      </c>
      <c r="F5" s="72" t="s">
        <v>236</v>
      </c>
      <c r="G5" s="72" t="s">
        <v>237</v>
      </c>
      <c r="H5">
        <v>5</v>
      </c>
      <c r="I5">
        <v>0</v>
      </c>
      <c r="J5">
        <v>11</v>
      </c>
    </row>
    <row r="6" spans="1:10">
      <c r="A6" t="s">
        <v>46</v>
      </c>
      <c r="B6" s="30">
        <v>2.2512912743443971</v>
      </c>
      <c r="C6" s="30">
        <v>0.13446750728901286</v>
      </c>
      <c r="D6" s="30">
        <v>10.904655644647018</v>
      </c>
      <c r="E6" s="71">
        <v>1000</v>
      </c>
      <c r="F6" s="72" t="s">
        <v>238</v>
      </c>
      <c r="G6" s="72" t="s">
        <v>239</v>
      </c>
      <c r="H6">
        <v>22</v>
      </c>
      <c r="I6">
        <v>1</v>
      </c>
      <c r="J6">
        <v>434</v>
      </c>
    </row>
    <row r="7" spans="1:10">
      <c r="A7" t="s">
        <v>42</v>
      </c>
      <c r="B7" s="30">
        <v>0</v>
      </c>
      <c r="C7" s="30">
        <v>0</v>
      </c>
      <c r="D7" s="30">
        <v>76.369696194098921</v>
      </c>
      <c r="E7" s="71">
        <v>1000</v>
      </c>
      <c r="F7" s="72" t="s">
        <v>236</v>
      </c>
      <c r="G7" s="72" t="s">
        <v>237</v>
      </c>
      <c r="H7">
        <v>11</v>
      </c>
      <c r="I7">
        <v>0</v>
      </c>
      <c r="J7">
        <v>39</v>
      </c>
    </row>
    <row r="8" spans="1:10">
      <c r="A8" t="s">
        <v>98</v>
      </c>
      <c r="B8" s="30">
        <v>0</v>
      </c>
      <c r="C8" s="30">
        <v>0</v>
      </c>
      <c r="D8" s="30">
        <v>49.979761319561973</v>
      </c>
      <c r="E8" s="71">
        <v>1000</v>
      </c>
      <c r="F8" s="72" t="s">
        <v>236</v>
      </c>
      <c r="G8" s="72" t="s">
        <v>237</v>
      </c>
      <c r="H8">
        <v>7</v>
      </c>
      <c r="I8">
        <v>0</v>
      </c>
      <c r="J8">
        <v>49</v>
      </c>
    </row>
    <row r="9" spans="1:10">
      <c r="A9" t="s">
        <v>92</v>
      </c>
      <c r="B9" s="30">
        <v>0</v>
      </c>
      <c r="C9" s="30">
        <v>0</v>
      </c>
      <c r="D9" s="30">
        <v>56.807157120394173</v>
      </c>
      <c r="E9" s="71">
        <v>1000</v>
      </c>
      <c r="F9" s="72" t="s">
        <v>236</v>
      </c>
      <c r="G9" s="72" t="s">
        <v>237</v>
      </c>
      <c r="H9">
        <v>6</v>
      </c>
      <c r="I9">
        <v>0</v>
      </c>
      <c r="J9">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A6151-508D-4EE9-A5BD-B78B299E139D}">
  <dimension ref="A1:J5"/>
  <sheetViews>
    <sheetView workbookViewId="0">
      <selection sqref="A1:B5"/>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29</v>
      </c>
      <c r="B1" s="53" t="s">
        <v>227</v>
      </c>
      <c r="C1" s="53" t="s">
        <v>228</v>
      </c>
      <c r="D1" s="53" t="s">
        <v>229</v>
      </c>
      <c r="E1" s="48" t="s">
        <v>230</v>
      </c>
      <c r="F1" s="48" t="s">
        <v>231</v>
      </c>
      <c r="G1" s="48" t="s">
        <v>232</v>
      </c>
      <c r="H1" s="48" t="s">
        <v>233</v>
      </c>
      <c r="I1" s="48" t="s">
        <v>234</v>
      </c>
      <c r="J1" s="48" t="s">
        <v>235</v>
      </c>
    </row>
    <row r="2" spans="1:10">
      <c r="A2" t="s">
        <v>222</v>
      </c>
      <c r="B2" s="30">
        <v>0</v>
      </c>
      <c r="C2" s="30">
        <v>0</v>
      </c>
      <c r="D2" s="30">
        <v>184.8686856849445</v>
      </c>
      <c r="E2" s="71">
        <v>1000</v>
      </c>
      <c r="F2" s="72" t="s">
        <v>236</v>
      </c>
      <c r="G2" s="72" t="s">
        <v>237</v>
      </c>
      <c r="H2">
        <v>2</v>
      </c>
      <c r="I2">
        <v>0</v>
      </c>
      <c r="J2">
        <v>10</v>
      </c>
    </row>
    <row r="3" spans="1:10">
      <c r="A3" t="s">
        <v>218</v>
      </c>
      <c r="B3" s="30">
        <v>0</v>
      </c>
      <c r="C3" s="30">
        <v>0</v>
      </c>
      <c r="D3" s="30">
        <v>159.11136956839024</v>
      </c>
      <c r="E3" s="71">
        <v>1000</v>
      </c>
      <c r="F3" s="72" t="s">
        <v>236</v>
      </c>
      <c r="G3" s="72" t="s">
        <v>237</v>
      </c>
      <c r="H3">
        <v>3</v>
      </c>
      <c r="I3">
        <v>0</v>
      </c>
      <c r="J3">
        <v>14</v>
      </c>
    </row>
    <row r="4" spans="1:10">
      <c r="A4" t="s">
        <v>45</v>
      </c>
      <c r="B4" s="30">
        <v>2.8597446699003846</v>
      </c>
      <c r="C4" s="30">
        <v>1.0772754573345698</v>
      </c>
      <c r="D4" s="30">
        <v>6.2969383682583535</v>
      </c>
      <c r="E4" s="71">
        <v>1000</v>
      </c>
      <c r="F4" s="72" t="s">
        <v>238</v>
      </c>
      <c r="G4" s="72" t="s">
        <v>239</v>
      </c>
      <c r="H4">
        <v>73</v>
      </c>
      <c r="I4">
        <v>5</v>
      </c>
      <c r="J4">
        <v>1800</v>
      </c>
    </row>
    <row r="5" spans="1:10">
      <c r="A5" t="s">
        <v>41</v>
      </c>
      <c r="B5" s="30">
        <v>0</v>
      </c>
      <c r="C5" s="30">
        <v>0</v>
      </c>
      <c r="D5" s="30">
        <v>24.094516875254918</v>
      </c>
      <c r="E5" s="71">
        <v>1000</v>
      </c>
      <c r="F5" s="72" t="s">
        <v>236</v>
      </c>
      <c r="G5" s="72" t="s">
        <v>237</v>
      </c>
      <c r="H5">
        <v>34</v>
      </c>
      <c r="I5">
        <v>0</v>
      </c>
      <c r="J5">
        <v>142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22" zoomScale="60" zoomScaleNormal="60" workbookViewId="0">
      <selection activeCell="D103" sqref="D103"/>
    </sheetView>
  </sheetViews>
  <sheetFormatPr defaultColWidth="8.85546875" defaultRowHeight="15"/>
  <cols>
    <col min="2" max="2" width="12.42578125" style="65"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7" t="s">
        <v>13</v>
      </c>
      <c r="B1" s="68" t="s">
        <v>14</v>
      </c>
      <c r="C1" s="39" t="s">
        <v>240</v>
      </c>
      <c r="D1" s="39" t="s">
        <v>241</v>
      </c>
      <c r="E1" s="39" t="s">
        <v>18</v>
      </c>
      <c r="F1" s="39" t="s">
        <v>242</v>
      </c>
      <c r="G1" s="39" t="s">
        <v>243</v>
      </c>
      <c r="H1" s="39" t="s">
        <v>244</v>
      </c>
      <c r="I1" s="39" t="s">
        <v>245</v>
      </c>
      <c r="J1" s="67" t="s">
        <v>246</v>
      </c>
      <c r="K1" s="67" t="s">
        <v>247</v>
      </c>
    </row>
    <row r="2" spans="1:28" s="52" customFormat="1">
      <c r="A2">
        <v>37</v>
      </c>
      <c r="B2" s="70">
        <v>44816</v>
      </c>
      <c r="C2" t="s">
        <v>248</v>
      </c>
      <c r="D2" t="s">
        <v>249</v>
      </c>
      <c r="E2" t="s">
        <v>216</v>
      </c>
      <c r="F2" t="s">
        <v>250</v>
      </c>
      <c r="G2">
        <v>2</v>
      </c>
      <c r="H2" t="s">
        <v>251</v>
      </c>
      <c r="I2" t="s">
        <v>252</v>
      </c>
      <c r="J2">
        <f>IF(F2="Culex tarsalis",G2,0)</f>
        <v>0</v>
      </c>
      <c r="K2">
        <f>IF(F2="Culex pipiens",G2,0)</f>
        <v>2</v>
      </c>
      <c r="L2"/>
      <c r="M2"/>
      <c r="N2"/>
      <c r="O2"/>
      <c r="P2"/>
      <c r="Q2"/>
      <c r="R2"/>
      <c r="S2"/>
      <c r="T2"/>
      <c r="U2"/>
      <c r="V2"/>
      <c r="W2"/>
      <c r="X2"/>
      <c r="Y2"/>
      <c r="Z2"/>
      <c r="AA2"/>
      <c r="AB2"/>
    </row>
    <row r="3" spans="1:28">
      <c r="A3">
        <v>37</v>
      </c>
      <c r="B3" s="70">
        <v>44816</v>
      </c>
      <c r="C3" t="s">
        <v>248</v>
      </c>
      <c r="D3" t="s">
        <v>253</v>
      </c>
      <c r="E3" t="s">
        <v>216</v>
      </c>
      <c r="F3" t="s">
        <v>250</v>
      </c>
      <c r="G3">
        <v>2</v>
      </c>
      <c r="H3" t="s">
        <v>251</v>
      </c>
      <c r="I3" t="s">
        <v>254</v>
      </c>
      <c r="J3">
        <f>IF(F3="Culex tarsalis",G3,0)</f>
        <v>0</v>
      </c>
      <c r="K3">
        <f>IF(F3="Culex pipiens",G3,0)</f>
        <v>2</v>
      </c>
    </row>
    <row r="4" spans="1:28">
      <c r="A4">
        <v>37</v>
      </c>
      <c r="B4" s="70">
        <v>44816</v>
      </c>
      <c r="C4" t="s">
        <v>248</v>
      </c>
      <c r="D4" t="s">
        <v>255</v>
      </c>
      <c r="E4" t="s">
        <v>216</v>
      </c>
      <c r="F4" t="s">
        <v>250</v>
      </c>
      <c r="G4">
        <v>1</v>
      </c>
      <c r="H4" t="s">
        <v>251</v>
      </c>
      <c r="I4" t="s">
        <v>256</v>
      </c>
      <c r="J4">
        <f>IF(F4="Culex tarsalis",G4,0)</f>
        <v>0</v>
      </c>
      <c r="K4">
        <f>IF(F4="Culex pipiens",G4,0)</f>
        <v>1</v>
      </c>
    </row>
    <row r="5" spans="1:28">
      <c r="A5">
        <v>37</v>
      </c>
      <c r="B5" s="70">
        <v>44816</v>
      </c>
      <c r="C5" t="s">
        <v>248</v>
      </c>
      <c r="D5" t="s">
        <v>257</v>
      </c>
      <c r="E5" t="s">
        <v>216</v>
      </c>
      <c r="F5" t="s">
        <v>250</v>
      </c>
      <c r="G5">
        <v>1</v>
      </c>
      <c r="H5" t="s">
        <v>251</v>
      </c>
      <c r="I5" t="s">
        <v>258</v>
      </c>
      <c r="J5">
        <f>IF(F5="Culex tarsalis",G5,0)</f>
        <v>0</v>
      </c>
      <c r="K5">
        <f>IF(F5="Culex pipiens",G5,0)</f>
        <v>1</v>
      </c>
    </row>
    <row r="6" spans="1:28">
      <c r="A6">
        <v>37</v>
      </c>
      <c r="B6" s="70">
        <v>44816</v>
      </c>
      <c r="C6" t="s">
        <v>248</v>
      </c>
      <c r="D6" t="s">
        <v>259</v>
      </c>
      <c r="E6" t="s">
        <v>216</v>
      </c>
      <c r="F6" t="s">
        <v>250</v>
      </c>
      <c r="G6">
        <v>1</v>
      </c>
      <c r="H6" t="s">
        <v>251</v>
      </c>
      <c r="I6" t="s">
        <v>260</v>
      </c>
      <c r="J6">
        <f>IF(F6="Culex tarsalis",G6,0)</f>
        <v>0</v>
      </c>
      <c r="K6">
        <f>IF(F6="Culex pipiens",G6,0)</f>
        <v>1</v>
      </c>
    </row>
    <row r="7" spans="1:28">
      <c r="A7">
        <v>37</v>
      </c>
      <c r="B7" s="70">
        <v>44816</v>
      </c>
      <c r="C7" t="s">
        <v>248</v>
      </c>
      <c r="D7" t="s">
        <v>261</v>
      </c>
      <c r="E7" t="s">
        <v>216</v>
      </c>
      <c r="F7" t="s">
        <v>250</v>
      </c>
      <c r="G7">
        <v>0</v>
      </c>
      <c r="H7" t="s">
        <v>251</v>
      </c>
      <c r="I7" t="s">
        <v>262</v>
      </c>
      <c r="J7">
        <f>IF(F7="Culex tarsalis",G7,0)</f>
        <v>0</v>
      </c>
      <c r="K7">
        <f>IF(F7="Culex pipiens",G7,0)</f>
        <v>0</v>
      </c>
    </row>
    <row r="8" spans="1:28">
      <c r="A8">
        <v>37</v>
      </c>
      <c r="B8" s="70">
        <v>44816</v>
      </c>
      <c r="C8" t="s">
        <v>248</v>
      </c>
      <c r="D8" t="s">
        <v>263</v>
      </c>
      <c r="E8" t="s">
        <v>216</v>
      </c>
      <c r="F8" t="s">
        <v>250</v>
      </c>
      <c r="G8">
        <v>0</v>
      </c>
      <c r="H8" t="s">
        <v>251</v>
      </c>
      <c r="I8" t="s">
        <v>264</v>
      </c>
      <c r="J8">
        <f>IF(F8="Culex tarsalis",G8,0)</f>
        <v>0</v>
      </c>
      <c r="K8">
        <f>IF(F8="Culex pipiens",G8,0)</f>
        <v>0</v>
      </c>
    </row>
    <row r="9" spans="1:28">
      <c r="A9">
        <v>37</v>
      </c>
      <c r="B9" s="70">
        <v>44816</v>
      </c>
      <c r="C9" t="s">
        <v>248</v>
      </c>
      <c r="D9" t="s">
        <v>265</v>
      </c>
      <c r="E9" t="s">
        <v>216</v>
      </c>
      <c r="F9" t="s">
        <v>250</v>
      </c>
      <c r="G9">
        <v>0</v>
      </c>
      <c r="H9" t="s">
        <v>251</v>
      </c>
      <c r="I9" t="s">
        <v>266</v>
      </c>
      <c r="J9">
        <f>IF(F9="Culex tarsalis",G9,0)</f>
        <v>0</v>
      </c>
      <c r="K9">
        <f>IF(F9="Culex pipiens",G9,0)</f>
        <v>0</v>
      </c>
    </row>
    <row r="10" spans="1:28" s="52" customFormat="1">
      <c r="A10">
        <v>37</v>
      </c>
      <c r="B10" s="70">
        <v>44816</v>
      </c>
      <c r="C10" t="s">
        <v>248</v>
      </c>
      <c r="D10" t="s">
        <v>267</v>
      </c>
      <c r="E10" t="s">
        <v>216</v>
      </c>
      <c r="F10" t="s">
        <v>250</v>
      </c>
      <c r="G10">
        <v>0</v>
      </c>
      <c r="H10" t="s">
        <v>251</v>
      </c>
      <c r="I10" t="s">
        <v>268</v>
      </c>
      <c r="J10">
        <f>IF(F10="Culex tarsalis",G10,0)</f>
        <v>0</v>
      </c>
      <c r="K10">
        <f>IF(F10="Culex pipiens",G10,0)</f>
        <v>0</v>
      </c>
      <c r="L10"/>
      <c r="M10"/>
      <c r="N10"/>
      <c r="O10"/>
      <c r="P10"/>
      <c r="Q10"/>
      <c r="R10"/>
      <c r="S10"/>
      <c r="T10"/>
      <c r="U10"/>
      <c r="V10"/>
      <c r="W10"/>
      <c r="X10"/>
      <c r="Y10"/>
      <c r="Z10"/>
      <c r="AA10"/>
      <c r="AB10"/>
    </row>
    <row r="11" spans="1:28">
      <c r="A11">
        <v>37</v>
      </c>
      <c r="B11" s="70">
        <v>44816</v>
      </c>
      <c r="C11" t="s">
        <v>248</v>
      </c>
      <c r="D11" t="s">
        <v>269</v>
      </c>
      <c r="E11" t="s">
        <v>216</v>
      </c>
      <c r="F11" t="s">
        <v>250</v>
      </c>
      <c r="G11">
        <v>7</v>
      </c>
      <c r="H11" t="s">
        <v>251</v>
      </c>
      <c r="I11" t="s">
        <v>270</v>
      </c>
      <c r="J11">
        <f>IF(F11="Culex tarsalis",G11,0)</f>
        <v>0</v>
      </c>
      <c r="K11">
        <f>IF(F11="Culex pipiens",G11,0)</f>
        <v>7</v>
      </c>
    </row>
    <row r="12" spans="1:28">
      <c r="A12">
        <v>37</v>
      </c>
      <c r="B12" s="70">
        <v>44816</v>
      </c>
      <c r="C12" t="s">
        <v>248</v>
      </c>
      <c r="D12" t="s">
        <v>271</v>
      </c>
      <c r="E12" t="s">
        <v>216</v>
      </c>
      <c r="F12" t="s">
        <v>250</v>
      </c>
      <c r="G12">
        <v>0</v>
      </c>
      <c r="H12" t="s">
        <v>251</v>
      </c>
      <c r="I12" t="s">
        <v>272</v>
      </c>
      <c r="J12">
        <f>IF(F12="Culex tarsalis",G12,0)</f>
        <v>0</v>
      </c>
      <c r="K12">
        <f>IF(F12="Culex pipiens",G12,0)</f>
        <v>0</v>
      </c>
    </row>
    <row r="13" spans="1:28">
      <c r="A13">
        <v>37</v>
      </c>
      <c r="B13" s="70">
        <v>44816</v>
      </c>
      <c r="C13" t="s">
        <v>248</v>
      </c>
      <c r="D13" t="s">
        <v>273</v>
      </c>
      <c r="E13" t="s">
        <v>216</v>
      </c>
      <c r="F13" t="s">
        <v>250</v>
      </c>
      <c r="G13">
        <v>1</v>
      </c>
      <c r="H13" t="s">
        <v>251</v>
      </c>
      <c r="I13" t="s">
        <v>274</v>
      </c>
      <c r="J13">
        <f>IF(F13="Culex tarsalis",G13,0)</f>
        <v>0</v>
      </c>
      <c r="K13">
        <f>IF(F13="Culex pipiens",G13,0)</f>
        <v>1</v>
      </c>
    </row>
    <row r="14" spans="1:28" s="52" customFormat="1">
      <c r="A14">
        <v>37</v>
      </c>
      <c r="B14" s="70">
        <v>44816</v>
      </c>
      <c r="C14" t="s">
        <v>248</v>
      </c>
      <c r="D14" t="s">
        <v>275</v>
      </c>
      <c r="E14" t="s">
        <v>216</v>
      </c>
      <c r="F14" t="s">
        <v>250</v>
      </c>
      <c r="G14">
        <v>0</v>
      </c>
      <c r="H14" t="s">
        <v>251</v>
      </c>
      <c r="I14" t="s">
        <v>276</v>
      </c>
      <c r="J14">
        <f>IF(F14="Culex tarsalis",G14,0)</f>
        <v>0</v>
      </c>
      <c r="K14">
        <f>IF(F14="Culex pipiens",G14,0)</f>
        <v>0</v>
      </c>
      <c r="L14"/>
      <c r="M14"/>
      <c r="N14"/>
      <c r="O14"/>
      <c r="P14"/>
      <c r="Q14"/>
      <c r="R14"/>
      <c r="S14"/>
      <c r="T14"/>
      <c r="U14"/>
      <c r="V14"/>
      <c r="W14"/>
      <c r="X14"/>
      <c r="Y14"/>
      <c r="Z14"/>
      <c r="AA14"/>
      <c r="AB14"/>
    </row>
    <row r="15" spans="1:28" s="52" customFormat="1">
      <c r="A15">
        <v>37</v>
      </c>
      <c r="B15" s="70">
        <v>44816</v>
      </c>
      <c r="C15" t="s">
        <v>248</v>
      </c>
      <c r="D15" t="s">
        <v>277</v>
      </c>
      <c r="E15" t="s">
        <v>216</v>
      </c>
      <c r="F15" t="s">
        <v>250</v>
      </c>
      <c r="G15">
        <v>0</v>
      </c>
      <c r="H15" t="s">
        <v>251</v>
      </c>
      <c r="I15" t="s">
        <v>278</v>
      </c>
      <c r="J15">
        <f>IF(F15="Culex tarsalis",G15,0)</f>
        <v>0</v>
      </c>
      <c r="K15">
        <f>IF(F15="Culex pipiens",G15,0)</f>
        <v>0</v>
      </c>
      <c r="L15"/>
      <c r="M15"/>
      <c r="N15"/>
      <c r="O15"/>
      <c r="P15"/>
      <c r="Q15"/>
      <c r="R15"/>
      <c r="S15"/>
      <c r="T15"/>
      <c r="U15"/>
      <c r="V15"/>
      <c r="W15"/>
      <c r="X15"/>
      <c r="Y15"/>
      <c r="Z15"/>
      <c r="AA15"/>
      <c r="AB15"/>
    </row>
    <row r="16" spans="1:28">
      <c r="A16">
        <v>37</v>
      </c>
      <c r="B16" s="70">
        <v>44816</v>
      </c>
      <c r="C16" t="s">
        <v>248</v>
      </c>
      <c r="D16" t="s">
        <v>279</v>
      </c>
      <c r="E16" t="s">
        <v>216</v>
      </c>
      <c r="F16" t="s">
        <v>250</v>
      </c>
      <c r="G16">
        <v>0</v>
      </c>
      <c r="H16" t="s">
        <v>251</v>
      </c>
      <c r="I16" t="s">
        <v>280</v>
      </c>
      <c r="J16">
        <f>IF(F16="Culex tarsalis",G16,0)</f>
        <v>0</v>
      </c>
      <c r="K16">
        <f>IF(F16="Culex pipiens",G16,0)</f>
        <v>0</v>
      </c>
    </row>
    <row r="17" spans="1:25">
      <c r="A17">
        <v>37</v>
      </c>
      <c r="B17" s="70">
        <v>44816</v>
      </c>
      <c r="C17" t="s">
        <v>248</v>
      </c>
      <c r="D17" t="s">
        <v>281</v>
      </c>
      <c r="E17" t="s">
        <v>216</v>
      </c>
      <c r="F17" t="s">
        <v>250</v>
      </c>
      <c r="G17">
        <v>0</v>
      </c>
      <c r="H17" t="s">
        <v>251</v>
      </c>
      <c r="I17" t="s">
        <v>282</v>
      </c>
      <c r="J17">
        <f>IF(F17="Culex tarsalis",G17,0)</f>
        <v>0</v>
      </c>
      <c r="K17">
        <f>IF(F17="Culex pipiens",G17,0)</f>
        <v>0</v>
      </c>
    </row>
    <row r="18" spans="1:25">
      <c r="A18">
        <v>37</v>
      </c>
      <c r="B18" s="70">
        <v>44816</v>
      </c>
      <c r="C18" t="s">
        <v>248</v>
      </c>
      <c r="D18" t="s">
        <v>283</v>
      </c>
      <c r="E18" t="s">
        <v>216</v>
      </c>
      <c r="F18" t="s">
        <v>250</v>
      </c>
      <c r="G18">
        <v>3</v>
      </c>
      <c r="H18" t="s">
        <v>251</v>
      </c>
      <c r="I18" t="s">
        <v>284</v>
      </c>
      <c r="J18">
        <f>IF(F18="Culex tarsalis",G18,0)</f>
        <v>0</v>
      </c>
      <c r="K18">
        <f>IF(F18="Culex pipiens",G18,0)</f>
        <v>3</v>
      </c>
    </row>
    <row r="19" spans="1:25">
      <c r="A19">
        <v>37</v>
      </c>
      <c r="B19" s="70">
        <v>44816</v>
      </c>
      <c r="C19" t="s">
        <v>248</v>
      </c>
      <c r="D19" t="s">
        <v>285</v>
      </c>
      <c r="E19" t="s">
        <v>216</v>
      </c>
      <c r="F19" t="s">
        <v>250</v>
      </c>
      <c r="G19">
        <v>0</v>
      </c>
      <c r="H19" t="s">
        <v>251</v>
      </c>
      <c r="I19" t="s">
        <v>286</v>
      </c>
      <c r="J19">
        <f>IF(F19="Culex tarsalis",G19,0)</f>
        <v>0</v>
      </c>
      <c r="K19">
        <f>IF(F19="Culex pipiens",G19,0)</f>
        <v>0</v>
      </c>
    </row>
    <row r="20" spans="1:25">
      <c r="A20">
        <v>37</v>
      </c>
      <c r="B20" s="70">
        <v>44816</v>
      </c>
      <c r="C20" t="s">
        <v>248</v>
      </c>
      <c r="D20" t="s">
        <v>287</v>
      </c>
      <c r="E20" t="s">
        <v>216</v>
      </c>
      <c r="F20" t="s">
        <v>250</v>
      </c>
      <c r="G20">
        <v>0</v>
      </c>
      <c r="H20" t="s">
        <v>251</v>
      </c>
      <c r="I20" t="s">
        <v>288</v>
      </c>
      <c r="J20">
        <f>IF(F20="Culex tarsalis",G20,0)</f>
        <v>0</v>
      </c>
      <c r="K20">
        <f>IF(F20="Culex pipiens",G20,0)</f>
        <v>0</v>
      </c>
    </row>
    <row r="21" spans="1:25">
      <c r="A21">
        <v>37</v>
      </c>
      <c r="B21" s="70">
        <v>44816</v>
      </c>
      <c r="C21" t="s">
        <v>248</v>
      </c>
      <c r="D21" t="s">
        <v>249</v>
      </c>
      <c r="E21" t="s">
        <v>216</v>
      </c>
      <c r="F21" t="s">
        <v>289</v>
      </c>
      <c r="G21">
        <v>1</v>
      </c>
      <c r="H21" t="s">
        <v>251</v>
      </c>
      <c r="I21" t="s">
        <v>252</v>
      </c>
      <c r="J21">
        <f>IF(F21="Culex tarsalis",G21,0)</f>
        <v>1</v>
      </c>
      <c r="K21">
        <f>IF(F21="Culex pipiens",G21,0)</f>
        <v>0</v>
      </c>
    </row>
    <row r="22" spans="1:25">
      <c r="A22">
        <v>37</v>
      </c>
      <c r="B22" s="70">
        <v>44816</v>
      </c>
      <c r="C22" t="s">
        <v>248</v>
      </c>
      <c r="D22" t="s">
        <v>253</v>
      </c>
      <c r="E22" t="s">
        <v>216</v>
      </c>
      <c r="F22" t="s">
        <v>289</v>
      </c>
      <c r="G22">
        <v>2</v>
      </c>
      <c r="H22" t="s">
        <v>251</v>
      </c>
      <c r="I22" t="s">
        <v>254</v>
      </c>
      <c r="J22">
        <f>IF(F22="Culex tarsalis",G22,0)</f>
        <v>2</v>
      </c>
      <c r="K22">
        <f>IF(F22="Culex pipiens",G22,0)</f>
        <v>0</v>
      </c>
    </row>
    <row r="23" spans="1:25">
      <c r="A23">
        <v>37</v>
      </c>
      <c r="B23" s="70">
        <v>44816</v>
      </c>
      <c r="C23" t="s">
        <v>248</v>
      </c>
      <c r="D23" t="s">
        <v>255</v>
      </c>
      <c r="E23" t="s">
        <v>216</v>
      </c>
      <c r="F23" t="s">
        <v>289</v>
      </c>
      <c r="G23">
        <v>0</v>
      </c>
      <c r="H23" t="s">
        <v>251</v>
      </c>
      <c r="I23" t="s">
        <v>256</v>
      </c>
      <c r="J23">
        <f>IF(F23="Culex tarsalis",G23,0)</f>
        <v>0</v>
      </c>
      <c r="K23">
        <f>IF(F23="Culex pipiens",G23,0)</f>
        <v>0</v>
      </c>
    </row>
    <row r="24" spans="1:25">
      <c r="A24">
        <v>37</v>
      </c>
      <c r="B24" s="70">
        <v>44816</v>
      </c>
      <c r="C24" t="s">
        <v>248</v>
      </c>
      <c r="D24" t="s">
        <v>257</v>
      </c>
      <c r="E24" t="s">
        <v>216</v>
      </c>
      <c r="F24" t="s">
        <v>289</v>
      </c>
      <c r="G24">
        <v>6</v>
      </c>
      <c r="H24" t="s">
        <v>251</v>
      </c>
      <c r="I24" t="s">
        <v>258</v>
      </c>
      <c r="J24">
        <f>IF(F24="Culex tarsalis",G24,0)</f>
        <v>6</v>
      </c>
      <c r="K24">
        <f>IF(F24="Culex pipiens",G24,0)</f>
        <v>0</v>
      </c>
    </row>
    <row r="25" spans="1:25">
      <c r="A25">
        <v>37</v>
      </c>
      <c r="B25" s="70">
        <v>44816</v>
      </c>
      <c r="C25" t="s">
        <v>248</v>
      </c>
      <c r="D25" t="s">
        <v>259</v>
      </c>
      <c r="E25" t="s">
        <v>216</v>
      </c>
      <c r="F25" t="s">
        <v>289</v>
      </c>
      <c r="G25">
        <v>1</v>
      </c>
      <c r="H25" t="s">
        <v>251</v>
      </c>
      <c r="I25" t="s">
        <v>260</v>
      </c>
      <c r="J25">
        <f>IF(F25="Culex tarsalis",G25,0)</f>
        <v>1</v>
      </c>
      <c r="K25">
        <f>IF(F25="Culex pipiens",G25,0)</f>
        <v>0</v>
      </c>
    </row>
    <row r="26" spans="1:25">
      <c r="A26">
        <v>37</v>
      </c>
      <c r="B26" s="70">
        <v>44816</v>
      </c>
      <c r="C26" t="s">
        <v>248</v>
      </c>
      <c r="D26" t="s">
        <v>261</v>
      </c>
      <c r="E26" t="s">
        <v>216</v>
      </c>
      <c r="F26" t="s">
        <v>289</v>
      </c>
      <c r="G26">
        <v>0</v>
      </c>
      <c r="H26" t="s">
        <v>251</v>
      </c>
      <c r="I26" t="s">
        <v>262</v>
      </c>
      <c r="J26">
        <f>IF(F26="Culex tarsalis",G26,0)</f>
        <v>0</v>
      </c>
      <c r="K26">
        <f>IF(F26="Culex pipiens",G26,0)</f>
        <v>0</v>
      </c>
      <c r="Y26" s="52"/>
    </row>
    <row r="27" spans="1:25">
      <c r="A27">
        <v>37</v>
      </c>
      <c r="B27" s="70">
        <v>44816</v>
      </c>
      <c r="C27" t="s">
        <v>248</v>
      </c>
      <c r="D27" t="s">
        <v>263</v>
      </c>
      <c r="E27" t="s">
        <v>216</v>
      </c>
      <c r="F27" t="s">
        <v>289</v>
      </c>
      <c r="G27">
        <v>2</v>
      </c>
      <c r="H27" t="s">
        <v>251</v>
      </c>
      <c r="I27" t="s">
        <v>264</v>
      </c>
      <c r="J27">
        <f>IF(F27="Culex tarsalis",G27,0)</f>
        <v>2</v>
      </c>
      <c r="K27">
        <f>IF(F27="Culex pipiens",G27,0)</f>
        <v>0</v>
      </c>
    </row>
    <row r="28" spans="1:25">
      <c r="A28">
        <v>37</v>
      </c>
      <c r="B28" s="70">
        <v>44816</v>
      </c>
      <c r="C28" t="s">
        <v>248</v>
      </c>
      <c r="D28" t="s">
        <v>265</v>
      </c>
      <c r="E28" t="s">
        <v>216</v>
      </c>
      <c r="F28" t="s">
        <v>289</v>
      </c>
      <c r="G28">
        <v>1</v>
      </c>
      <c r="H28" t="s">
        <v>251</v>
      </c>
      <c r="I28" t="s">
        <v>266</v>
      </c>
      <c r="J28">
        <f>IF(F28="Culex tarsalis",G28,0)</f>
        <v>1</v>
      </c>
      <c r="K28">
        <f>IF(F28="Culex pipiens",G28,0)</f>
        <v>0</v>
      </c>
    </row>
    <row r="29" spans="1:25">
      <c r="A29">
        <v>37</v>
      </c>
      <c r="B29" s="70">
        <v>44816</v>
      </c>
      <c r="C29" t="s">
        <v>248</v>
      </c>
      <c r="D29" t="s">
        <v>267</v>
      </c>
      <c r="E29" t="s">
        <v>216</v>
      </c>
      <c r="F29" t="s">
        <v>289</v>
      </c>
      <c r="G29">
        <v>1</v>
      </c>
      <c r="H29" t="s">
        <v>251</v>
      </c>
      <c r="I29" t="s">
        <v>268</v>
      </c>
      <c r="J29">
        <f>IF(F29="Culex tarsalis",G29,0)</f>
        <v>1</v>
      </c>
      <c r="K29">
        <f>IF(F29="Culex pipiens",G29,0)</f>
        <v>0</v>
      </c>
    </row>
    <row r="30" spans="1:25">
      <c r="A30">
        <v>37</v>
      </c>
      <c r="B30" s="70">
        <v>44816</v>
      </c>
      <c r="C30" t="s">
        <v>248</v>
      </c>
      <c r="D30" t="s">
        <v>269</v>
      </c>
      <c r="E30" t="s">
        <v>216</v>
      </c>
      <c r="F30" t="s">
        <v>289</v>
      </c>
      <c r="G30">
        <v>3</v>
      </c>
      <c r="H30" t="s">
        <v>251</v>
      </c>
      <c r="I30" t="s">
        <v>270</v>
      </c>
      <c r="J30">
        <f>IF(F30="Culex tarsalis",G30,0)</f>
        <v>3</v>
      </c>
      <c r="K30">
        <f>IF(F30="Culex pipiens",G30,0)</f>
        <v>0</v>
      </c>
    </row>
    <row r="31" spans="1:25">
      <c r="A31">
        <v>37</v>
      </c>
      <c r="B31" s="70">
        <v>44816</v>
      </c>
      <c r="C31" t="s">
        <v>248</v>
      </c>
      <c r="D31" t="s">
        <v>271</v>
      </c>
      <c r="E31" t="s">
        <v>216</v>
      </c>
      <c r="F31" t="s">
        <v>289</v>
      </c>
      <c r="G31">
        <v>3</v>
      </c>
      <c r="H31" t="s">
        <v>251</v>
      </c>
      <c r="I31" t="s">
        <v>272</v>
      </c>
      <c r="J31">
        <f>IF(F31="Culex tarsalis",G31,0)</f>
        <v>3</v>
      </c>
      <c r="K31">
        <f>IF(F31="Culex pipiens",G31,0)</f>
        <v>0</v>
      </c>
    </row>
    <row r="32" spans="1:25">
      <c r="A32">
        <v>37</v>
      </c>
      <c r="B32" s="70">
        <v>44816</v>
      </c>
      <c r="C32" t="s">
        <v>248</v>
      </c>
      <c r="D32" t="s">
        <v>273</v>
      </c>
      <c r="E32" t="s">
        <v>216</v>
      </c>
      <c r="F32" t="s">
        <v>289</v>
      </c>
      <c r="G32">
        <v>1</v>
      </c>
      <c r="H32" t="s">
        <v>251</v>
      </c>
      <c r="I32" t="s">
        <v>274</v>
      </c>
      <c r="J32">
        <f>IF(F32="Culex tarsalis",G32,0)</f>
        <v>1</v>
      </c>
      <c r="K32">
        <f>IF(F32="Culex pipiens",G32,0)</f>
        <v>0</v>
      </c>
    </row>
    <row r="33" spans="1:11">
      <c r="A33">
        <v>37</v>
      </c>
      <c r="B33" s="70">
        <v>44816</v>
      </c>
      <c r="C33" t="s">
        <v>248</v>
      </c>
      <c r="D33" t="s">
        <v>275</v>
      </c>
      <c r="E33" t="s">
        <v>216</v>
      </c>
      <c r="F33" t="s">
        <v>289</v>
      </c>
      <c r="G33">
        <v>0</v>
      </c>
      <c r="H33" t="s">
        <v>251</v>
      </c>
      <c r="I33" t="s">
        <v>276</v>
      </c>
      <c r="J33">
        <f>IF(F33="Culex tarsalis",G33,0)</f>
        <v>0</v>
      </c>
      <c r="K33">
        <f>IF(F33="Culex pipiens",G33,0)</f>
        <v>0</v>
      </c>
    </row>
    <row r="34" spans="1:11">
      <c r="A34">
        <v>37</v>
      </c>
      <c r="B34" s="70">
        <v>44816</v>
      </c>
      <c r="C34" t="s">
        <v>248</v>
      </c>
      <c r="D34" t="s">
        <v>277</v>
      </c>
      <c r="E34" t="s">
        <v>216</v>
      </c>
      <c r="F34" t="s">
        <v>289</v>
      </c>
      <c r="G34">
        <v>5</v>
      </c>
      <c r="H34" t="s">
        <v>251</v>
      </c>
      <c r="I34" t="s">
        <v>278</v>
      </c>
      <c r="J34">
        <f>IF(F34="Culex tarsalis",G34,0)</f>
        <v>5</v>
      </c>
      <c r="K34">
        <f>IF(F34="Culex pipiens",G34,0)</f>
        <v>0</v>
      </c>
    </row>
    <row r="35" spans="1:11">
      <c r="A35">
        <v>37</v>
      </c>
      <c r="B35" s="70">
        <v>44816</v>
      </c>
      <c r="C35" t="s">
        <v>248</v>
      </c>
      <c r="D35" t="s">
        <v>279</v>
      </c>
      <c r="E35" t="s">
        <v>216</v>
      </c>
      <c r="F35" t="s">
        <v>289</v>
      </c>
      <c r="G35">
        <v>0</v>
      </c>
      <c r="H35" t="s">
        <v>251</v>
      </c>
      <c r="I35" t="s">
        <v>280</v>
      </c>
      <c r="J35">
        <f>IF(F35="Culex tarsalis",G35,0)</f>
        <v>0</v>
      </c>
      <c r="K35">
        <f>IF(F35="Culex pipiens",G35,0)</f>
        <v>0</v>
      </c>
    </row>
    <row r="36" spans="1:11">
      <c r="A36">
        <v>37</v>
      </c>
      <c r="B36" s="70">
        <v>44816</v>
      </c>
      <c r="C36" t="s">
        <v>248</v>
      </c>
      <c r="D36" t="s">
        <v>281</v>
      </c>
      <c r="E36" t="s">
        <v>216</v>
      </c>
      <c r="F36" t="s">
        <v>289</v>
      </c>
      <c r="G36">
        <v>2</v>
      </c>
      <c r="H36" t="s">
        <v>251</v>
      </c>
      <c r="I36" t="s">
        <v>282</v>
      </c>
      <c r="J36">
        <f>IF(F36="Culex tarsalis",G36,0)</f>
        <v>2</v>
      </c>
      <c r="K36">
        <f>IF(F36="Culex pipiens",G36,0)</f>
        <v>0</v>
      </c>
    </row>
    <row r="37" spans="1:11">
      <c r="A37">
        <v>37</v>
      </c>
      <c r="B37" s="70">
        <v>44816</v>
      </c>
      <c r="C37" t="s">
        <v>248</v>
      </c>
      <c r="D37" t="s">
        <v>283</v>
      </c>
      <c r="E37" t="s">
        <v>216</v>
      </c>
      <c r="F37" t="s">
        <v>289</v>
      </c>
      <c r="G37">
        <v>2</v>
      </c>
      <c r="H37" t="s">
        <v>251</v>
      </c>
      <c r="I37" t="s">
        <v>284</v>
      </c>
      <c r="J37">
        <f>IF(F37="Culex tarsalis",G37,0)</f>
        <v>2</v>
      </c>
      <c r="K37">
        <f>IF(F37="Culex pipiens",G37,0)</f>
        <v>0</v>
      </c>
    </row>
    <row r="38" spans="1:11">
      <c r="A38">
        <v>37</v>
      </c>
      <c r="B38" s="70">
        <v>44816</v>
      </c>
      <c r="C38" t="s">
        <v>248</v>
      </c>
      <c r="D38" t="s">
        <v>285</v>
      </c>
      <c r="E38" t="s">
        <v>216</v>
      </c>
      <c r="F38" t="s">
        <v>289</v>
      </c>
      <c r="G38">
        <v>0</v>
      </c>
      <c r="H38" t="s">
        <v>251</v>
      </c>
      <c r="I38" t="s">
        <v>286</v>
      </c>
      <c r="J38">
        <f>IF(F38="Culex tarsalis",G38,0)</f>
        <v>0</v>
      </c>
      <c r="K38">
        <f>IF(F38="Culex pipiens",G38,0)</f>
        <v>0</v>
      </c>
    </row>
    <row r="39" spans="1:11">
      <c r="A39">
        <v>37</v>
      </c>
      <c r="B39" s="70">
        <v>44816</v>
      </c>
      <c r="C39" t="s">
        <v>248</v>
      </c>
      <c r="D39" t="s">
        <v>287</v>
      </c>
      <c r="E39" t="s">
        <v>216</v>
      </c>
      <c r="F39" t="s">
        <v>289</v>
      </c>
      <c r="G39">
        <v>1</v>
      </c>
      <c r="H39" t="s">
        <v>251</v>
      </c>
      <c r="I39" t="s">
        <v>288</v>
      </c>
      <c r="J39">
        <f>IF(F39="Culex tarsalis",G39,0)</f>
        <v>1</v>
      </c>
      <c r="K39">
        <f>IF(F39="Culex pipiens",G39,0)</f>
        <v>0</v>
      </c>
    </row>
    <row r="40" spans="1:11">
      <c r="A40">
        <v>37</v>
      </c>
      <c r="B40" s="70">
        <v>44816</v>
      </c>
      <c r="C40" t="s">
        <v>290</v>
      </c>
      <c r="D40" t="s">
        <v>291</v>
      </c>
      <c r="E40" t="s">
        <v>91</v>
      </c>
      <c r="F40" t="s">
        <v>250</v>
      </c>
      <c r="G40">
        <v>10</v>
      </c>
      <c r="H40" t="s">
        <v>251</v>
      </c>
      <c r="I40" t="s">
        <v>96</v>
      </c>
      <c r="J40">
        <f>IF(F40="Culex tarsalis",G40,0)</f>
        <v>0</v>
      </c>
      <c r="K40">
        <f>IF(F40="Culex pipiens",G40,0)</f>
        <v>10</v>
      </c>
    </row>
    <row r="41" spans="1:11">
      <c r="A41">
        <v>37</v>
      </c>
      <c r="B41" s="70">
        <v>44816</v>
      </c>
      <c r="C41" t="s">
        <v>290</v>
      </c>
      <c r="D41" t="s">
        <v>291</v>
      </c>
      <c r="E41" t="s">
        <v>91</v>
      </c>
      <c r="F41" t="s">
        <v>289</v>
      </c>
      <c r="G41">
        <v>2</v>
      </c>
      <c r="H41" t="s">
        <v>251</v>
      </c>
      <c r="I41" t="s">
        <v>96</v>
      </c>
      <c r="J41">
        <f>IF(F41="Culex tarsalis",G41,0)</f>
        <v>2</v>
      </c>
      <c r="K41">
        <f>IF(F41="Culex pipiens",G41,0)</f>
        <v>0</v>
      </c>
    </row>
    <row r="42" spans="1:11">
      <c r="A42">
        <v>37</v>
      </c>
      <c r="B42" s="70">
        <v>44816</v>
      </c>
      <c r="C42" t="s">
        <v>290</v>
      </c>
      <c r="D42" t="s">
        <v>292</v>
      </c>
      <c r="E42" t="s">
        <v>35</v>
      </c>
      <c r="F42" t="s">
        <v>289</v>
      </c>
      <c r="G42">
        <v>4</v>
      </c>
      <c r="H42" t="s">
        <v>251</v>
      </c>
      <c r="I42" t="s">
        <v>61</v>
      </c>
      <c r="J42">
        <f>IF(F42="Culex tarsalis",G42,0)</f>
        <v>4</v>
      </c>
      <c r="K42">
        <f>IF(F42="Culex pipiens",G42,0)</f>
        <v>0</v>
      </c>
    </row>
    <row r="43" spans="1:11">
      <c r="A43">
        <v>37</v>
      </c>
      <c r="B43" s="70">
        <v>44816</v>
      </c>
      <c r="C43" t="s">
        <v>290</v>
      </c>
      <c r="D43" t="s">
        <v>292</v>
      </c>
      <c r="E43" t="s">
        <v>35</v>
      </c>
      <c r="F43" t="s">
        <v>250</v>
      </c>
      <c r="G43">
        <v>90</v>
      </c>
      <c r="H43" t="s">
        <v>251</v>
      </c>
      <c r="I43" t="s">
        <v>61</v>
      </c>
      <c r="J43">
        <f>IF(F43="Culex tarsalis",G43,0)</f>
        <v>0</v>
      </c>
      <c r="K43">
        <f>IF(F43="Culex pipiens",G43,0)</f>
        <v>90</v>
      </c>
    </row>
    <row r="44" spans="1:11">
      <c r="A44">
        <v>37</v>
      </c>
      <c r="B44" s="70">
        <v>44817</v>
      </c>
      <c r="C44" t="s">
        <v>290</v>
      </c>
      <c r="D44" t="s">
        <v>293</v>
      </c>
      <c r="E44" t="s">
        <v>123</v>
      </c>
      <c r="F44" t="s">
        <v>289</v>
      </c>
      <c r="G44">
        <v>1</v>
      </c>
      <c r="H44" t="s">
        <v>251</v>
      </c>
      <c r="I44" t="s">
        <v>141</v>
      </c>
      <c r="J44">
        <f>IF(F44="Culex tarsalis",G44,0)</f>
        <v>1</v>
      </c>
      <c r="K44">
        <f>IF(F44="Culex pipiens",G44,0)</f>
        <v>0</v>
      </c>
    </row>
    <row r="45" spans="1:11">
      <c r="A45">
        <v>37</v>
      </c>
      <c r="B45" s="70">
        <v>44817</v>
      </c>
      <c r="C45" t="s">
        <v>290</v>
      </c>
      <c r="D45" t="s">
        <v>293</v>
      </c>
      <c r="E45" t="s">
        <v>123</v>
      </c>
      <c r="F45" t="s">
        <v>250</v>
      </c>
      <c r="G45">
        <v>8</v>
      </c>
      <c r="H45" t="s">
        <v>251</v>
      </c>
      <c r="I45" t="s">
        <v>141</v>
      </c>
      <c r="J45">
        <f>IF(F45="Culex tarsalis",G45,0)</f>
        <v>0</v>
      </c>
      <c r="K45">
        <f>IF(F45="Culex pipiens",G45,0)</f>
        <v>8</v>
      </c>
    </row>
    <row r="46" spans="1:11">
      <c r="A46">
        <v>37</v>
      </c>
      <c r="B46" s="70">
        <v>44817</v>
      </c>
      <c r="C46" t="s">
        <v>290</v>
      </c>
      <c r="D46" t="s">
        <v>294</v>
      </c>
      <c r="E46" t="s">
        <v>138</v>
      </c>
      <c r="F46" t="s">
        <v>250</v>
      </c>
      <c r="G46">
        <v>11</v>
      </c>
      <c r="H46" t="s">
        <v>251</v>
      </c>
      <c r="I46" t="s">
        <v>210</v>
      </c>
      <c r="J46">
        <f>IF(F46="Culex tarsalis",G46,0)</f>
        <v>0</v>
      </c>
      <c r="K46">
        <f>IF(F46="Culex pipiens",G46,0)</f>
        <v>11</v>
      </c>
    </row>
    <row r="47" spans="1:11">
      <c r="A47">
        <v>37</v>
      </c>
      <c r="B47" s="70">
        <v>44817</v>
      </c>
      <c r="C47" t="s">
        <v>290</v>
      </c>
      <c r="D47" t="s">
        <v>294</v>
      </c>
      <c r="E47" t="s">
        <v>138</v>
      </c>
      <c r="F47" t="s">
        <v>289</v>
      </c>
      <c r="G47">
        <v>1</v>
      </c>
      <c r="H47" t="s">
        <v>251</v>
      </c>
      <c r="I47" t="s">
        <v>210</v>
      </c>
      <c r="J47">
        <f>IF(F47="Culex tarsalis",G47,0)</f>
        <v>1</v>
      </c>
      <c r="K47">
        <f>IF(F47="Culex pipiens",G47,0)</f>
        <v>0</v>
      </c>
    </row>
    <row r="48" spans="1:11">
      <c r="A48">
        <v>37</v>
      </c>
      <c r="B48" s="70">
        <v>44817</v>
      </c>
      <c r="C48" t="s">
        <v>290</v>
      </c>
      <c r="D48" t="s">
        <v>295</v>
      </c>
      <c r="E48" t="s">
        <v>123</v>
      </c>
      <c r="F48" t="s">
        <v>289</v>
      </c>
      <c r="G48">
        <v>9</v>
      </c>
      <c r="H48" t="s">
        <v>251</v>
      </c>
      <c r="I48" t="s">
        <v>176</v>
      </c>
      <c r="J48">
        <f>IF(F48="Culex tarsalis",G48,0)</f>
        <v>9</v>
      </c>
      <c r="K48">
        <f>IF(F48="Culex pipiens",G48,0)</f>
        <v>0</v>
      </c>
    </row>
    <row r="49" spans="1:11">
      <c r="A49">
        <v>37</v>
      </c>
      <c r="B49" s="70">
        <v>44817</v>
      </c>
      <c r="C49" t="s">
        <v>290</v>
      </c>
      <c r="D49" t="s">
        <v>295</v>
      </c>
      <c r="E49" t="s">
        <v>123</v>
      </c>
      <c r="F49" t="s">
        <v>250</v>
      </c>
      <c r="G49">
        <v>496</v>
      </c>
      <c r="H49" t="s">
        <v>251</v>
      </c>
      <c r="I49" t="s">
        <v>176</v>
      </c>
      <c r="J49">
        <f>IF(F49="Culex tarsalis",G49,0)</f>
        <v>0</v>
      </c>
      <c r="K49">
        <f>IF(F49="Culex pipiens",G49,0)</f>
        <v>496</v>
      </c>
    </row>
    <row r="50" spans="1:11">
      <c r="A50">
        <v>37</v>
      </c>
      <c r="B50" s="70">
        <v>44817</v>
      </c>
      <c r="C50" t="s">
        <v>290</v>
      </c>
      <c r="D50" t="s">
        <v>296</v>
      </c>
      <c r="E50" t="s">
        <v>138</v>
      </c>
      <c r="F50" t="s">
        <v>250</v>
      </c>
      <c r="G50">
        <v>1</v>
      </c>
      <c r="H50" t="s">
        <v>251</v>
      </c>
      <c r="I50" t="s">
        <v>207</v>
      </c>
      <c r="J50">
        <f>IF(F50="Culex tarsalis",G50,0)</f>
        <v>0</v>
      </c>
      <c r="K50">
        <f>IF(F50="Culex pipiens",G50,0)</f>
        <v>1</v>
      </c>
    </row>
    <row r="51" spans="1:11">
      <c r="A51">
        <v>37</v>
      </c>
      <c r="B51" s="70">
        <v>44817</v>
      </c>
      <c r="C51" t="s">
        <v>290</v>
      </c>
      <c r="D51" t="s">
        <v>296</v>
      </c>
      <c r="E51" t="s">
        <v>138</v>
      </c>
      <c r="F51" t="s">
        <v>289</v>
      </c>
      <c r="G51">
        <v>5</v>
      </c>
      <c r="H51" t="s">
        <v>251</v>
      </c>
      <c r="I51" t="s">
        <v>207</v>
      </c>
      <c r="J51">
        <f>IF(F51="Culex tarsalis",G51,0)</f>
        <v>5</v>
      </c>
      <c r="K51">
        <f>IF(F51="Culex pipiens",G51,0)</f>
        <v>0</v>
      </c>
    </row>
    <row r="52" spans="1:11">
      <c r="A52">
        <v>37</v>
      </c>
      <c r="B52" s="70">
        <v>44817</v>
      </c>
      <c r="C52" t="s">
        <v>290</v>
      </c>
      <c r="D52" t="s">
        <v>297</v>
      </c>
      <c r="E52" t="s">
        <v>123</v>
      </c>
      <c r="F52" t="s">
        <v>250</v>
      </c>
      <c r="G52">
        <v>43</v>
      </c>
      <c r="H52" t="s">
        <v>251</v>
      </c>
      <c r="I52" t="s">
        <v>155</v>
      </c>
      <c r="J52">
        <f>IF(F52="Culex tarsalis",G52,0)</f>
        <v>0</v>
      </c>
      <c r="K52">
        <f>IF(F52="Culex pipiens",G52,0)</f>
        <v>43</v>
      </c>
    </row>
    <row r="53" spans="1:11">
      <c r="A53">
        <v>37</v>
      </c>
      <c r="B53" s="70">
        <v>44817</v>
      </c>
      <c r="C53" t="s">
        <v>290</v>
      </c>
      <c r="D53" t="s">
        <v>297</v>
      </c>
      <c r="E53" t="s">
        <v>123</v>
      </c>
      <c r="F53" t="s">
        <v>289</v>
      </c>
      <c r="G53">
        <v>3</v>
      </c>
      <c r="H53" t="s">
        <v>251</v>
      </c>
      <c r="I53" t="s">
        <v>155</v>
      </c>
      <c r="J53">
        <f>IF(F53="Culex tarsalis",G53,0)</f>
        <v>3</v>
      </c>
      <c r="K53">
        <f>IF(F53="Culex pipiens",G53,0)</f>
        <v>0</v>
      </c>
    </row>
    <row r="54" spans="1:11">
      <c r="A54">
        <v>37</v>
      </c>
      <c r="B54" s="85">
        <v>44816</v>
      </c>
      <c r="C54" t="s">
        <v>290</v>
      </c>
      <c r="D54" t="s">
        <v>298</v>
      </c>
      <c r="E54" t="s">
        <v>35</v>
      </c>
      <c r="F54" t="s">
        <v>250</v>
      </c>
      <c r="G54">
        <v>11</v>
      </c>
      <c r="H54" t="s">
        <v>251</v>
      </c>
      <c r="I54" t="s">
        <v>69</v>
      </c>
      <c r="J54">
        <f>IF(F54="Culex tarsalis",G54,0)</f>
        <v>0</v>
      </c>
      <c r="K54">
        <f>IF(F54="Culex pipiens",G54,0)</f>
        <v>11</v>
      </c>
    </row>
    <row r="55" spans="1:11">
      <c r="A55">
        <v>37</v>
      </c>
      <c r="B55" s="85">
        <v>44816</v>
      </c>
      <c r="C55" t="s">
        <v>290</v>
      </c>
      <c r="D55" t="s">
        <v>298</v>
      </c>
      <c r="E55" t="s">
        <v>35</v>
      </c>
      <c r="F55" t="s">
        <v>289</v>
      </c>
      <c r="G55">
        <v>2</v>
      </c>
      <c r="H55" t="s">
        <v>251</v>
      </c>
      <c r="I55" t="s">
        <v>69</v>
      </c>
      <c r="J55">
        <f>IF(F55="Culex tarsalis",G55,0)</f>
        <v>2</v>
      </c>
      <c r="K55">
        <f>IF(F55="Culex pipiens",G55,0)</f>
        <v>0</v>
      </c>
    </row>
    <row r="56" spans="1:11">
      <c r="A56">
        <v>37</v>
      </c>
      <c r="B56" s="85">
        <v>44816</v>
      </c>
      <c r="C56" t="s">
        <v>290</v>
      </c>
      <c r="D56" t="s">
        <v>299</v>
      </c>
      <c r="E56" t="s">
        <v>35</v>
      </c>
      <c r="F56" t="s">
        <v>289</v>
      </c>
      <c r="G56">
        <v>3</v>
      </c>
      <c r="H56" t="s">
        <v>251</v>
      </c>
      <c r="I56" t="s">
        <v>65</v>
      </c>
      <c r="J56">
        <f>IF(F56="Culex tarsalis",G56,0)</f>
        <v>3</v>
      </c>
      <c r="K56">
        <f>IF(F56="Culex pipiens",G56,0)</f>
        <v>0</v>
      </c>
    </row>
    <row r="57" spans="1:11">
      <c r="A57">
        <v>37</v>
      </c>
      <c r="B57" s="85">
        <v>44816</v>
      </c>
      <c r="C57" t="s">
        <v>290</v>
      </c>
      <c r="D57" t="s">
        <v>299</v>
      </c>
      <c r="E57" t="s">
        <v>35</v>
      </c>
      <c r="F57" t="s">
        <v>250</v>
      </c>
      <c r="G57">
        <v>73</v>
      </c>
      <c r="H57" t="s">
        <v>251</v>
      </c>
      <c r="I57" t="s">
        <v>65</v>
      </c>
      <c r="J57">
        <f>IF(F57="Culex tarsalis",G57,0)</f>
        <v>0</v>
      </c>
      <c r="K57">
        <f>IF(F57="Culex pipiens",G57,0)</f>
        <v>73</v>
      </c>
    </row>
    <row r="58" spans="1:11">
      <c r="A58">
        <v>37</v>
      </c>
      <c r="B58" s="85">
        <v>44816</v>
      </c>
      <c r="C58" t="s">
        <v>290</v>
      </c>
      <c r="D58" t="s">
        <v>300</v>
      </c>
      <c r="E58" t="s">
        <v>35</v>
      </c>
      <c r="F58" t="s">
        <v>250</v>
      </c>
      <c r="G58">
        <v>3</v>
      </c>
      <c r="H58" t="s">
        <v>251</v>
      </c>
      <c r="I58" t="s">
        <v>106</v>
      </c>
      <c r="J58">
        <f>IF(F58="Culex tarsalis",G58,0)</f>
        <v>0</v>
      </c>
      <c r="K58">
        <f>IF(F58="Culex pipiens",G58,0)</f>
        <v>3</v>
      </c>
    </row>
    <row r="59" spans="1:11">
      <c r="A59">
        <v>37</v>
      </c>
      <c r="B59" s="85">
        <v>44816</v>
      </c>
      <c r="C59" t="s">
        <v>290</v>
      </c>
      <c r="D59" t="s">
        <v>300</v>
      </c>
      <c r="E59" t="s">
        <v>35</v>
      </c>
      <c r="F59" t="s">
        <v>289</v>
      </c>
      <c r="G59">
        <v>3</v>
      </c>
      <c r="H59" t="s">
        <v>251</v>
      </c>
      <c r="I59" t="s">
        <v>106</v>
      </c>
      <c r="J59">
        <f>IF(F59="Culex tarsalis",G59,0)</f>
        <v>3</v>
      </c>
      <c r="K59">
        <f>IF(F59="Culex pipiens",G59,0)</f>
        <v>0</v>
      </c>
    </row>
    <row r="60" spans="1:11">
      <c r="A60">
        <v>37</v>
      </c>
      <c r="B60" s="85">
        <v>44816</v>
      </c>
      <c r="C60" t="s">
        <v>290</v>
      </c>
      <c r="D60" t="s">
        <v>301</v>
      </c>
      <c r="E60" t="s">
        <v>35</v>
      </c>
      <c r="F60" t="s">
        <v>250</v>
      </c>
      <c r="G60">
        <v>1</v>
      </c>
      <c r="H60" t="s">
        <v>251</v>
      </c>
      <c r="I60" t="s">
        <v>85</v>
      </c>
      <c r="J60">
        <f>IF(F60="Culex tarsalis",G60,0)</f>
        <v>0</v>
      </c>
      <c r="K60">
        <f>IF(F60="Culex pipiens",G60,0)</f>
        <v>1</v>
      </c>
    </row>
    <row r="61" spans="1:11">
      <c r="A61">
        <v>37</v>
      </c>
      <c r="B61" s="85">
        <v>44817</v>
      </c>
      <c r="C61" t="s">
        <v>290</v>
      </c>
      <c r="D61" t="s">
        <v>302</v>
      </c>
      <c r="E61" t="s">
        <v>123</v>
      </c>
      <c r="F61" t="s">
        <v>289</v>
      </c>
      <c r="G61">
        <v>7</v>
      </c>
      <c r="H61" t="s">
        <v>251</v>
      </c>
      <c r="I61" t="s">
        <v>128</v>
      </c>
      <c r="J61">
        <f>IF(F61="Culex tarsalis",G61,0)</f>
        <v>7</v>
      </c>
      <c r="K61">
        <f>IF(F61="Culex pipiens",G61,0)</f>
        <v>0</v>
      </c>
    </row>
    <row r="62" spans="1:11">
      <c r="A62">
        <v>37</v>
      </c>
      <c r="B62" s="85">
        <v>44817</v>
      </c>
      <c r="C62" t="s">
        <v>290</v>
      </c>
      <c r="D62" t="s">
        <v>303</v>
      </c>
      <c r="E62" t="s">
        <v>138</v>
      </c>
      <c r="F62" t="s">
        <v>250</v>
      </c>
      <c r="G62">
        <v>9</v>
      </c>
      <c r="H62" t="s">
        <v>251</v>
      </c>
      <c r="I62" t="s">
        <v>304</v>
      </c>
      <c r="J62">
        <f>IF(F62="Culex tarsalis",G62,0)</f>
        <v>0</v>
      </c>
      <c r="K62">
        <f>IF(F62="Culex pipiens",G62,0)</f>
        <v>9</v>
      </c>
    </row>
    <row r="63" spans="1:11">
      <c r="A63">
        <v>37</v>
      </c>
      <c r="B63" s="85">
        <v>44816</v>
      </c>
      <c r="C63" t="s">
        <v>290</v>
      </c>
      <c r="D63" t="s">
        <v>305</v>
      </c>
      <c r="E63" t="s">
        <v>91</v>
      </c>
      <c r="F63" t="s">
        <v>250</v>
      </c>
      <c r="G63">
        <v>4</v>
      </c>
      <c r="H63" t="s">
        <v>251</v>
      </c>
      <c r="I63" t="s">
        <v>119</v>
      </c>
      <c r="J63">
        <f>IF(F63="Culex tarsalis",G63,0)</f>
        <v>0</v>
      </c>
      <c r="K63">
        <f>IF(F63="Culex pipiens",G63,0)</f>
        <v>4</v>
      </c>
    </row>
    <row r="64" spans="1:11">
      <c r="A64">
        <v>37</v>
      </c>
      <c r="B64" s="85">
        <v>44816</v>
      </c>
      <c r="C64" t="s">
        <v>290</v>
      </c>
      <c r="D64" t="s">
        <v>305</v>
      </c>
      <c r="E64" t="s">
        <v>91</v>
      </c>
      <c r="F64" t="s">
        <v>289</v>
      </c>
      <c r="G64">
        <v>24</v>
      </c>
      <c r="H64" t="s">
        <v>251</v>
      </c>
      <c r="I64" t="s">
        <v>119</v>
      </c>
      <c r="J64">
        <f>IF(F64="Culex tarsalis",G64,0)</f>
        <v>24</v>
      </c>
      <c r="K64">
        <f>IF(F64="Culex pipiens",G64,0)</f>
        <v>0</v>
      </c>
    </row>
    <row r="65" spans="1:11">
      <c r="A65">
        <v>37</v>
      </c>
      <c r="B65" s="85">
        <v>44817</v>
      </c>
      <c r="C65" t="s">
        <v>290</v>
      </c>
      <c r="D65" t="s">
        <v>306</v>
      </c>
      <c r="E65" t="s">
        <v>123</v>
      </c>
      <c r="F65" t="s">
        <v>250</v>
      </c>
      <c r="G65">
        <v>30</v>
      </c>
      <c r="H65" t="s">
        <v>251</v>
      </c>
      <c r="I65" t="s">
        <v>122</v>
      </c>
      <c r="J65">
        <f>IF(F65="Culex tarsalis",G65,0)</f>
        <v>0</v>
      </c>
      <c r="K65">
        <f>IF(F65="Culex pipiens",G65,0)</f>
        <v>30</v>
      </c>
    </row>
    <row r="66" spans="1:11">
      <c r="A66">
        <v>37</v>
      </c>
      <c r="B66" s="85">
        <v>44817</v>
      </c>
      <c r="C66" t="s">
        <v>290</v>
      </c>
      <c r="D66" t="s">
        <v>306</v>
      </c>
      <c r="E66" t="s">
        <v>123</v>
      </c>
      <c r="F66" t="s">
        <v>289</v>
      </c>
      <c r="G66">
        <v>6</v>
      </c>
      <c r="H66" t="s">
        <v>251</v>
      </c>
      <c r="I66" t="s">
        <v>122</v>
      </c>
      <c r="J66">
        <f>IF(F66="Culex tarsalis",G66,0)</f>
        <v>6</v>
      </c>
      <c r="K66">
        <f>IF(F66="Culex pipiens",G66,0)</f>
        <v>0</v>
      </c>
    </row>
    <row r="67" spans="1:11">
      <c r="A67">
        <v>37</v>
      </c>
      <c r="B67" s="85">
        <v>44816</v>
      </c>
      <c r="C67" t="s">
        <v>290</v>
      </c>
      <c r="D67" t="s">
        <v>307</v>
      </c>
      <c r="E67" t="s">
        <v>35</v>
      </c>
      <c r="F67" t="s">
        <v>289</v>
      </c>
      <c r="G67">
        <v>2</v>
      </c>
      <c r="H67" t="s">
        <v>251</v>
      </c>
      <c r="I67" t="s">
        <v>34</v>
      </c>
      <c r="J67">
        <f>IF(F67="Culex tarsalis",G67,0)</f>
        <v>2</v>
      </c>
      <c r="K67">
        <f>IF(F67="Culex pipiens",G67,0)</f>
        <v>0</v>
      </c>
    </row>
    <row r="68" spans="1:11">
      <c r="A68">
        <v>37</v>
      </c>
      <c r="B68" s="85">
        <v>44816</v>
      </c>
      <c r="C68" t="s">
        <v>290</v>
      </c>
      <c r="D68" t="s">
        <v>307</v>
      </c>
      <c r="E68" t="s">
        <v>35</v>
      </c>
      <c r="F68" t="s">
        <v>250</v>
      </c>
      <c r="G68">
        <v>5</v>
      </c>
      <c r="H68" t="s">
        <v>251</v>
      </c>
      <c r="I68" t="s">
        <v>34</v>
      </c>
      <c r="J68">
        <f>IF(F68="Culex tarsalis",G68,0)</f>
        <v>0</v>
      </c>
      <c r="K68">
        <f>IF(F68="Culex pipiens",G68,0)</f>
        <v>5</v>
      </c>
    </row>
    <row r="69" spans="1:11">
      <c r="A69">
        <v>37</v>
      </c>
      <c r="B69" s="85">
        <v>44817</v>
      </c>
      <c r="C69" t="s">
        <v>290</v>
      </c>
      <c r="D69" t="s">
        <v>308</v>
      </c>
      <c r="E69" t="s">
        <v>123</v>
      </c>
      <c r="F69" t="s">
        <v>289</v>
      </c>
      <c r="G69">
        <v>2</v>
      </c>
      <c r="H69" t="s">
        <v>251</v>
      </c>
      <c r="I69" t="s">
        <v>133</v>
      </c>
      <c r="J69">
        <f>IF(F69="Culex tarsalis",G69,0)</f>
        <v>2</v>
      </c>
      <c r="K69">
        <f>IF(F69="Culex pipiens",G69,0)</f>
        <v>0</v>
      </c>
    </row>
    <row r="70" spans="1:11">
      <c r="A70">
        <v>37</v>
      </c>
      <c r="B70" s="85">
        <v>44817</v>
      </c>
      <c r="C70" t="s">
        <v>290</v>
      </c>
      <c r="D70" t="s">
        <v>308</v>
      </c>
      <c r="E70" t="s">
        <v>123</v>
      </c>
      <c r="F70" t="s">
        <v>250</v>
      </c>
      <c r="G70">
        <v>61</v>
      </c>
      <c r="H70" t="s">
        <v>251</v>
      </c>
      <c r="I70" t="s">
        <v>133</v>
      </c>
      <c r="J70">
        <f>IF(F70="Culex tarsalis",G70,0)</f>
        <v>0</v>
      </c>
      <c r="K70">
        <f>IF(F70="Culex pipiens",G70,0)</f>
        <v>61</v>
      </c>
    </row>
    <row r="71" spans="1:11">
      <c r="A71">
        <v>37</v>
      </c>
      <c r="B71" s="85">
        <v>44817</v>
      </c>
      <c r="C71" t="s">
        <v>290</v>
      </c>
      <c r="D71" t="s">
        <v>309</v>
      </c>
      <c r="E71" t="s">
        <v>138</v>
      </c>
      <c r="F71" t="s">
        <v>250</v>
      </c>
      <c r="G71">
        <v>4</v>
      </c>
      <c r="H71" t="s">
        <v>251</v>
      </c>
      <c r="I71" t="s">
        <v>200</v>
      </c>
      <c r="J71">
        <f>IF(F71="Culex tarsalis",G71,0)</f>
        <v>0</v>
      </c>
      <c r="K71">
        <f>IF(F71="Culex pipiens",G71,0)</f>
        <v>4</v>
      </c>
    </row>
    <row r="72" spans="1:11">
      <c r="A72">
        <v>37</v>
      </c>
      <c r="B72" s="85">
        <v>44817</v>
      </c>
      <c r="C72" t="s">
        <v>290</v>
      </c>
      <c r="D72" t="s">
        <v>309</v>
      </c>
      <c r="E72" t="s">
        <v>138</v>
      </c>
      <c r="F72" t="s">
        <v>289</v>
      </c>
      <c r="G72">
        <v>2</v>
      </c>
      <c r="H72" t="s">
        <v>251</v>
      </c>
      <c r="I72" t="s">
        <v>200</v>
      </c>
      <c r="J72">
        <f>IF(F72="Culex tarsalis",G72,0)</f>
        <v>2</v>
      </c>
      <c r="K72">
        <f>IF(F72="Culex pipiens",G72,0)</f>
        <v>0</v>
      </c>
    </row>
    <row r="73" spans="1:11">
      <c r="A73">
        <v>37</v>
      </c>
      <c r="B73" s="85">
        <v>44816</v>
      </c>
      <c r="C73" t="s">
        <v>290</v>
      </c>
      <c r="D73" t="s">
        <v>310</v>
      </c>
      <c r="E73" t="s">
        <v>35</v>
      </c>
      <c r="F73" t="s">
        <v>250</v>
      </c>
      <c r="G73">
        <v>13</v>
      </c>
      <c r="H73" t="s">
        <v>251</v>
      </c>
      <c r="I73" t="s">
        <v>80</v>
      </c>
      <c r="J73">
        <f>IF(F73="Culex tarsalis",G73,0)</f>
        <v>0</v>
      </c>
      <c r="K73">
        <f>IF(F73="Culex pipiens",G73,0)</f>
        <v>13</v>
      </c>
    </row>
    <row r="74" spans="1:11">
      <c r="A74">
        <v>37</v>
      </c>
      <c r="B74" s="85">
        <v>44816</v>
      </c>
      <c r="C74" t="s">
        <v>290</v>
      </c>
      <c r="D74" t="s">
        <v>310</v>
      </c>
      <c r="E74" t="s">
        <v>35</v>
      </c>
      <c r="F74" t="s">
        <v>289</v>
      </c>
      <c r="G74">
        <v>9</v>
      </c>
      <c r="H74" t="s">
        <v>251</v>
      </c>
      <c r="I74" t="s">
        <v>80</v>
      </c>
      <c r="J74">
        <f>IF(F74="Culex tarsalis",G74,0)</f>
        <v>9</v>
      </c>
      <c r="K74">
        <f>IF(F74="Culex pipiens",G74,0)</f>
        <v>0</v>
      </c>
    </row>
    <row r="75" spans="1:11">
      <c r="A75">
        <v>37</v>
      </c>
      <c r="B75" s="85">
        <v>44816</v>
      </c>
      <c r="C75" t="s">
        <v>290</v>
      </c>
      <c r="D75" t="s">
        <v>311</v>
      </c>
      <c r="E75" t="s">
        <v>35</v>
      </c>
      <c r="F75" t="s">
        <v>250</v>
      </c>
      <c r="G75">
        <v>2</v>
      </c>
      <c r="H75" t="s">
        <v>251</v>
      </c>
      <c r="I75" t="s">
        <v>87</v>
      </c>
      <c r="J75">
        <f>IF(F75="Culex tarsalis",G75,0)</f>
        <v>0</v>
      </c>
      <c r="K75">
        <f>IF(F75="Culex pipiens",G75,0)</f>
        <v>2</v>
      </c>
    </row>
    <row r="76" spans="1:11">
      <c r="A76">
        <v>37</v>
      </c>
      <c r="B76" s="85">
        <v>44816</v>
      </c>
      <c r="C76" t="s">
        <v>290</v>
      </c>
      <c r="D76" t="s">
        <v>311</v>
      </c>
      <c r="E76" t="s">
        <v>35</v>
      </c>
      <c r="F76" t="s">
        <v>289</v>
      </c>
      <c r="G76">
        <v>1</v>
      </c>
      <c r="H76" t="s">
        <v>251</v>
      </c>
      <c r="I76" t="s">
        <v>87</v>
      </c>
      <c r="J76">
        <f>IF(F76="Culex tarsalis",G76,0)</f>
        <v>1</v>
      </c>
      <c r="K76">
        <f>IF(F76="Culex pipiens",G76,0)</f>
        <v>0</v>
      </c>
    </row>
    <row r="77" spans="1:11">
      <c r="A77">
        <v>37</v>
      </c>
      <c r="B77" s="85">
        <v>44817</v>
      </c>
      <c r="C77" t="s">
        <v>290</v>
      </c>
      <c r="D77" t="s">
        <v>312</v>
      </c>
      <c r="E77" t="s">
        <v>91</v>
      </c>
      <c r="F77" t="s">
        <v>289</v>
      </c>
      <c r="G77">
        <v>2</v>
      </c>
      <c r="H77" t="s">
        <v>251</v>
      </c>
      <c r="I77" t="s">
        <v>213</v>
      </c>
      <c r="J77">
        <f>IF(F77="Culex tarsalis",G77,0)</f>
        <v>2</v>
      </c>
      <c r="K77">
        <f>IF(F77="Culex pipiens",G77,0)</f>
        <v>0</v>
      </c>
    </row>
    <row r="78" spans="1:11">
      <c r="A78">
        <v>37</v>
      </c>
      <c r="B78" s="85">
        <v>44816</v>
      </c>
      <c r="C78" t="s">
        <v>290</v>
      </c>
      <c r="D78" t="s">
        <v>313</v>
      </c>
      <c r="E78" t="s">
        <v>35</v>
      </c>
      <c r="F78" t="s">
        <v>289</v>
      </c>
      <c r="G78">
        <v>2</v>
      </c>
      <c r="H78" t="s">
        <v>251</v>
      </c>
      <c r="I78" t="s">
        <v>76</v>
      </c>
      <c r="J78">
        <f>IF(F78="Culex tarsalis",G78,0)</f>
        <v>2</v>
      </c>
      <c r="K78">
        <f>IF(F78="Culex pipiens",G78,0)</f>
        <v>0</v>
      </c>
    </row>
    <row r="79" spans="1:11">
      <c r="A79">
        <v>37</v>
      </c>
      <c r="B79" s="85">
        <v>44816</v>
      </c>
      <c r="C79" t="s">
        <v>290</v>
      </c>
      <c r="D79" t="s">
        <v>313</v>
      </c>
      <c r="E79" t="s">
        <v>35</v>
      </c>
      <c r="F79" t="s">
        <v>250</v>
      </c>
      <c r="G79">
        <v>93</v>
      </c>
      <c r="H79" t="s">
        <v>251</v>
      </c>
      <c r="I79" t="s">
        <v>76</v>
      </c>
      <c r="J79">
        <f>IF(F79="Culex tarsalis",G79,0)</f>
        <v>0</v>
      </c>
      <c r="K79">
        <f>IF(F79="Culex pipiens",G79,0)</f>
        <v>93</v>
      </c>
    </row>
    <row r="80" spans="1:11">
      <c r="A80">
        <v>37</v>
      </c>
      <c r="B80" s="85">
        <v>44817</v>
      </c>
      <c r="C80" t="s">
        <v>290</v>
      </c>
      <c r="D80" t="s">
        <v>314</v>
      </c>
      <c r="E80" t="s">
        <v>138</v>
      </c>
      <c r="F80" t="s">
        <v>250</v>
      </c>
      <c r="G80">
        <v>1</v>
      </c>
      <c r="H80" t="s">
        <v>251</v>
      </c>
      <c r="I80" t="s">
        <v>190</v>
      </c>
      <c r="J80">
        <f>IF(F80="Culex tarsalis",G80,0)</f>
        <v>0</v>
      </c>
      <c r="K80">
        <f>IF(F80="Culex pipiens",G80,0)</f>
        <v>1</v>
      </c>
    </row>
    <row r="81" spans="1:11">
      <c r="A81">
        <v>37</v>
      </c>
      <c r="B81" s="85">
        <v>44817</v>
      </c>
      <c r="C81" t="s">
        <v>290</v>
      </c>
      <c r="D81" t="s">
        <v>314</v>
      </c>
      <c r="E81" t="s">
        <v>138</v>
      </c>
      <c r="F81" t="s">
        <v>289</v>
      </c>
      <c r="G81">
        <v>1</v>
      </c>
      <c r="H81" t="s">
        <v>251</v>
      </c>
      <c r="I81" t="s">
        <v>190</v>
      </c>
      <c r="J81">
        <f>IF(F81="Culex tarsalis",G81,0)</f>
        <v>1</v>
      </c>
      <c r="K81">
        <f>IF(F81="Culex pipiens",G81,0)</f>
        <v>0</v>
      </c>
    </row>
    <row r="82" spans="1:11">
      <c r="A82">
        <v>37</v>
      </c>
      <c r="B82" s="85">
        <v>44816</v>
      </c>
      <c r="C82" t="s">
        <v>290</v>
      </c>
      <c r="D82" t="s">
        <v>315</v>
      </c>
      <c r="E82" t="s">
        <v>35</v>
      </c>
      <c r="F82" t="s">
        <v>250</v>
      </c>
      <c r="G82">
        <v>3</v>
      </c>
      <c r="H82" t="s">
        <v>251</v>
      </c>
      <c r="I82" t="s">
        <v>51</v>
      </c>
      <c r="J82">
        <f>IF(F82="Culex tarsalis",G82,0)</f>
        <v>0</v>
      </c>
      <c r="K82">
        <f>IF(F82="Culex pipiens",G82,0)</f>
        <v>3</v>
      </c>
    </row>
    <row r="83" spans="1:11">
      <c r="A83">
        <v>37</v>
      </c>
      <c r="B83" s="85">
        <v>44816</v>
      </c>
      <c r="C83" t="s">
        <v>290</v>
      </c>
      <c r="D83" t="s">
        <v>316</v>
      </c>
      <c r="E83" t="s">
        <v>35</v>
      </c>
      <c r="F83" t="s">
        <v>250</v>
      </c>
      <c r="G83">
        <v>1</v>
      </c>
      <c r="H83" t="s">
        <v>251</v>
      </c>
      <c r="I83" t="s">
        <v>94</v>
      </c>
      <c r="J83">
        <f>IF(F83="Culex tarsalis",G83,0)</f>
        <v>0</v>
      </c>
      <c r="K83">
        <f>IF(F83="Culex pipiens",G83,0)</f>
        <v>1</v>
      </c>
    </row>
    <row r="84" spans="1:11">
      <c r="A84">
        <v>37</v>
      </c>
      <c r="B84" s="85">
        <v>44816</v>
      </c>
      <c r="C84" t="s">
        <v>290</v>
      </c>
      <c r="D84" t="s">
        <v>317</v>
      </c>
      <c r="E84" t="s">
        <v>91</v>
      </c>
      <c r="F84" t="s">
        <v>289</v>
      </c>
      <c r="G84">
        <v>8</v>
      </c>
      <c r="H84" t="s">
        <v>251</v>
      </c>
      <c r="I84" t="s">
        <v>90</v>
      </c>
      <c r="J84">
        <f>IF(F84="Culex tarsalis",G84,0)</f>
        <v>8</v>
      </c>
      <c r="K84">
        <f>IF(F84="Culex pipiens",G84,0)</f>
        <v>0</v>
      </c>
    </row>
    <row r="85" spans="1:11">
      <c r="A85">
        <v>37</v>
      </c>
      <c r="B85" s="85">
        <v>44816</v>
      </c>
      <c r="C85" t="s">
        <v>290</v>
      </c>
      <c r="D85" t="s">
        <v>318</v>
      </c>
      <c r="E85" t="s">
        <v>35</v>
      </c>
      <c r="F85" t="s">
        <v>289</v>
      </c>
      <c r="G85">
        <v>4</v>
      </c>
      <c r="H85" t="s">
        <v>251</v>
      </c>
      <c r="I85" t="s">
        <v>72</v>
      </c>
      <c r="J85">
        <f>IF(F85="Culex tarsalis",G85,0)</f>
        <v>4</v>
      </c>
      <c r="K85">
        <f>IF(F85="Culex pipiens",G85,0)</f>
        <v>0</v>
      </c>
    </row>
    <row r="86" spans="1:11">
      <c r="A86">
        <v>37</v>
      </c>
      <c r="B86" s="85">
        <v>44816</v>
      </c>
      <c r="C86" t="s">
        <v>290</v>
      </c>
      <c r="D86" t="s">
        <v>318</v>
      </c>
      <c r="E86" t="s">
        <v>35</v>
      </c>
      <c r="F86" t="s">
        <v>250</v>
      </c>
      <c r="G86">
        <v>80</v>
      </c>
      <c r="H86" t="s">
        <v>251</v>
      </c>
      <c r="I86" t="s">
        <v>72</v>
      </c>
      <c r="J86">
        <f>IF(F86="Culex tarsalis",G86,0)</f>
        <v>0</v>
      </c>
      <c r="K86">
        <f>IF(F86="Culex pipiens",G86,0)</f>
        <v>80</v>
      </c>
    </row>
    <row r="87" spans="1:11">
      <c r="A87">
        <v>37</v>
      </c>
      <c r="B87" s="85">
        <v>44817</v>
      </c>
      <c r="C87" t="s">
        <v>290</v>
      </c>
      <c r="D87" t="s">
        <v>319</v>
      </c>
      <c r="E87" t="s">
        <v>138</v>
      </c>
      <c r="F87" t="s">
        <v>250</v>
      </c>
      <c r="G87">
        <v>2</v>
      </c>
      <c r="H87" t="s">
        <v>251</v>
      </c>
      <c r="I87" t="s">
        <v>198</v>
      </c>
      <c r="J87">
        <f>IF(F87="Culex tarsalis",G87,0)</f>
        <v>0</v>
      </c>
      <c r="K87">
        <f>IF(F87="Culex pipiens",G87,0)</f>
        <v>2</v>
      </c>
    </row>
    <row r="88" spans="1:11">
      <c r="A88">
        <v>37</v>
      </c>
      <c r="B88" s="85">
        <v>44817</v>
      </c>
      <c r="C88" t="s">
        <v>290</v>
      </c>
      <c r="D88" t="s">
        <v>320</v>
      </c>
      <c r="E88" t="s">
        <v>138</v>
      </c>
      <c r="F88" t="s">
        <v>250</v>
      </c>
      <c r="G88">
        <v>1</v>
      </c>
      <c r="H88" t="s">
        <v>251</v>
      </c>
      <c r="I88" t="s">
        <v>188</v>
      </c>
      <c r="J88">
        <f>IF(F88="Culex tarsalis",G88,0)</f>
        <v>0</v>
      </c>
      <c r="K88">
        <f>IF(F88="Culex pipiens",G88,0)</f>
        <v>1</v>
      </c>
    </row>
    <row r="89" spans="1:11">
      <c r="A89">
        <v>37</v>
      </c>
      <c r="B89" s="85">
        <v>44816</v>
      </c>
      <c r="C89" t="s">
        <v>290</v>
      </c>
      <c r="D89" t="s">
        <v>321</v>
      </c>
      <c r="E89" t="s">
        <v>91</v>
      </c>
      <c r="F89" t="s">
        <v>250</v>
      </c>
      <c r="G89">
        <v>4</v>
      </c>
      <c r="H89" t="s">
        <v>251</v>
      </c>
      <c r="I89" t="s">
        <v>111</v>
      </c>
      <c r="J89">
        <f>IF(F89="Culex tarsalis",G89,0)</f>
        <v>0</v>
      </c>
      <c r="K89">
        <f>IF(F89="Culex pipiens",G89,0)</f>
        <v>4</v>
      </c>
    </row>
    <row r="90" spans="1:11">
      <c r="A90">
        <v>37</v>
      </c>
      <c r="B90" s="85">
        <v>44816</v>
      </c>
      <c r="C90" t="s">
        <v>290</v>
      </c>
      <c r="D90" t="s">
        <v>321</v>
      </c>
      <c r="E90" t="s">
        <v>91</v>
      </c>
      <c r="F90" t="s">
        <v>289</v>
      </c>
      <c r="G90">
        <v>3</v>
      </c>
      <c r="H90" t="s">
        <v>251</v>
      </c>
      <c r="I90" t="s">
        <v>111</v>
      </c>
      <c r="J90">
        <f>IF(F90="Culex tarsalis",G90,0)</f>
        <v>3</v>
      </c>
      <c r="K90">
        <f>IF(F90="Culex pipiens",G90,0)</f>
        <v>0</v>
      </c>
    </row>
    <row r="91" spans="1:11">
      <c r="A91">
        <v>37</v>
      </c>
      <c r="B91" s="85">
        <v>44817</v>
      </c>
      <c r="C91" t="s">
        <v>290</v>
      </c>
      <c r="D91" t="s">
        <v>322</v>
      </c>
      <c r="E91" t="s">
        <v>138</v>
      </c>
      <c r="F91" t="s">
        <v>250</v>
      </c>
      <c r="G91">
        <v>1</v>
      </c>
      <c r="H91" t="s">
        <v>251</v>
      </c>
      <c r="I91" t="s">
        <v>203</v>
      </c>
      <c r="J91">
        <f>IF(F91="Culex tarsalis",G91,0)</f>
        <v>0</v>
      </c>
      <c r="K91">
        <f>IF(F91="Culex pipiens",G91,0)</f>
        <v>1</v>
      </c>
    </row>
    <row r="92" spans="1:11">
      <c r="A92">
        <v>37</v>
      </c>
      <c r="B92" s="85">
        <v>44816</v>
      </c>
      <c r="C92" t="s">
        <v>290</v>
      </c>
      <c r="D92" t="s">
        <v>323</v>
      </c>
      <c r="E92" t="s">
        <v>35</v>
      </c>
      <c r="F92" t="s">
        <v>250</v>
      </c>
      <c r="G92">
        <v>2</v>
      </c>
      <c r="H92" t="s">
        <v>251</v>
      </c>
      <c r="I92" t="s">
        <v>48</v>
      </c>
      <c r="J92">
        <f>IF(F92="Culex tarsalis",G92,0)</f>
        <v>0</v>
      </c>
      <c r="K92">
        <f>IF(F92="Culex pipiens",G92,0)</f>
        <v>2</v>
      </c>
    </row>
    <row r="93" spans="1:11">
      <c r="A93">
        <v>37</v>
      </c>
      <c r="B93" s="85">
        <v>44816</v>
      </c>
      <c r="C93" t="s">
        <v>290</v>
      </c>
      <c r="D93" t="s">
        <v>323</v>
      </c>
      <c r="E93" t="s">
        <v>35</v>
      </c>
      <c r="F93" t="s">
        <v>289</v>
      </c>
      <c r="G93">
        <v>1</v>
      </c>
      <c r="H93" t="s">
        <v>251</v>
      </c>
      <c r="I93" t="s">
        <v>48</v>
      </c>
      <c r="J93">
        <f>IF(F93="Culex tarsalis",G93,0)</f>
        <v>1</v>
      </c>
      <c r="K93">
        <f>IF(F93="Culex pipiens",G93,0)</f>
        <v>0</v>
      </c>
    </row>
    <row r="94" spans="1:11">
      <c r="A94">
        <v>37</v>
      </c>
      <c r="B94" s="85">
        <v>44817</v>
      </c>
      <c r="C94" t="s">
        <v>290</v>
      </c>
      <c r="D94" t="s">
        <v>324</v>
      </c>
      <c r="E94" t="s">
        <v>123</v>
      </c>
      <c r="F94" t="s">
        <v>289</v>
      </c>
      <c r="G94">
        <v>3</v>
      </c>
      <c r="H94" t="s">
        <v>251</v>
      </c>
      <c r="I94" t="s">
        <v>164</v>
      </c>
      <c r="J94">
        <f>IF(F94="Culex tarsalis",G94,0)</f>
        <v>3</v>
      </c>
      <c r="K94">
        <f>IF(F94="Culex pipiens",G94,0)</f>
        <v>0</v>
      </c>
    </row>
    <row r="95" spans="1:11">
      <c r="A95">
        <v>37</v>
      </c>
      <c r="B95" s="85">
        <v>44817</v>
      </c>
      <c r="C95" t="s">
        <v>290</v>
      </c>
      <c r="D95" t="s">
        <v>324</v>
      </c>
      <c r="E95" t="s">
        <v>123</v>
      </c>
      <c r="F95" t="s">
        <v>250</v>
      </c>
      <c r="G95">
        <v>476</v>
      </c>
      <c r="H95" t="s">
        <v>251</v>
      </c>
      <c r="I95" t="s">
        <v>164</v>
      </c>
      <c r="J95">
        <f>IF(F95="Culex tarsalis",G95,0)</f>
        <v>0</v>
      </c>
      <c r="K95">
        <f>IF(F95="Culex pipiens",G95,0)</f>
        <v>476</v>
      </c>
    </row>
    <row r="96" spans="1:11">
      <c r="A96">
        <v>37</v>
      </c>
      <c r="B96" s="85">
        <v>44817</v>
      </c>
      <c r="C96" t="s">
        <v>290</v>
      </c>
      <c r="D96" t="s">
        <v>325</v>
      </c>
      <c r="E96" t="s">
        <v>123</v>
      </c>
      <c r="F96" t="s">
        <v>250</v>
      </c>
      <c r="G96">
        <v>35</v>
      </c>
      <c r="H96" t="s">
        <v>251</v>
      </c>
      <c r="I96" t="s">
        <v>158</v>
      </c>
      <c r="J96">
        <f>IF(F96="Culex tarsalis",G96,0)</f>
        <v>0</v>
      </c>
      <c r="K96">
        <f>IF(F96="Culex pipiens",G96,0)</f>
        <v>35</v>
      </c>
    </row>
    <row r="97" spans="1:11">
      <c r="A97">
        <v>37</v>
      </c>
      <c r="B97" s="85">
        <v>44817</v>
      </c>
      <c r="C97" t="s">
        <v>290</v>
      </c>
      <c r="D97" t="s">
        <v>325</v>
      </c>
      <c r="E97" t="s">
        <v>123</v>
      </c>
      <c r="F97" t="s">
        <v>289</v>
      </c>
      <c r="G97">
        <v>8</v>
      </c>
      <c r="H97" t="s">
        <v>251</v>
      </c>
      <c r="I97" t="s">
        <v>158</v>
      </c>
      <c r="J97">
        <f>IF(F97="Culex tarsalis",G97,0)</f>
        <v>8</v>
      </c>
      <c r="K97">
        <f>IF(F97="Culex pipiens",G97,0)</f>
        <v>0</v>
      </c>
    </row>
    <row r="98" spans="1:11">
      <c r="A98">
        <v>37</v>
      </c>
      <c r="B98" s="85">
        <v>44816</v>
      </c>
      <c r="C98" t="s">
        <v>290</v>
      </c>
      <c r="D98" t="s">
        <v>326</v>
      </c>
      <c r="E98" t="s">
        <v>91</v>
      </c>
      <c r="F98" t="s">
        <v>289</v>
      </c>
      <c r="G98">
        <v>3</v>
      </c>
      <c r="H98" t="s">
        <v>251</v>
      </c>
      <c r="I98" t="s">
        <v>103</v>
      </c>
      <c r="J98">
        <f>IF(F98="Culex tarsalis",G98,0)</f>
        <v>3</v>
      </c>
      <c r="K98">
        <f>IF(F98="Culex pipiens",G98,0)</f>
        <v>0</v>
      </c>
    </row>
    <row r="99" spans="1:11">
      <c r="A99">
        <v>37</v>
      </c>
      <c r="B99" s="85">
        <v>44816</v>
      </c>
      <c r="C99" t="s">
        <v>290</v>
      </c>
      <c r="D99" t="s">
        <v>326</v>
      </c>
      <c r="E99" t="s">
        <v>91</v>
      </c>
      <c r="F99" t="s">
        <v>250</v>
      </c>
      <c r="G99">
        <v>2</v>
      </c>
      <c r="H99" t="s">
        <v>251</v>
      </c>
      <c r="I99" t="s">
        <v>103</v>
      </c>
      <c r="J99">
        <f>IF(F99="Culex tarsalis",G99,0)</f>
        <v>0</v>
      </c>
      <c r="K99">
        <f>IF(F99="Culex pipiens",G99,0)</f>
        <v>2</v>
      </c>
    </row>
    <row r="100" spans="1:11">
      <c r="A100">
        <v>37</v>
      </c>
      <c r="B100" s="85">
        <v>44817</v>
      </c>
      <c r="C100" t="s">
        <v>290</v>
      </c>
      <c r="D100" t="s">
        <v>327</v>
      </c>
      <c r="E100" t="s">
        <v>123</v>
      </c>
      <c r="F100" t="s">
        <v>250</v>
      </c>
      <c r="G100">
        <v>1</v>
      </c>
      <c r="H100" t="s">
        <v>251</v>
      </c>
      <c r="I100" t="s">
        <v>130</v>
      </c>
      <c r="J100">
        <f>IF(F100="Culex tarsalis",G100,0)</f>
        <v>0</v>
      </c>
      <c r="K100">
        <f>IF(F100="Culex pipiens",G100,0)</f>
        <v>1</v>
      </c>
    </row>
    <row r="101" spans="1:11">
      <c r="A101">
        <v>37</v>
      </c>
      <c r="B101" s="85">
        <v>44817</v>
      </c>
      <c r="C101" t="s">
        <v>290</v>
      </c>
      <c r="D101" t="s">
        <v>327</v>
      </c>
      <c r="E101" t="s">
        <v>123</v>
      </c>
      <c r="F101" t="s">
        <v>289</v>
      </c>
      <c r="G101">
        <v>3</v>
      </c>
      <c r="H101" t="s">
        <v>251</v>
      </c>
      <c r="I101" t="s">
        <v>130</v>
      </c>
      <c r="J101">
        <f>IF(F101="Culex tarsalis",G101,0)</f>
        <v>3</v>
      </c>
      <c r="K101">
        <f>IF(F101="Culex pipiens",G101,0)</f>
        <v>0</v>
      </c>
    </row>
    <row r="102" spans="1:11">
      <c r="A102">
        <v>37</v>
      </c>
      <c r="B102" s="85">
        <v>44816</v>
      </c>
      <c r="C102" t="s">
        <v>290</v>
      </c>
      <c r="D102" t="s">
        <v>328</v>
      </c>
      <c r="E102" t="s">
        <v>91</v>
      </c>
      <c r="F102" t="s">
        <v>289</v>
      </c>
      <c r="G102">
        <v>1</v>
      </c>
      <c r="H102" t="s">
        <v>251</v>
      </c>
      <c r="I102" t="s">
        <v>116</v>
      </c>
      <c r="J102">
        <f>IF(F102="Culex tarsalis",G102,0)</f>
        <v>1</v>
      </c>
      <c r="K102">
        <f>IF(F102="Culex pipiens",G102,0)</f>
        <v>0</v>
      </c>
    </row>
    <row r="103" spans="1:11">
      <c r="A103">
        <v>37</v>
      </c>
      <c r="B103" s="85">
        <v>44816</v>
      </c>
      <c r="C103" t="s">
        <v>290</v>
      </c>
      <c r="D103" t="s">
        <v>328</v>
      </c>
      <c r="E103" t="s">
        <v>91</v>
      </c>
      <c r="F103" t="s">
        <v>250</v>
      </c>
      <c r="G103">
        <v>1</v>
      </c>
      <c r="H103" t="s">
        <v>251</v>
      </c>
      <c r="I103" t="s">
        <v>116</v>
      </c>
      <c r="J103">
        <f>IF(F103="Culex tarsalis",G103,0)</f>
        <v>0</v>
      </c>
      <c r="K103">
        <f>IF(F103="Culex pipiens",G103,0)</f>
        <v>1</v>
      </c>
    </row>
    <row r="104" spans="1:11">
      <c r="A104">
        <v>37</v>
      </c>
      <c r="B104" s="85">
        <v>44817</v>
      </c>
      <c r="C104" t="s">
        <v>290</v>
      </c>
      <c r="D104" t="s">
        <v>329</v>
      </c>
      <c r="E104" t="s">
        <v>123</v>
      </c>
      <c r="F104" t="s">
        <v>289</v>
      </c>
      <c r="G104">
        <v>7</v>
      </c>
      <c r="H104" t="s">
        <v>251</v>
      </c>
      <c r="I104" t="s">
        <v>149</v>
      </c>
      <c r="J104">
        <f>IF(F104="Culex tarsalis",G104,0)</f>
        <v>7</v>
      </c>
      <c r="K104">
        <f>IF(F104="Culex pipiens",G104,0)</f>
        <v>0</v>
      </c>
    </row>
    <row r="105" spans="1:11">
      <c r="A105">
        <v>37</v>
      </c>
      <c r="B105" s="85">
        <v>44817</v>
      </c>
      <c r="C105" t="s">
        <v>290</v>
      </c>
      <c r="D105" t="s">
        <v>329</v>
      </c>
      <c r="E105" t="s">
        <v>123</v>
      </c>
      <c r="F105" t="s">
        <v>250</v>
      </c>
      <c r="G105">
        <v>7</v>
      </c>
      <c r="H105" t="s">
        <v>251</v>
      </c>
      <c r="I105" t="s">
        <v>149</v>
      </c>
      <c r="J105">
        <f>IF(F105="Culex tarsalis",G105,0)</f>
        <v>0</v>
      </c>
      <c r="K105">
        <f>IF(F105="Culex pipiens",G105,0)</f>
        <v>7</v>
      </c>
    </row>
    <row r="106" spans="1:11">
      <c r="A106">
        <v>37</v>
      </c>
      <c r="B106" s="85">
        <v>44817</v>
      </c>
      <c r="C106" t="s">
        <v>290</v>
      </c>
      <c r="D106" t="s">
        <v>330</v>
      </c>
      <c r="E106" t="s">
        <v>138</v>
      </c>
      <c r="F106" t="s">
        <v>250</v>
      </c>
      <c r="G106">
        <v>3</v>
      </c>
      <c r="H106" t="s">
        <v>251</v>
      </c>
      <c r="I106" t="s">
        <v>194</v>
      </c>
      <c r="J106">
        <f>IF(F106="Culex tarsalis",G106,0)</f>
        <v>0</v>
      </c>
      <c r="K106">
        <f>IF(F106="Culex pipiens",G106,0)</f>
        <v>3</v>
      </c>
    </row>
    <row r="107" spans="1:11">
      <c r="A107">
        <v>37</v>
      </c>
      <c r="B107" s="85">
        <v>44816</v>
      </c>
      <c r="C107" t="s">
        <v>290</v>
      </c>
      <c r="D107" t="s">
        <v>331</v>
      </c>
      <c r="E107" t="s">
        <v>35</v>
      </c>
      <c r="F107" t="s">
        <v>289</v>
      </c>
      <c r="G107">
        <v>8</v>
      </c>
      <c r="H107" t="s">
        <v>251</v>
      </c>
      <c r="I107" t="s">
        <v>55</v>
      </c>
      <c r="J107">
        <f>IF(F107="Culex tarsalis",G107,0)</f>
        <v>8</v>
      </c>
      <c r="K107">
        <f>IF(F107="Culex pipiens",G107,0)</f>
        <v>0</v>
      </c>
    </row>
    <row r="108" spans="1:11">
      <c r="A108">
        <v>37</v>
      </c>
      <c r="B108" s="85">
        <v>44816</v>
      </c>
      <c r="C108" t="s">
        <v>290</v>
      </c>
      <c r="D108" t="s">
        <v>331</v>
      </c>
      <c r="E108" t="s">
        <v>35</v>
      </c>
      <c r="F108" t="s">
        <v>250</v>
      </c>
      <c r="G108">
        <v>17</v>
      </c>
      <c r="H108" t="s">
        <v>251</v>
      </c>
      <c r="I108" t="s">
        <v>55</v>
      </c>
      <c r="J108">
        <f>IF(F108="Culex tarsalis",G108,0)</f>
        <v>0</v>
      </c>
      <c r="K108">
        <f>IF(F108="Culex pipiens",G108,0)</f>
        <v>17</v>
      </c>
    </row>
    <row r="109" spans="1:11">
      <c r="A109">
        <v>37</v>
      </c>
      <c r="B109" s="85">
        <v>44816</v>
      </c>
      <c r="C109" t="s">
        <v>290</v>
      </c>
      <c r="D109" t="s">
        <v>332</v>
      </c>
      <c r="E109" t="s">
        <v>35</v>
      </c>
      <c r="F109" t="s">
        <v>250</v>
      </c>
      <c r="G109">
        <v>1</v>
      </c>
      <c r="H109" t="s">
        <v>251</v>
      </c>
      <c r="I109" t="s">
        <v>53</v>
      </c>
      <c r="J109">
        <f>IF(F109="Culex tarsalis",G109,0)</f>
        <v>0</v>
      </c>
      <c r="K109">
        <f>IF(F109="Culex pipiens",G109,0)</f>
        <v>1</v>
      </c>
    </row>
    <row r="110" spans="1:11">
      <c r="A110">
        <v>37</v>
      </c>
      <c r="B110" s="70">
        <v>44816</v>
      </c>
      <c r="C110" t="s">
        <v>290</v>
      </c>
      <c r="D110" t="s">
        <v>333</v>
      </c>
      <c r="E110" t="s">
        <v>91</v>
      </c>
      <c r="F110" t="s">
        <v>250</v>
      </c>
      <c r="G110">
        <v>2</v>
      </c>
      <c r="H110" t="s">
        <v>251</v>
      </c>
      <c r="I110" t="s">
        <v>109</v>
      </c>
      <c r="J110">
        <f>IF(F110="Culex tarsalis",G110,0)</f>
        <v>0</v>
      </c>
      <c r="K110">
        <f>IF(F110="Culex pipiens",G110,0)</f>
        <v>2</v>
      </c>
    </row>
    <row r="111" spans="1:11">
      <c r="B111" s="85"/>
    </row>
    <row r="112" spans="1:11">
      <c r="B112" s="85"/>
    </row>
    <row r="113" spans="2:2">
      <c r="B113" s="85"/>
    </row>
    <row r="114" spans="2:2">
      <c r="B114" s="85"/>
    </row>
    <row r="115" spans="2:2">
      <c r="B115" s="85"/>
    </row>
    <row r="116" spans="2:2">
      <c r="B116" s="70"/>
    </row>
    <row r="117" spans="2:2">
      <c r="B117" s="70"/>
    </row>
    <row r="118" spans="2:2">
      <c r="B118" s="70"/>
    </row>
    <row r="119" spans="2:2">
      <c r="B119" s="70"/>
    </row>
    <row r="120" spans="2:2">
      <c r="B120" s="70"/>
    </row>
    <row r="121" spans="2:2">
      <c r="B121" s="70"/>
    </row>
    <row r="122" spans="2:2">
      <c r="B122" s="70"/>
    </row>
    <row r="124" spans="2:2">
      <c r="B124" s="70"/>
    </row>
    <row r="125" spans="2:2">
      <c r="B125" s="70"/>
    </row>
    <row r="126" spans="2:2">
      <c r="B126" s="70"/>
    </row>
    <row r="127" spans="2:2">
      <c r="B127" s="70"/>
    </row>
    <row r="128" spans="2:2">
      <c r="B128" s="70"/>
    </row>
    <row r="129" spans="2:2">
      <c r="B129" s="70"/>
    </row>
    <row r="130" spans="2:2">
      <c r="B130" s="70"/>
    </row>
    <row r="131" spans="2:2">
      <c r="B131" s="70"/>
    </row>
    <row r="132" spans="2:2">
      <c r="B132" s="70"/>
    </row>
    <row r="135" spans="2:2">
      <c r="B135" s="70"/>
    </row>
    <row r="136" spans="2:2">
      <c r="B136" s="70"/>
    </row>
    <row r="137" spans="2:2">
      <c r="B137" s="70"/>
    </row>
    <row r="138" spans="2:2">
      <c r="B138" s="70"/>
    </row>
    <row r="139" spans="2:2">
      <c r="B139" s="70"/>
    </row>
    <row r="140" spans="2:2">
      <c r="B140" s="70"/>
    </row>
    <row r="141" spans="2:2">
      <c r="B141" s="70"/>
    </row>
    <row r="145" spans="2:2">
      <c r="B145" s="70"/>
    </row>
    <row r="146" spans="2:2">
      <c r="B146" s="70"/>
    </row>
    <row r="147" spans="2:2">
      <c r="B147" s="70"/>
    </row>
    <row r="148" spans="2:2">
      <c r="B148" s="70"/>
    </row>
    <row r="149" spans="2:2">
      <c r="B149" s="70"/>
    </row>
    <row r="150" spans="2:2">
      <c r="B150" s="70"/>
    </row>
    <row r="151" spans="2:2">
      <c r="B151" s="70"/>
    </row>
    <row r="152" spans="2:2">
      <c r="B152" s="70"/>
    </row>
    <row r="153" spans="2:2">
      <c r="B153" s="70"/>
    </row>
    <row r="154" spans="2:2">
      <c r="B154" s="70"/>
    </row>
    <row r="155" spans="2:2">
      <c r="B155" s="70"/>
    </row>
    <row r="156" spans="2:2">
      <c r="B156" s="70"/>
    </row>
    <row r="159" spans="2:2">
      <c r="B159" s="70"/>
    </row>
    <row r="160" spans="2:2">
      <c r="B160" s="70"/>
    </row>
    <row r="161" spans="2:2">
      <c r="B161" s="70"/>
    </row>
    <row r="162" spans="2:2">
      <c r="B162" s="70"/>
    </row>
    <row r="163" spans="2:2">
      <c r="B163" s="70"/>
    </row>
    <row r="164" spans="2:2">
      <c r="B164" s="70"/>
    </row>
    <row r="165" spans="2:2">
      <c r="B165" s="70"/>
    </row>
    <row r="166" spans="2:2">
      <c r="B166" s="70"/>
    </row>
    <row r="167" spans="2:2">
      <c r="B167" s="70"/>
    </row>
    <row r="168" spans="2:2">
      <c r="B168" s="70"/>
    </row>
    <row r="169" spans="2:2">
      <c r="B169" s="70"/>
    </row>
    <row r="170" spans="2:2">
      <c r="B170" s="70"/>
    </row>
    <row r="171" spans="2:2">
      <c r="B171" s="70"/>
    </row>
    <row r="172" spans="2:2">
      <c r="B172" s="70"/>
    </row>
    <row r="173" spans="2:2">
      <c r="B173" s="70"/>
    </row>
    <row r="174" spans="2:2">
      <c r="B174" s="70"/>
    </row>
    <row r="175" spans="2:2">
      <c r="B175" s="70"/>
    </row>
    <row r="176" spans="2:2">
      <c r="B176" s="70"/>
    </row>
    <row r="177" spans="2:2">
      <c r="B177" s="70"/>
    </row>
    <row r="178" spans="2:2">
      <c r="B178" s="70"/>
    </row>
    <row r="179" spans="2:2">
      <c r="B179" s="70"/>
    </row>
    <row r="180" spans="2:2">
      <c r="B180" s="70"/>
    </row>
    <row r="181" spans="2:2">
      <c r="B181" s="70"/>
    </row>
    <row r="182" spans="2:2">
      <c r="B182" s="70"/>
    </row>
    <row r="183" spans="2:2">
      <c r="B183" s="70"/>
    </row>
    <row r="184" spans="2:2">
      <c r="B184" s="70"/>
    </row>
    <row r="185" spans="2:2">
      <c r="B185" s="70"/>
    </row>
    <row r="186" spans="2:2">
      <c r="B186" s="70"/>
    </row>
    <row r="187" spans="2:2">
      <c r="B187" s="70"/>
    </row>
    <row r="188" spans="2:2">
      <c r="B188" s="70"/>
    </row>
    <row r="189" spans="2:2">
      <c r="B189" s="70"/>
    </row>
    <row r="190" spans="2:2">
      <c r="B190" s="70"/>
    </row>
    <row r="191" spans="2:2">
      <c r="B191" s="70"/>
    </row>
    <row r="192" spans="2:2">
      <c r="B192" s="70"/>
    </row>
    <row r="193" spans="2:2">
      <c r="B193" s="70"/>
    </row>
    <row r="194" spans="2:2">
      <c r="B194" s="70"/>
    </row>
    <row r="195" spans="2:2">
      <c r="B195" s="70"/>
    </row>
    <row r="196" spans="2:2">
      <c r="B196" s="70"/>
    </row>
    <row r="197" spans="2:2">
      <c r="B197" s="70"/>
    </row>
    <row r="198" spans="2:2">
      <c r="B198" s="70"/>
    </row>
    <row r="199" spans="2:2">
      <c r="B199" s="70"/>
    </row>
    <row r="200" spans="2:2">
      <c r="B200" s="70"/>
    </row>
    <row r="201" spans="2:2">
      <c r="B201" s="70"/>
    </row>
    <row r="202" spans="2:2">
      <c r="B202" s="70"/>
    </row>
    <row r="203" spans="2:2">
      <c r="B203" s="70"/>
    </row>
    <row r="204" spans="2:2">
      <c r="B204" s="70"/>
    </row>
    <row r="205" spans="2:2">
      <c r="B205" s="70"/>
    </row>
    <row r="206" spans="2:2">
      <c r="B206" s="70"/>
    </row>
    <row r="207" spans="2:2">
      <c r="B207" s="70"/>
    </row>
    <row r="208" spans="2:2">
      <c r="B208" s="70"/>
    </row>
    <row r="209" spans="2:2">
      <c r="B209" s="70"/>
    </row>
    <row r="210" spans="2:2">
      <c r="B210" s="70"/>
    </row>
    <row r="211" spans="2:2">
      <c r="B211" s="70"/>
    </row>
    <row r="212" spans="2:2">
      <c r="B212" s="70"/>
    </row>
    <row r="213" spans="2:2">
      <c r="B213" s="70"/>
    </row>
    <row r="214" spans="2:2">
      <c r="B214" s="70"/>
    </row>
    <row r="215" spans="2:2">
      <c r="B215" s="70"/>
    </row>
    <row r="216" spans="2:2">
      <c r="B216" s="70"/>
    </row>
    <row r="217" spans="2:2">
      <c r="B217" s="70"/>
    </row>
    <row r="218" spans="2:2">
      <c r="B218" s="70"/>
    </row>
    <row r="219" spans="2:2">
      <c r="B219" s="70"/>
    </row>
    <row r="220" spans="2:2">
      <c r="B220" s="70"/>
    </row>
    <row r="221" spans="2:2">
      <c r="B221" s="70"/>
    </row>
    <row r="222" spans="2:2">
      <c r="B222" s="70"/>
    </row>
    <row r="223" spans="2:2">
      <c r="B223" s="70"/>
    </row>
    <row r="224" spans="2:2">
      <c r="B224" s="70"/>
    </row>
    <row r="225" spans="2:2">
      <c r="B225" s="70"/>
    </row>
    <row r="227" spans="2:2">
      <c r="B227" s="70"/>
    </row>
    <row r="229" spans="2:2">
      <c r="B229" s="70"/>
    </row>
    <row r="230" spans="2:2">
      <c r="B230" s="70"/>
    </row>
    <row r="231" spans="2:2">
      <c r="B231" s="70"/>
    </row>
    <row r="232" spans="2:2">
      <c r="B232" s="70"/>
    </row>
  </sheetData>
  <sortState xmlns:xlrd2="http://schemas.microsoft.com/office/spreadsheetml/2017/richdata2" ref="A2:K122">
    <sortCondition ref="H2:H12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1"/>
  <sheetViews>
    <sheetView workbookViewId="0">
      <selection activeCell="C8" sqref="C8"/>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334</v>
      </c>
      <c r="G1" s="32" t="s">
        <v>335</v>
      </c>
    </row>
    <row r="2" spans="1:10">
      <c r="A2" s="2" t="s">
        <v>13</v>
      </c>
      <c r="B2" t="s">
        <v>336</v>
      </c>
    </row>
    <row r="4" spans="1:10">
      <c r="A4" s="2" t="s">
        <v>337</v>
      </c>
      <c r="B4" t="s">
        <v>338</v>
      </c>
      <c r="C4" t="s">
        <v>339</v>
      </c>
      <c r="D4" t="s">
        <v>340</v>
      </c>
      <c r="G4" s="24" t="s">
        <v>337</v>
      </c>
      <c r="H4" s="24" t="s">
        <v>338</v>
      </c>
      <c r="I4" s="24" t="s">
        <v>339</v>
      </c>
      <c r="J4" s="24" t="s">
        <v>340</v>
      </c>
    </row>
    <row r="5" spans="1:10">
      <c r="A5" s="1" t="s">
        <v>123</v>
      </c>
      <c r="B5">
        <v>1157</v>
      </c>
      <c r="C5">
        <v>49</v>
      </c>
      <c r="D5">
        <v>1206</v>
      </c>
      <c r="G5" s="1" t="s">
        <v>341</v>
      </c>
      <c r="H5" t="e">
        <f>GETPIVOTDATA("Sum of Cx pipiens",$A$4,"Zone","LV")</f>
        <v>#REF!</v>
      </c>
      <c r="I5" t="e">
        <f>GETPIVOTDATA("Sum of Cx tarsalis",$A$4,"Zone","LV")</f>
        <v>#REF!</v>
      </c>
      <c r="J5" t="e">
        <f>GETPIVOTDATA("Sum of Total CX",$A$4,"Zone","LV")</f>
        <v>#REF!</v>
      </c>
    </row>
    <row r="6" spans="1:10">
      <c r="A6" s="1" t="s">
        <v>138</v>
      </c>
      <c r="B6">
        <v>33</v>
      </c>
      <c r="C6">
        <v>9</v>
      </c>
      <c r="D6">
        <v>42</v>
      </c>
      <c r="G6" s="1" t="s">
        <v>123</v>
      </c>
      <c r="H6">
        <f>GETPIVOTDATA("Sum of Cx pipiens",$A$4,"Zone","NE")</f>
        <v>1157</v>
      </c>
      <c r="I6">
        <f>GETPIVOTDATA("Sum of Cx tarsalis",$A$4,"Zone","NE")</f>
        <v>49</v>
      </c>
      <c r="J6">
        <f>GETPIVOTDATA("Sum of Total CX",$A$4,"Zone","NE")</f>
        <v>1206</v>
      </c>
    </row>
    <row r="7" spans="1:10">
      <c r="A7" s="1" t="s">
        <v>35</v>
      </c>
      <c r="B7">
        <v>395</v>
      </c>
      <c r="C7">
        <v>39</v>
      </c>
      <c r="D7">
        <v>434</v>
      </c>
      <c r="G7" s="1" t="s">
        <v>138</v>
      </c>
      <c r="H7">
        <f>GETPIVOTDATA("Sum of Cx pipiens",$A$4,"Zone","NW")</f>
        <v>33</v>
      </c>
      <c r="I7">
        <f>GETPIVOTDATA("Sum of Cx tarsalis",$A$4,"Zone","NW")</f>
        <v>9</v>
      </c>
      <c r="J7">
        <f>GETPIVOTDATA("Sum of Total CX",$A$4,"Zone","NW")</f>
        <v>42</v>
      </c>
    </row>
    <row r="8" spans="1:10">
      <c r="A8" s="1" t="s">
        <v>91</v>
      </c>
      <c r="B8">
        <v>23</v>
      </c>
      <c r="C8">
        <v>43</v>
      </c>
      <c r="D8">
        <v>66</v>
      </c>
      <c r="G8" s="1" t="s">
        <v>35</v>
      </c>
      <c r="H8">
        <f>GETPIVOTDATA("Sum of Cx pipiens",$A$4,"Zone","SE")</f>
        <v>395</v>
      </c>
      <c r="I8">
        <f>GETPIVOTDATA("Sum of Cx tarsalis",$A$4,"Zone","SE")</f>
        <v>39</v>
      </c>
      <c r="J8">
        <f>GETPIVOTDATA("Sum of Total CX",$A$4,"Zone","SE")</f>
        <v>434</v>
      </c>
    </row>
    <row r="9" spans="1:10">
      <c r="A9" s="1" t="s">
        <v>216</v>
      </c>
      <c r="B9">
        <v>18</v>
      </c>
      <c r="C9">
        <v>31</v>
      </c>
      <c r="D9">
        <v>49</v>
      </c>
      <c r="G9" s="1" t="s">
        <v>91</v>
      </c>
      <c r="H9">
        <f>GETPIVOTDATA("Sum of Cx pipiens",$A$4,"Zone","SW")</f>
        <v>23</v>
      </c>
      <c r="I9">
        <f>GETPIVOTDATA("Sum of Cx tarsalis",$A$4,"Zone","SW")</f>
        <v>43</v>
      </c>
      <c r="J9">
        <f>GETPIVOTDATA("Sum of Total CX",$A$4,"Zone","SW")</f>
        <v>66</v>
      </c>
    </row>
    <row r="10" spans="1:10">
      <c r="A10" s="1" t="s">
        <v>342</v>
      </c>
      <c r="B10">
        <v>1626</v>
      </c>
      <c r="C10">
        <v>171</v>
      </c>
      <c r="D10">
        <v>1797</v>
      </c>
      <c r="G10" s="1" t="s">
        <v>343</v>
      </c>
      <c r="H10" t="e">
        <f>GETPIVOTDATA("Sum of Cx pipiens",$A$4,"Zone","BE")</f>
        <v>#REF!</v>
      </c>
      <c r="I10" t="e">
        <f>GETPIVOTDATA("Sum of Cx tarsalis",$A$4,"Zone","BE")</f>
        <v>#REF!</v>
      </c>
      <c r="J10" t="e">
        <f>GETPIVOTDATA("Sum of Total CX",$A$4,"Zone","BE")</f>
        <v>#REF!</v>
      </c>
    </row>
    <row r="11" spans="1:10">
      <c r="G11" s="1" t="s">
        <v>216</v>
      </c>
      <c r="H11">
        <f>GETPIVOTDATA("Sum of Cx pipiens",$A$4,"Zone","BC")</f>
        <v>18</v>
      </c>
      <c r="I11">
        <f>GETPIVOTDATA("Sum of Cx tarsalis",$A$4,"Zone","BC")</f>
        <v>31</v>
      </c>
      <c r="J11">
        <f>GETPIVOTDATA("Sum of Total CX",$A$4,"Zone","BC")</f>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B8" sqref="B8"/>
    </sheetView>
  </sheetViews>
  <sheetFormatPr defaultColWidth="8.85546875" defaultRowHeight="15"/>
  <cols>
    <col min="1" max="1" width="13.140625" bestFit="1" customWidth="1"/>
    <col min="2" max="2" width="16.28515625" customWidth="1"/>
    <col min="3" max="3" width="7.5703125" bestFit="1" customWidth="1"/>
    <col min="4" max="4" width="11.28515625" bestFit="1" customWidth="1"/>
    <col min="5" max="5" width="8" bestFit="1" customWidth="1"/>
    <col min="6" max="6" width="11.28515625" bestFit="1" customWidth="1"/>
    <col min="8" max="8" width="12" bestFit="1" customWidth="1"/>
  </cols>
  <sheetData>
    <row r="1" spans="1:11">
      <c r="A1" s="93" t="s">
        <v>344</v>
      </c>
      <c r="B1" s="93"/>
      <c r="H1" s="93" t="s">
        <v>345</v>
      </c>
      <c r="I1" s="93"/>
    </row>
    <row r="2" spans="1:11">
      <c r="A2" s="2" t="s">
        <v>13</v>
      </c>
      <c r="B2" t="s">
        <v>336</v>
      </c>
    </row>
    <row r="4" spans="1:11">
      <c r="A4" s="2" t="s">
        <v>346</v>
      </c>
      <c r="B4" s="2" t="s">
        <v>347</v>
      </c>
      <c r="H4" s="23" t="s">
        <v>346</v>
      </c>
      <c r="I4" s="23" t="s">
        <v>347</v>
      </c>
      <c r="J4" s="23"/>
      <c r="K4" s="23"/>
    </row>
    <row r="5" spans="1:11">
      <c r="A5" s="2" t="s">
        <v>337</v>
      </c>
      <c r="B5" t="s">
        <v>44</v>
      </c>
      <c r="C5" t="s">
        <v>38</v>
      </c>
      <c r="D5" t="s">
        <v>342</v>
      </c>
      <c r="H5" s="24" t="s">
        <v>337</v>
      </c>
      <c r="I5" s="24" t="s">
        <v>348</v>
      </c>
      <c r="J5" s="24" t="s">
        <v>349</v>
      </c>
      <c r="K5" s="24" t="s">
        <v>342</v>
      </c>
    </row>
    <row r="6" spans="1:11">
      <c r="A6" s="1" t="s">
        <v>123</v>
      </c>
      <c r="B6">
        <v>1278</v>
      </c>
      <c r="C6">
        <v>51</v>
      </c>
      <c r="D6">
        <v>1329</v>
      </c>
      <c r="H6" s="1" t="s">
        <v>341</v>
      </c>
      <c r="I6" t="e">
        <f>GETPIVOTDATA("Total",$A$4,"Zone","LV","Spp","Pipiens")</f>
        <v>#REF!</v>
      </c>
      <c r="J6" t="e">
        <f>(K6-I6)</f>
        <v>#REF!</v>
      </c>
      <c r="K6" t="e">
        <f>GETPIVOTDATA("Total",$A$4,"Zone","LV")</f>
        <v>#REF!</v>
      </c>
    </row>
    <row r="7" spans="1:11">
      <c r="A7" s="1" t="s">
        <v>138</v>
      </c>
      <c r="B7">
        <v>39</v>
      </c>
      <c r="C7">
        <v>11</v>
      </c>
      <c r="D7">
        <v>50</v>
      </c>
      <c r="H7" s="1" t="s">
        <v>123</v>
      </c>
      <c r="I7">
        <f>GETPIVOTDATA("Total",$A$4,"Zone","NE","Spp","Pipiens")</f>
        <v>1278</v>
      </c>
      <c r="J7">
        <f t="shared" ref="J7:J12" si="0">(K7-I7)</f>
        <v>51</v>
      </c>
      <c r="K7">
        <f>GETPIVOTDATA("Total",$A$4,"Zone","NE")</f>
        <v>1329</v>
      </c>
    </row>
    <row r="8" spans="1:11">
      <c r="A8" s="1" t="s">
        <v>35</v>
      </c>
      <c r="B8">
        <v>434</v>
      </c>
      <c r="C8">
        <v>39</v>
      </c>
      <c r="D8">
        <v>473</v>
      </c>
      <c r="H8" s="1" t="s">
        <v>138</v>
      </c>
      <c r="I8">
        <f>GETPIVOTDATA("Total",$A$4,"Zone","NW","Spp","Pipiens")</f>
        <v>39</v>
      </c>
      <c r="J8">
        <f t="shared" si="0"/>
        <v>11</v>
      </c>
      <c r="K8">
        <f>GETPIVOTDATA("Total",$A$4,"Zone","NW")</f>
        <v>50</v>
      </c>
    </row>
    <row r="9" spans="1:11">
      <c r="A9" s="1" t="s">
        <v>91</v>
      </c>
      <c r="B9">
        <v>49</v>
      </c>
      <c r="C9">
        <v>41</v>
      </c>
      <c r="D9">
        <v>90</v>
      </c>
      <c r="H9" s="1" t="s">
        <v>35</v>
      </c>
      <c r="I9">
        <f>GETPIVOTDATA("Total",$A$4,"Zone","SE","Spp","Pipiens")</f>
        <v>434</v>
      </c>
      <c r="J9">
        <f t="shared" si="0"/>
        <v>39</v>
      </c>
      <c r="K9">
        <f>GETPIVOTDATA("Total",$A$4,"Zone","SE")</f>
        <v>473</v>
      </c>
    </row>
    <row r="10" spans="1:11">
      <c r="A10" s="1" t="s">
        <v>216</v>
      </c>
      <c r="B10">
        <v>10</v>
      </c>
      <c r="C10">
        <v>14</v>
      </c>
      <c r="D10">
        <v>24</v>
      </c>
      <c r="H10" s="1" t="s">
        <v>91</v>
      </c>
      <c r="I10">
        <f>GETPIVOTDATA("Total",$A$4,"Zone","SW","Spp","Pipiens")</f>
        <v>49</v>
      </c>
      <c r="J10">
        <f t="shared" si="0"/>
        <v>41</v>
      </c>
      <c r="K10">
        <f>GETPIVOTDATA("Total",$A$4,"Zone","SW")</f>
        <v>90</v>
      </c>
    </row>
    <row r="11" spans="1:11">
      <c r="A11" s="1" t="s">
        <v>342</v>
      </c>
      <c r="B11">
        <v>1810</v>
      </c>
      <c r="C11">
        <v>156</v>
      </c>
      <c r="D11">
        <v>1966</v>
      </c>
      <c r="H11" s="1" t="s">
        <v>343</v>
      </c>
      <c r="I11" t="e">
        <f>GETPIVOTDATA("Total",$A$4,"Zone","BE","Spp","Pipiens")</f>
        <v>#REF!</v>
      </c>
      <c r="J11" t="e">
        <f t="shared" si="0"/>
        <v>#REF!</v>
      </c>
      <c r="K11" t="e">
        <f>GETPIVOTDATA("Total",$A$4,"Zone","BE")</f>
        <v>#REF!</v>
      </c>
    </row>
    <row r="12" spans="1:11">
      <c r="H12" s="1" t="s">
        <v>216</v>
      </c>
      <c r="I12">
        <f>GETPIVOTDATA("Total",$A$4,"Zone","BC","Spp","Pipiens")</f>
        <v>10</v>
      </c>
      <c r="J12">
        <f t="shared" si="0"/>
        <v>14</v>
      </c>
      <c r="K12">
        <f>GETPIVOTDATA("Total",$A$4,"Zone","BC")</f>
        <v>24</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66B655-3515-4B6B-B620-5C097FB1A409}"/>
</file>

<file path=customXml/itemProps2.xml><?xml version="1.0" encoding="utf-8"?>
<ds:datastoreItem xmlns:ds="http://schemas.openxmlformats.org/officeDocument/2006/customXml" ds:itemID="{C85F3A95-B2A3-4DB9-BEE2-2EB2B8C14A14}"/>
</file>

<file path=customXml/itemProps3.xml><?xml version="1.0" encoding="utf-8"?>
<ds:datastoreItem xmlns:ds="http://schemas.openxmlformats.org/officeDocument/2006/customXml" ds:itemID="{ACB2293C-DE73-4E07-BA07-4B7BF3A8CF47}"/>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Savran,Michelle</cp:lastModifiedBy>
  <cp:revision/>
  <dcterms:created xsi:type="dcterms:W3CDTF">2014-05-12T19:16:27Z</dcterms:created>
  <dcterms:modified xsi:type="dcterms:W3CDTF">2023-11-10T21:15:48Z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1321400</vt:r8>
  </property>
  <property fmtid="{D5CDD505-2E9C-101B-9397-08002B2CF9AE}" pid="4" name="MediaServiceImageTags">
    <vt:lpwstr/>
  </property>
</Properties>
</file>