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17"/>
  <workbookPr codeName="ThisWorkbook" hidePivotFieldList="1" defaultThemeVersion="124226"/>
  <mc:AlternateContent xmlns:mc="http://schemas.openxmlformats.org/markup-compatibility/2006">
    <mc:Choice Requires="x15">
      <x15ac:absPath xmlns:x15ac="http://schemas.microsoft.com/office/spreadsheetml/2010/11/ac" url="T:\Rsch-Ebel\WNV Surveillance 2015-2022\WNV-s 2023 (LNW)\Week 23\"/>
    </mc:Choice>
  </mc:AlternateContent>
  <xr:revisionPtr revIDLastSave="0" documentId="13_ncr:1_{8768118E-D079-41B6-AE7A-BB4F5DE220AF}" xr6:coauthVersionLast="47" xr6:coauthVersionMax="47" xr10:uidLastSave="{00000000-0000-0000-0000-000000000000}"/>
  <bookViews>
    <workbookView xWindow="2355" yWindow="1125" windowWidth="15945" windowHeight="10755" tabRatio="869" firstSheet="13" activeTab="13" xr2:uid="{00000000-000D-0000-FFFF-FFFF00000000}"/>
  </bookViews>
  <sheets>
    <sheet name="READ ME" sheetId="65" r:id="rId1"/>
    <sheet name="Weekly Data Input" sheetId="2" r:id="rId2"/>
    <sheet name="InfRateTotal" sheetId="89" r:id="rId3"/>
    <sheet name="InfRateZone" sheetId="85" r:id="rId4"/>
    <sheet name="InfRateZO" sheetId="83" r:id="rId5"/>
    <sheet name="InfRateCI" sheetId="81" r:id="rId6"/>
    <sheet name="Weekly 009 input" sheetId="59" r:id="rId7"/>
    <sheet name="Total Number Of Ind" sheetId="63" r:id="rId8"/>
    <sheet name="Total Number Ind Examined " sheetId="61" r:id="rId9"/>
    <sheet name="Total Number of Pools Examined" sheetId="64" r:id="rId10"/>
    <sheet name="Total Number of WNV + Pools" sheetId="6" r:id="rId11"/>
    <sheet name="CITYINFRATE" sheetId="57" r:id="rId12"/>
    <sheet name="ZONEINFRATE" sheetId="58" r:id="rId13"/>
    <sheet name="Graphs" sheetId="5" r:id="rId14"/>
  </sheets>
  <definedNames>
    <definedName name="_xlnm._FilterDatabase" localSheetId="1" hidden="1">'Weekly Data Input'!#REF!</definedName>
  </definedNames>
  <calcPr calcId="191028"/>
  <pivotCaches>
    <pivotCache cacheId="4017" r:id="rId15"/>
    <pivotCache cacheId="401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K90" i="59" l="1"/>
  <c r="K98" i="59"/>
  <c r="K99" i="59"/>
  <c r="J90" i="59"/>
  <c r="J98" i="59"/>
  <c r="J99" i="59"/>
  <c r="G14" i="6"/>
  <c r="G12" i="6"/>
  <c r="G11" i="6"/>
  <c r="G10" i="6"/>
  <c r="G9" i="6"/>
  <c r="G8" i="6"/>
  <c r="G7" i="6"/>
  <c r="H11" i="64"/>
  <c r="H10" i="64"/>
  <c r="H9" i="64"/>
  <c r="H8" i="64"/>
  <c r="H7" i="64"/>
  <c r="H6" i="64"/>
  <c r="J11" i="61"/>
  <c r="I11" i="61"/>
  <c r="J10" i="61"/>
  <c r="I10" i="61"/>
  <c r="J9" i="61"/>
  <c r="I9" i="61"/>
  <c r="J8" i="61"/>
  <c r="I8" i="61"/>
  <c r="J7" i="61"/>
  <c r="I7" i="61"/>
  <c r="J6" i="61"/>
  <c r="I6" i="61"/>
  <c r="C73" i="5" l="1"/>
  <c r="K91" i="59"/>
  <c r="K92" i="59"/>
  <c r="K93" i="59"/>
  <c r="K100" i="59"/>
  <c r="K64" i="59"/>
  <c r="K65" i="59"/>
  <c r="K66" i="59"/>
  <c r="K67" i="59"/>
  <c r="K73" i="59"/>
  <c r="K94" i="59"/>
  <c r="K97" i="59"/>
  <c r="K62" i="59"/>
  <c r="K63" i="59"/>
  <c r="K81" i="59"/>
  <c r="K82" i="59"/>
  <c r="K83" i="59"/>
  <c r="K84" i="59"/>
  <c r="K87" i="59"/>
  <c r="K88" i="59"/>
  <c r="J91" i="59"/>
  <c r="J92" i="59"/>
  <c r="J93" i="59"/>
  <c r="J100" i="59"/>
  <c r="J64" i="59"/>
  <c r="J65" i="59"/>
  <c r="J66" i="59"/>
  <c r="J67" i="59"/>
  <c r="J73" i="59"/>
  <c r="J94" i="59"/>
  <c r="J97" i="59"/>
  <c r="J62" i="59"/>
  <c r="J63" i="59"/>
  <c r="J81" i="59"/>
  <c r="J82" i="59"/>
  <c r="J83" i="59"/>
  <c r="J84" i="59"/>
  <c r="J87" i="59"/>
  <c r="J88" i="59"/>
  <c r="L73" i="5" l="1"/>
  <c r="M73" i="5"/>
  <c r="L74" i="5"/>
  <c r="M74" i="5"/>
  <c r="L75" i="5"/>
  <c r="M75" i="5"/>
  <c r="L76" i="5"/>
  <c r="M76" i="5"/>
  <c r="L77" i="5"/>
  <c r="M77" i="5"/>
  <c r="L81" i="5"/>
  <c r="M81" i="5"/>
  <c r="F44" i="5" l="1"/>
  <c r="K69" i="59" l="1"/>
  <c r="K76" i="59"/>
  <c r="K77" i="59"/>
  <c r="K85" i="59"/>
  <c r="K57" i="59"/>
  <c r="K59" i="59"/>
  <c r="K101" i="59"/>
  <c r="K9" i="59"/>
  <c r="K17" i="59"/>
  <c r="K46" i="59"/>
  <c r="K20" i="59"/>
  <c r="K23" i="59"/>
  <c r="K24" i="59"/>
  <c r="K25" i="59"/>
  <c r="K10" i="59"/>
  <c r="K14" i="59"/>
  <c r="K58" i="59"/>
  <c r="K60" i="59"/>
  <c r="K7" i="59"/>
  <c r="J69" i="59"/>
  <c r="J76" i="59"/>
  <c r="J77" i="59"/>
  <c r="J85" i="59"/>
  <c r="J57" i="59"/>
  <c r="J59" i="59"/>
  <c r="J101" i="59"/>
  <c r="J9" i="59"/>
  <c r="J17" i="59"/>
  <c r="J46" i="59"/>
  <c r="J20" i="59"/>
  <c r="J23" i="59"/>
  <c r="J24" i="59"/>
  <c r="J25" i="59"/>
  <c r="J10" i="59"/>
  <c r="J14" i="59"/>
  <c r="J58" i="59"/>
  <c r="J60" i="59"/>
  <c r="J7" i="59"/>
  <c r="H7" i="6"/>
  <c r="I14" i="6"/>
  <c r="H14" i="6"/>
  <c r="H9" i="6"/>
  <c r="H10" i="6"/>
  <c r="H12" i="6"/>
  <c r="H8" i="6"/>
  <c r="H11" i="6"/>
  <c r="I9" i="64"/>
  <c r="J6" i="64"/>
  <c r="J9" i="64"/>
  <c r="I7" i="64"/>
  <c r="I10" i="64"/>
  <c r="J8" i="64"/>
  <c r="I11" i="64"/>
  <c r="I8" i="64"/>
  <c r="J7" i="64"/>
  <c r="I6" i="64"/>
  <c r="C76" i="5" l="1"/>
  <c r="G76" i="5"/>
  <c r="I75" i="5"/>
  <c r="J76" i="5"/>
  <c r="F74" i="5"/>
  <c r="F75" i="5"/>
  <c r="J79" i="5"/>
  <c r="I80" i="5"/>
  <c r="F80" i="5"/>
  <c r="G73" i="5"/>
  <c r="G74" i="5"/>
  <c r="J75" i="5"/>
  <c r="I73" i="5"/>
  <c r="I76" i="5"/>
  <c r="C79" i="5"/>
  <c r="G75" i="5"/>
  <c r="J73" i="5"/>
  <c r="F79" i="5"/>
  <c r="C75" i="5"/>
  <c r="J74" i="5"/>
  <c r="F73" i="5"/>
  <c r="F76" i="5"/>
  <c r="H76" i="5" s="1"/>
  <c r="C80" i="5"/>
  <c r="C74" i="5"/>
  <c r="G79" i="5"/>
  <c r="G80" i="5"/>
  <c r="I79" i="5"/>
  <c r="I74" i="5"/>
  <c r="J80" i="5"/>
  <c r="J15" i="59"/>
  <c r="J38" i="59"/>
  <c r="J12" i="59"/>
  <c r="J55" i="59"/>
  <c r="J86" i="59"/>
  <c r="J43" i="59"/>
  <c r="J44" i="59"/>
  <c r="J22" i="59"/>
  <c r="J27" i="59"/>
  <c r="J18" i="59"/>
  <c r="J61" i="59"/>
  <c r="J3" i="59"/>
  <c r="J13" i="59"/>
  <c r="J75" i="59"/>
  <c r="J78" i="59"/>
  <c r="J96" i="59"/>
  <c r="J70" i="59"/>
  <c r="J54" i="59"/>
  <c r="J68" i="59"/>
  <c r="J45" i="59"/>
  <c r="J72" i="59"/>
  <c r="J35" i="59"/>
  <c r="J50" i="59"/>
  <c r="J2" i="59"/>
  <c r="J52" i="59"/>
  <c r="J53" i="59"/>
  <c r="J89" i="59"/>
  <c r="J71" i="59"/>
  <c r="J5" i="59"/>
  <c r="J28" i="59"/>
  <c r="J34" i="59"/>
  <c r="J47" i="59"/>
  <c r="J4" i="59"/>
  <c r="J95" i="59"/>
  <c r="J6" i="59"/>
  <c r="J16" i="59"/>
  <c r="J36" i="59"/>
  <c r="J39" i="59"/>
  <c r="J40" i="59"/>
  <c r="J56" i="59"/>
  <c r="J74" i="59"/>
  <c r="J37" i="59"/>
  <c r="J21" i="59"/>
  <c r="J19" i="59"/>
  <c r="J48" i="59"/>
  <c r="J49" i="59"/>
  <c r="J79" i="59"/>
  <c r="J80" i="59"/>
  <c r="J26" i="59"/>
  <c r="J30" i="59"/>
  <c r="J31" i="59"/>
  <c r="J29" i="59"/>
  <c r="J8" i="59"/>
  <c r="J11" i="59"/>
  <c r="J51" i="59"/>
  <c r="J32" i="59"/>
  <c r="J33" i="59"/>
  <c r="J41" i="59"/>
  <c r="J42" i="59"/>
  <c r="H79" i="5" l="1"/>
  <c r="H75" i="5"/>
  <c r="J77" i="5"/>
  <c r="G77" i="5"/>
  <c r="K80" i="5"/>
  <c r="H74" i="5"/>
  <c r="C77" i="5"/>
  <c r="I77" i="5"/>
  <c r="K79" i="5"/>
  <c r="H80" i="5"/>
  <c r="H73" i="5"/>
  <c r="F77" i="5"/>
  <c r="I12" i="6"/>
  <c r="J11" i="64"/>
  <c r="K11" i="61"/>
  <c r="H5" i="63"/>
  <c r="J11" i="63"/>
  <c r="I11" i="63"/>
  <c r="I10" i="63"/>
  <c r="J10" i="63"/>
  <c r="H11" i="63"/>
  <c r="H10" i="63"/>
  <c r="H77" i="5" l="1"/>
  <c r="D80" i="5"/>
  <c r="E80" i="5" s="1"/>
  <c r="C47" i="5"/>
  <c r="D47" i="5"/>
  <c r="K40" i="59"/>
  <c r="K52" i="59"/>
  <c r="K30" i="59"/>
  <c r="K49" i="59"/>
  <c r="K75" i="59"/>
  <c r="K5" i="59"/>
  <c r="K61" i="59"/>
  <c r="K8" i="59"/>
  <c r="K95" i="59"/>
  <c r="K55" i="59"/>
  <c r="K39" i="59"/>
  <c r="K29" i="59"/>
  <c r="K43" i="59"/>
  <c r="K86" i="59"/>
  <c r="K16" i="59"/>
  <c r="K45" i="59"/>
  <c r="K78" i="59"/>
  <c r="K89" i="59"/>
  <c r="K74" i="59"/>
  <c r="K19" i="59"/>
  <c r="K34" i="59"/>
  <c r="K54" i="59"/>
  <c r="K18" i="59"/>
  <c r="K96" i="59"/>
  <c r="K79" i="59"/>
  <c r="K4" i="59"/>
  <c r="K56" i="59"/>
  <c r="K22" i="59"/>
  <c r="K51" i="59"/>
  <c r="K72" i="59"/>
  <c r="K26" i="59"/>
  <c r="K50" i="59"/>
  <c r="K53" i="59"/>
  <c r="K68" i="59"/>
  <c r="K27" i="59"/>
  <c r="K70" i="59"/>
  <c r="K32" i="59"/>
  <c r="K33" i="59"/>
  <c r="K41" i="59"/>
  <c r="K42" i="59"/>
  <c r="E47" i="5" l="1"/>
  <c r="I47" i="5" s="1"/>
  <c r="K31" i="59"/>
  <c r="K48" i="59"/>
  <c r="K36" i="59"/>
  <c r="K28" i="59"/>
  <c r="K15" i="59"/>
  <c r="K38" i="59"/>
  <c r="K71" i="59"/>
  <c r="K37" i="59"/>
  <c r="K3" i="59"/>
  <c r="K12" i="59"/>
  <c r="K6" i="59"/>
  <c r="K80" i="59"/>
  <c r="K21" i="59"/>
  <c r="K47" i="59"/>
  <c r="K11" i="59"/>
  <c r="K2" i="59"/>
  <c r="K35" i="59"/>
  <c r="K44" i="59"/>
  <c r="K13" i="59"/>
  <c r="F13" i="5" l="1"/>
  <c r="I11" i="6"/>
  <c r="J10" i="64"/>
  <c r="K10" i="61"/>
  <c r="J5" i="63"/>
  <c r="I5" i="63"/>
  <c r="D76" i="5" l="1"/>
  <c r="E76" i="5" s="1"/>
  <c r="H47" i="5"/>
  <c r="D13" i="5" s="1"/>
  <c r="H13" i="5" s="1"/>
  <c r="G47" i="5"/>
  <c r="C13" i="5" s="1"/>
  <c r="F12" i="5" l="1"/>
  <c r="E12" i="5"/>
  <c r="E10" i="5"/>
  <c r="F10" i="5"/>
  <c r="F9" i="5"/>
  <c r="F8" i="5"/>
  <c r="F7" i="5"/>
  <c r="F6" i="5"/>
  <c r="E9" i="5"/>
  <c r="E8" i="5"/>
  <c r="E7" i="5"/>
  <c r="E6" i="5"/>
  <c r="I7" i="6"/>
  <c r="I9" i="6"/>
  <c r="I8" i="6"/>
  <c r="I10" i="6"/>
  <c r="K7" i="61"/>
  <c r="K6" i="61"/>
  <c r="K8" i="61"/>
  <c r="K9" i="61"/>
  <c r="H9" i="63"/>
  <c r="H7" i="63"/>
  <c r="J6" i="63"/>
  <c r="I9" i="63"/>
  <c r="H8" i="63"/>
  <c r="H6" i="63"/>
  <c r="I6" i="63"/>
  <c r="I7" i="63"/>
  <c r="J9" i="63"/>
  <c r="J7" i="63"/>
  <c r="I8" i="63"/>
  <c r="J8" i="63"/>
  <c r="K73" i="5" l="1"/>
  <c r="K76" i="5"/>
  <c r="K74" i="5"/>
  <c r="K75" i="5"/>
  <c r="D79" i="5"/>
  <c r="E79" i="5" s="1"/>
  <c r="D75" i="5"/>
  <c r="D73" i="5"/>
  <c r="E73" i="5" s="1"/>
  <c r="D74" i="5"/>
  <c r="E74" i="5" s="1"/>
  <c r="C42" i="5"/>
  <c r="D40" i="5"/>
  <c r="C46" i="5"/>
  <c r="G46" i="5" s="1"/>
  <c r="C43" i="5"/>
  <c r="D42" i="5"/>
  <c r="C41" i="5"/>
  <c r="D46" i="5"/>
  <c r="H46" i="5" s="1"/>
  <c r="D43" i="5"/>
  <c r="H43" i="5" s="1"/>
  <c r="D9" i="5" s="1"/>
  <c r="C40" i="5"/>
  <c r="D41" i="5"/>
  <c r="K77" i="5" l="1"/>
  <c r="D77" i="5"/>
  <c r="E77" i="5" s="1"/>
  <c r="E75" i="5"/>
  <c r="D12" i="5"/>
  <c r="H12" i="5" s="1"/>
  <c r="C12" i="5"/>
  <c r="G12" i="5" s="1"/>
  <c r="E46" i="5"/>
  <c r="I46" i="5" s="1"/>
  <c r="I12" i="5" l="1"/>
  <c r="H42" i="5" l="1"/>
  <c r="H41" i="5"/>
  <c r="G43" i="5"/>
  <c r="G41" i="5"/>
  <c r="G40" i="5"/>
  <c r="H40" i="5" l="1"/>
  <c r="D6" i="5" s="1"/>
  <c r="G42" i="5"/>
  <c r="C8" i="5" s="1"/>
  <c r="E40" i="5"/>
  <c r="D44" i="5"/>
  <c r="C44" i="5"/>
  <c r="E41" i="5"/>
  <c r="I41" i="5" s="1"/>
  <c r="E43" i="5"/>
  <c r="I43" i="5" s="1"/>
  <c r="E42" i="5"/>
  <c r="I42" i="5" s="1"/>
  <c r="D8" i="5"/>
  <c r="D7" i="5"/>
  <c r="C9" i="5"/>
  <c r="C7" i="5"/>
  <c r="C6" i="5"/>
  <c r="I40" i="5" l="1"/>
  <c r="G44" i="5"/>
  <c r="C10" i="5" s="1"/>
  <c r="G10" i="5" s="1"/>
  <c r="H44" i="5"/>
  <c r="D10" i="5" s="1"/>
  <c r="H10" i="5" s="1"/>
  <c r="E44" i="5"/>
  <c r="I44" i="5" s="1"/>
  <c r="G8" i="5"/>
  <c r="G9" i="5"/>
  <c r="G6" i="5"/>
  <c r="H6" i="5"/>
  <c r="G7" i="5"/>
  <c r="H7" i="5"/>
  <c r="H8" i="5"/>
  <c r="H9" i="5"/>
  <c r="I6" i="5" l="1"/>
  <c r="I10" i="5"/>
  <c r="I9" i="5"/>
  <c r="I8" i="5"/>
  <c r="I7" i="5"/>
</calcChain>
</file>

<file path=xl/sharedStrings.xml><?xml version="1.0" encoding="utf-8"?>
<sst xmlns="http://schemas.openxmlformats.org/spreadsheetml/2006/main" count="2021" uniqueCount="377">
  <si>
    <t>This weekly skeleton is built to incorporate the "009" data sheet and the "weekly" datasheet from CMC.</t>
  </si>
  <si>
    <t>Copy and Paste the values from these files into the corresponding tabs each week and save a copy of original file</t>
  </si>
  <si>
    <t>Each Pivot Table directs you to the data set it is using and the graph it is sending data to</t>
  </si>
  <si>
    <t>Things to note:</t>
  </si>
  <si>
    <t>009 File does NOT include gravid traps or malfunction traps</t>
  </si>
  <si>
    <t>Change all Loveland Zones to LV</t>
  </si>
  <si>
    <t>All "sp." are to be changed to pipiens in 009 AND data sheet</t>
  </si>
  <si>
    <t>Must make "PIR-City" and "PIR-Zone" each week and save them as values, not equations</t>
  </si>
  <si>
    <t>Values in tabs are routed to values in graphs save the CITYINFRATE and ZONEINFRATE. You must copy and paste values from the "Pooled Inf Rate" software into the appropriate places in the worksheet.</t>
  </si>
  <si>
    <t>Highlite all positives in Weekly Data Input</t>
  </si>
  <si>
    <t>Year</t>
  </si>
  <si>
    <t>CSU Pool Number     (CMC enters)</t>
  </si>
  <si>
    <t>IDA Pool (CSU enters, leave blank)</t>
  </si>
  <si>
    <t>Week</t>
  </si>
  <si>
    <t>Trap Date</t>
  </si>
  <si>
    <t>County</t>
  </si>
  <si>
    <t>Account</t>
  </si>
  <si>
    <t>Collection Site (Trap ID)</t>
  </si>
  <si>
    <t>Zone</t>
  </si>
  <si>
    <t>Method (Light or Gravid)</t>
  </si>
  <si>
    <t>Genus</t>
  </si>
  <si>
    <t>Spp</t>
  </si>
  <si>
    <t>Sex</t>
  </si>
  <si>
    <t>No. Gravid</t>
  </si>
  <si>
    <t>No. Deplete</t>
  </si>
  <si>
    <t>Total</t>
  </si>
  <si>
    <t>Test code (CSU enters)</t>
  </si>
  <si>
    <t>Test Result (CSU enters)</t>
  </si>
  <si>
    <t>Comments</t>
  </si>
  <si>
    <t>PIR-City</t>
  </si>
  <si>
    <t>PIR-Zone</t>
  </si>
  <si>
    <t>CSU-19175</t>
  </si>
  <si>
    <t>LC</t>
  </si>
  <si>
    <t>LV</t>
  </si>
  <si>
    <t>LV-069</t>
  </si>
  <si>
    <t>L</t>
  </si>
  <si>
    <t>Cx.</t>
  </si>
  <si>
    <t>Tarsalis</t>
  </si>
  <si>
    <t>F</t>
  </si>
  <si>
    <t>Negative</t>
  </si>
  <si>
    <t>LV-Tar</t>
  </si>
  <si>
    <t>CSU-19176</t>
  </si>
  <si>
    <t>LV-095</t>
  </si>
  <si>
    <t>CSU-19177</t>
  </si>
  <si>
    <t xml:space="preserve">Pipiens </t>
  </si>
  <si>
    <t>LV-Pip</t>
  </si>
  <si>
    <t>CSU-19178</t>
  </si>
  <si>
    <t>FC</t>
  </si>
  <si>
    <t>FC-069</t>
  </si>
  <si>
    <t>NE</t>
  </si>
  <si>
    <t>FC-Tar</t>
  </si>
  <si>
    <t>NE-Tar</t>
  </si>
  <si>
    <t>CSU-19179</t>
  </si>
  <si>
    <t>FC-066</t>
  </si>
  <si>
    <t>CSU-19180</t>
  </si>
  <si>
    <t>FC-Pip</t>
  </si>
  <si>
    <t>NE-Pip</t>
  </si>
  <si>
    <t>CSU-19181</t>
  </si>
  <si>
    <t>FC-040gr</t>
  </si>
  <si>
    <t>G</t>
  </si>
  <si>
    <t>CSU-19182</t>
  </si>
  <si>
    <t>FC-014</t>
  </si>
  <si>
    <t>CSU-19183</t>
  </si>
  <si>
    <t>FC-092gr</t>
  </si>
  <si>
    <t>CSU-19184</t>
  </si>
  <si>
    <t>FC-034</t>
  </si>
  <si>
    <t>CSU-19185</t>
  </si>
  <si>
    <t>FC-066gr</t>
  </si>
  <si>
    <t>CSU-19186</t>
  </si>
  <si>
    <t>CSU-19187</t>
  </si>
  <si>
    <t>FC-036</t>
  </si>
  <si>
    <t>NW</t>
  </si>
  <si>
    <t>NW-Tar</t>
  </si>
  <si>
    <t>CSU-19188</t>
  </si>
  <si>
    <t>NW-Pip</t>
  </si>
  <si>
    <t>CSU-19189</t>
  </si>
  <si>
    <t>FC-019</t>
  </si>
  <si>
    <t>CSU-19190</t>
  </si>
  <si>
    <t>LV-104</t>
  </si>
  <si>
    <t>CSU-19191</t>
  </si>
  <si>
    <t>LV-089</t>
  </si>
  <si>
    <t>CSU-19192</t>
  </si>
  <si>
    <t>CSU-19193</t>
  </si>
  <si>
    <t>CSU-19194</t>
  </si>
  <si>
    <t>LV-110</t>
  </si>
  <si>
    <t>CSU-19195</t>
  </si>
  <si>
    <t>FC-039</t>
  </si>
  <si>
    <t>SE</t>
  </si>
  <si>
    <t>SE-Tar</t>
  </si>
  <si>
    <t>CSU-19196</t>
  </si>
  <si>
    <t>FC-053</t>
  </si>
  <si>
    <t>CSU-19197</t>
  </si>
  <si>
    <t>FC-027</t>
  </si>
  <si>
    <t>CSU-19198</t>
  </si>
  <si>
    <t>FC-059</t>
  </si>
  <si>
    <t>CSU-19199</t>
  </si>
  <si>
    <t>SE-Pip</t>
  </si>
  <si>
    <t>CSU-19200</t>
  </si>
  <si>
    <t>FC-004</t>
  </si>
  <si>
    <t>CSU-19201</t>
  </si>
  <si>
    <t>FC-074</t>
  </si>
  <si>
    <t>CSU-19202</t>
  </si>
  <si>
    <t>FC-023</t>
  </si>
  <si>
    <t>CSU-19203</t>
  </si>
  <si>
    <t>FC-064</t>
  </si>
  <si>
    <t>CSU-19204</t>
  </si>
  <si>
    <t>CSU-19205</t>
  </si>
  <si>
    <t>FC-088gr</t>
  </si>
  <si>
    <t>CSU-19206</t>
  </si>
  <si>
    <t>FC-050</t>
  </si>
  <si>
    <t>CSU-19207</t>
  </si>
  <si>
    <t>FC-046</t>
  </si>
  <si>
    <t>CSU-19208</t>
  </si>
  <si>
    <t>CSU-19209</t>
  </si>
  <si>
    <t>FC-075</t>
  </si>
  <si>
    <t>CSU-19210</t>
  </si>
  <si>
    <t>CSU-19211</t>
  </si>
  <si>
    <t>FC-047</t>
  </si>
  <si>
    <t>CSU-19212</t>
  </si>
  <si>
    <t>FC-031</t>
  </si>
  <si>
    <t>CSU-19213</t>
  </si>
  <si>
    <t>CSU-19214</t>
  </si>
  <si>
    <t>FC-075gr</t>
  </si>
  <si>
    <t>CSU-19215</t>
  </si>
  <si>
    <t>FC-073</t>
  </si>
  <si>
    <t>CSU-19216</t>
  </si>
  <si>
    <t>CSU-19217</t>
  </si>
  <si>
    <t>BE</t>
  </si>
  <si>
    <t>LC-054</t>
  </si>
  <si>
    <t>BE-Tar</t>
  </si>
  <si>
    <t>CSU-19218</t>
  </si>
  <si>
    <t>LC-001</t>
  </si>
  <si>
    <t>CSU-19219</t>
  </si>
  <si>
    <t>LC-053</t>
  </si>
  <si>
    <t>CSU-19220</t>
  </si>
  <si>
    <t>LC-049</t>
  </si>
  <si>
    <t>CSU-19221</t>
  </si>
  <si>
    <t>LV-020</t>
  </si>
  <si>
    <t>CSU-19222</t>
  </si>
  <si>
    <t>FC-052</t>
  </si>
  <si>
    <t>CSU-19223</t>
  </si>
  <si>
    <t>CSU-19224</t>
  </si>
  <si>
    <t>FC-061</t>
  </si>
  <si>
    <t>CSU-19225</t>
  </si>
  <si>
    <t>CSU-19226</t>
  </si>
  <si>
    <t>FC-041</t>
  </si>
  <si>
    <t>CSU-19227</t>
  </si>
  <si>
    <t>CSU-19228</t>
  </si>
  <si>
    <t>FC-060</t>
  </si>
  <si>
    <t>CSU-19229</t>
  </si>
  <si>
    <t>CSU-19230</t>
  </si>
  <si>
    <t>WC-055</t>
  </si>
  <si>
    <t>CSU-19231</t>
  </si>
  <si>
    <t>FC-090gr</t>
  </si>
  <si>
    <t>CSU-19232</t>
  </si>
  <si>
    <t>FC-011</t>
  </si>
  <si>
    <t>CSU-19233</t>
  </si>
  <si>
    <t>CSU-19234</t>
  </si>
  <si>
    <t>FC-063gr</t>
  </si>
  <si>
    <t>CSU-19235</t>
  </si>
  <si>
    <t>FC-058</t>
  </si>
  <si>
    <t>SW</t>
  </si>
  <si>
    <t>SW-Tar</t>
  </si>
  <si>
    <t>CSU-19236</t>
  </si>
  <si>
    <t>FC-015</t>
  </si>
  <si>
    <t>CSU-19237</t>
  </si>
  <si>
    <t>FC-001</t>
  </si>
  <si>
    <t>CSU-19238</t>
  </si>
  <si>
    <t>SW-Pip</t>
  </si>
  <si>
    <t>CSU-19239</t>
  </si>
  <si>
    <t>FC-054</t>
  </si>
  <si>
    <t>CSU-19240</t>
  </si>
  <si>
    <t>CSU-19241</t>
  </si>
  <si>
    <t>FC-029</t>
  </si>
  <si>
    <t>CSU-19242</t>
  </si>
  <si>
    <t>CSU-19243</t>
  </si>
  <si>
    <t>FC-062</t>
  </si>
  <si>
    <t>CSU-19244</t>
  </si>
  <si>
    <t>CSU-19245</t>
  </si>
  <si>
    <t>FC-093</t>
  </si>
  <si>
    <t>CSU-19246</t>
  </si>
  <si>
    <t>CSU-19247</t>
  </si>
  <si>
    <t>FC-089gr</t>
  </si>
  <si>
    <t>CSU-19248</t>
  </si>
  <si>
    <t>FC-071</t>
  </si>
  <si>
    <t>CSU-19249</t>
  </si>
  <si>
    <t>CSU-19250</t>
  </si>
  <si>
    <t>FC-057</t>
  </si>
  <si>
    <t>CSU-19251</t>
  </si>
  <si>
    <t>CSU-19252</t>
  </si>
  <si>
    <t>FC-037</t>
  </si>
  <si>
    <t>Infection Rate</t>
  </si>
  <si>
    <t>Lower Limit</t>
  </si>
  <si>
    <t>Upper Limit</t>
  </si>
  <si>
    <t>Scale</t>
  </si>
  <si>
    <t>Point Est Method</t>
  </si>
  <si>
    <t>CI Method</t>
  </si>
  <si>
    <t>Num Pools</t>
  </si>
  <si>
    <t>Num Pos Pools</t>
  </si>
  <si>
    <t>Num Individuals</t>
  </si>
  <si>
    <t>MLE</t>
  </si>
  <si>
    <t>Score</t>
  </si>
  <si>
    <t>Contract</t>
  </si>
  <si>
    <t>Location</t>
  </si>
  <si>
    <t>Species</t>
  </si>
  <si>
    <t>Total CX</t>
  </si>
  <si>
    <t>Type</t>
  </si>
  <si>
    <t>Trap Number</t>
  </si>
  <si>
    <t>Cx tarsalis</t>
  </si>
  <si>
    <t>Cx pipiens</t>
  </si>
  <si>
    <t>Fort Collins</t>
  </si>
  <si>
    <t>Magic Carpet</t>
  </si>
  <si>
    <t>Culex tarsalis</t>
  </si>
  <si>
    <t>CDC Light Trap</t>
  </si>
  <si>
    <t>Culex pipiens</t>
  </si>
  <si>
    <t>Big Horn</t>
  </si>
  <si>
    <t>Golden Current</t>
  </si>
  <si>
    <t>FC Visitor Center</t>
  </si>
  <si>
    <t>Stuart and Dorset</t>
  </si>
  <si>
    <t>Edora Park</t>
  </si>
  <si>
    <t>Boltz</t>
  </si>
  <si>
    <t>3001 San Luis</t>
  </si>
  <si>
    <t>Ben's Park</t>
  </si>
  <si>
    <t>Willow Springs</t>
  </si>
  <si>
    <t>Country Club</t>
  </si>
  <si>
    <t>Hemlock</t>
  </si>
  <si>
    <t xml:space="preserve">FC-036 </t>
  </si>
  <si>
    <t>Chelsea Ridge</t>
  </si>
  <si>
    <t>Fossil Creek South</t>
  </si>
  <si>
    <t>Fishback</t>
  </si>
  <si>
    <t>Westshore Ct</t>
  </si>
  <si>
    <t>Keeneland And Twin Oak</t>
  </si>
  <si>
    <t>Golden Meadows Ditch</t>
  </si>
  <si>
    <t>603 Gilgalad Way</t>
  </si>
  <si>
    <t>Egret and Rookery</t>
  </si>
  <si>
    <t>737 Parliament</t>
  </si>
  <si>
    <t>Registry Ridge</t>
  </si>
  <si>
    <t>Spring Creek Trail-- Michener Dr</t>
  </si>
  <si>
    <t>Springwood and Lochwood</t>
  </si>
  <si>
    <t>808 Ponderosa</t>
  </si>
  <si>
    <t>Holley Plant Research Center</t>
  </si>
  <si>
    <t>Water's Edge at Blue Mesa</t>
  </si>
  <si>
    <t>West Chase</t>
  </si>
  <si>
    <t>Prospect Ponds</t>
  </si>
  <si>
    <t>Linden Lake Rd</t>
  </si>
  <si>
    <t>Silvergate Rd</t>
  </si>
  <si>
    <t xml:space="preserve">118 S Grant </t>
  </si>
  <si>
    <t>Rock Creek</t>
  </si>
  <si>
    <t>Sage Creek North</t>
  </si>
  <si>
    <t>Lopez Elementary</t>
  </si>
  <si>
    <t>Berthoud</t>
  </si>
  <si>
    <t>Berthoud Park</t>
  </si>
  <si>
    <t xml:space="preserve">LC-001 </t>
  </si>
  <si>
    <t>Berthoud North</t>
  </si>
  <si>
    <t xml:space="preserve">LC-049 </t>
  </si>
  <si>
    <t>Berthoud West</t>
  </si>
  <si>
    <t xml:space="preserve">LC-053 </t>
  </si>
  <si>
    <t>Berthoud Point</t>
  </si>
  <si>
    <t xml:space="preserve">LC-054 </t>
  </si>
  <si>
    <t>Loveland</t>
  </si>
  <si>
    <t>29th and Madison</t>
  </si>
  <si>
    <t>LV-004</t>
  </si>
  <si>
    <t>Estrella Park</t>
  </si>
  <si>
    <t>LV-014</t>
  </si>
  <si>
    <t>Jocelyn and Eagle</t>
  </si>
  <si>
    <t>LV-019</t>
  </si>
  <si>
    <t>Cattail Pond</t>
  </si>
  <si>
    <t xml:space="preserve">Linda and 26th </t>
  </si>
  <si>
    <t>LV-021</t>
  </si>
  <si>
    <t>Del Norte Private Park</t>
  </si>
  <si>
    <t>LV-067</t>
  </si>
  <si>
    <t>Horseshoe Pennninsula</t>
  </si>
  <si>
    <t>Jefferson and 11th</t>
  </si>
  <si>
    <t>LV-074</t>
  </si>
  <si>
    <t>7 Lakes Park</t>
  </si>
  <si>
    <t>LV-078</t>
  </si>
  <si>
    <t>Harding and Reagan</t>
  </si>
  <si>
    <t>LV-080</t>
  </si>
  <si>
    <t>Derby Hill</t>
  </si>
  <si>
    <t>LV-087</t>
  </si>
  <si>
    <t>2229 Arikaree</t>
  </si>
  <si>
    <t>LV-088</t>
  </si>
  <si>
    <t>9th and DesMoines</t>
  </si>
  <si>
    <t>Pond at Silver Lake</t>
  </si>
  <si>
    <t>LV-093</t>
  </si>
  <si>
    <t>Boyd Lake</t>
  </si>
  <si>
    <t>Farasita at Rist Benson</t>
  </si>
  <si>
    <t>LV-097</t>
  </si>
  <si>
    <t>Benson Sculpture Park</t>
  </si>
  <si>
    <t>LV-098</t>
  </si>
  <si>
    <t>Cattails Golfcourse</t>
  </si>
  <si>
    <t>LV-099</t>
  </si>
  <si>
    <t>Blue Tree Realty</t>
  </si>
  <si>
    <t>LV-100</t>
  </si>
  <si>
    <t>Glen Isle Ditch</t>
  </si>
  <si>
    <t>LV-102</t>
  </si>
  <si>
    <t>Cr 20 and 9</t>
  </si>
  <si>
    <t>West 43rd Railroad</t>
  </si>
  <si>
    <t>LV-105</t>
  </si>
  <si>
    <t xml:space="preserve">Big Thompson </t>
  </si>
  <si>
    <t>915 S Boise</t>
  </si>
  <si>
    <t>LV-112</t>
  </si>
  <si>
    <t>Jill Drive Pond</t>
  </si>
  <si>
    <t>LV-114</t>
  </si>
  <si>
    <t>Sundisk and 13E</t>
  </si>
  <si>
    <t>LV-116</t>
  </si>
  <si>
    <t>Centerra</t>
  </si>
  <si>
    <t>LV-117</t>
  </si>
  <si>
    <t>End of City Limits North</t>
  </si>
  <si>
    <t>LV-120</t>
  </si>
  <si>
    <t>Fallgold</t>
  </si>
  <si>
    <t>LV-122</t>
  </si>
  <si>
    <t>Bldg D190, 815 14th Street Southwest, Loveland, CO 80537, USA</t>
  </si>
  <si>
    <t>LV-124</t>
  </si>
  <si>
    <t>Berthoud East</t>
  </si>
  <si>
    <t>FROM 009 FILE</t>
  </si>
  <si>
    <t>Corresponds to 2a</t>
  </si>
  <si>
    <t>(All)</t>
  </si>
  <si>
    <t>Row Labels</t>
  </si>
  <si>
    <t>Sum of Cx pipiens</t>
  </si>
  <si>
    <t>Sum of Cx tarsalis</t>
  </si>
  <si>
    <t>Sum of Total CX</t>
  </si>
  <si>
    <t>Grand Total</t>
  </si>
  <si>
    <t>BC</t>
  </si>
  <si>
    <t>FROM WEEKLY DATA INPUT</t>
  </si>
  <si>
    <t>Corresponds to 3a</t>
  </si>
  <si>
    <t>Sum of Total</t>
  </si>
  <si>
    <t>Column Labels</t>
  </si>
  <si>
    <t>pipiens</t>
  </si>
  <si>
    <t>tarsalis</t>
  </si>
  <si>
    <t>Count of CSU Pool Number     (CMC enters)</t>
  </si>
  <si>
    <t>Sum of Test code (CSU enters)</t>
  </si>
  <si>
    <t>Count of CSU Pool</t>
  </si>
  <si>
    <t>CITY</t>
  </si>
  <si>
    <t>SPECIES</t>
  </si>
  <si>
    <t>Cx. pipiens</t>
  </si>
  <si>
    <t>Cx. tarsalis</t>
  </si>
  <si>
    <t>N/A</t>
  </si>
  <si>
    <t>ZONE</t>
  </si>
  <si>
    <t>GRAPH 1A</t>
  </si>
  <si>
    <r>
      <t>Mean abundance of females per trap night</t>
    </r>
    <r>
      <rPr>
        <vertAlign val="superscript"/>
        <sz val="10"/>
        <color theme="1"/>
        <rFont val="Arial"/>
        <family val="2"/>
      </rPr>
      <t>1</t>
    </r>
  </si>
  <si>
    <t>Estimate for proportion of</t>
  </si>
  <si>
    <r>
      <t>females infected with WNV</t>
    </r>
    <r>
      <rPr>
        <vertAlign val="superscript"/>
        <sz val="10"/>
        <color theme="1"/>
        <rFont val="Arial"/>
        <family val="2"/>
      </rPr>
      <t>2</t>
    </r>
  </si>
  <si>
    <t>Vector Index</t>
  </si>
  <si>
    <t>Week: 23</t>
  </si>
  <si>
    <t xml:space="preserve">Cx. </t>
  </si>
  <si>
    <r>
      <t>Cx. pipiens</t>
    </r>
    <r>
      <rPr>
        <b/>
        <i/>
        <vertAlign val="superscript"/>
        <sz val="10"/>
        <color theme="1"/>
        <rFont val="Arial"/>
        <family val="2"/>
      </rPr>
      <t>3</t>
    </r>
  </si>
  <si>
    <r>
      <t>Cx. tarsalis</t>
    </r>
    <r>
      <rPr>
        <b/>
        <i/>
        <vertAlign val="superscript"/>
        <sz val="10"/>
        <color theme="1"/>
        <rFont val="Arial"/>
        <family val="2"/>
      </rPr>
      <t>4</t>
    </r>
  </si>
  <si>
    <t xml:space="preserve">All </t>
  </si>
  <si>
    <r>
      <t>Culex</t>
    </r>
    <r>
      <rPr>
        <b/>
        <i/>
        <vertAlign val="superscript"/>
        <sz val="10"/>
        <color theme="1"/>
        <rFont val="Arial"/>
        <family val="2"/>
      </rPr>
      <t>5</t>
    </r>
  </si>
  <si>
    <t>FC – Zone NW</t>
  </si>
  <si>
    <t>FC – Zone NE</t>
  </si>
  <si>
    <t>FC – Zone SE</t>
  </si>
  <si>
    <t>FC – Zone SW</t>
  </si>
  <si>
    <t>FC – Citywide</t>
  </si>
  <si>
    <t>Graph 1B</t>
  </si>
  <si>
    <t xml:space="preserve">Week </t>
  </si>
  <si>
    <t>Current year</t>
  </si>
  <si>
    <r>
      <t>Historical average</t>
    </r>
    <r>
      <rPr>
        <vertAlign val="superscript"/>
        <sz val="9"/>
        <color theme="1"/>
        <rFont val="Arial"/>
        <family val="2"/>
      </rPr>
      <t>1</t>
    </r>
  </si>
  <si>
    <t>Graph 2a</t>
  </si>
  <si>
    <t>Total number</t>
  </si>
  <si>
    <t>Mean abundance of females per CDC light trap night</t>
  </si>
  <si>
    <t>females collected</t>
  </si>
  <si>
    <t>Number CDC light trap nights</t>
  </si>
  <si>
    <r>
      <t xml:space="preserve">All </t>
    </r>
    <r>
      <rPr>
        <i/>
        <sz val="10"/>
        <color theme="1"/>
        <rFont val="Arial"/>
        <family val="2"/>
      </rPr>
      <t>Culex</t>
    </r>
  </si>
  <si>
    <r>
      <t>Cx. pipiens</t>
    </r>
    <r>
      <rPr>
        <i/>
        <vertAlign val="superscript"/>
        <sz val="10"/>
        <color theme="1"/>
        <rFont val="Arial"/>
        <family val="2"/>
      </rPr>
      <t>1</t>
    </r>
  </si>
  <si>
    <r>
      <t>Cx. tarsalis</t>
    </r>
    <r>
      <rPr>
        <i/>
        <vertAlign val="superscript"/>
        <sz val="10"/>
        <color theme="1"/>
        <rFont val="Arial"/>
        <family val="2"/>
      </rPr>
      <t>2</t>
    </r>
  </si>
  <si>
    <r>
      <t>Culex</t>
    </r>
    <r>
      <rPr>
        <i/>
        <vertAlign val="superscript"/>
        <sz val="10"/>
        <color theme="1"/>
        <rFont val="Arial"/>
        <family val="2"/>
      </rPr>
      <t>3</t>
    </r>
  </si>
  <si>
    <t>Graph 2b</t>
  </si>
  <si>
    <t>Graph 3a</t>
  </si>
  <si>
    <t>Total number individuals examined</t>
  </si>
  <si>
    <t>Total number pools examined</t>
  </si>
  <si>
    <t xml:space="preserve">Total number </t>
  </si>
  <si>
    <r>
      <t>Estimate for WNV infection rate per 1,000 females</t>
    </r>
    <r>
      <rPr>
        <vertAlign val="superscript"/>
        <sz val="9"/>
        <color theme="1"/>
        <rFont val="Arial"/>
        <family val="2"/>
      </rPr>
      <t>1</t>
    </r>
  </si>
  <si>
    <t>WNV-infected pools</t>
  </si>
  <si>
    <r>
      <t xml:space="preserve">All </t>
    </r>
    <r>
      <rPr>
        <i/>
        <sz val="9"/>
        <color theme="1"/>
        <rFont val="Arial"/>
        <family val="2"/>
      </rPr>
      <t>Culex</t>
    </r>
  </si>
  <si>
    <t>Graph 3b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</si>
</sst>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d/yy;@"/>
    <numFmt numFmtId="165" formatCode="00"/>
    <numFmt numFmtId="166" formatCode="0.0"/>
    <numFmt numFmtId="167" formatCode="0.000"/>
    <numFmt numFmtId="168" formatCode="0.0000"/>
    <numFmt numFmtId="169" formatCode="#,###,###"/>
  </numFmts>
  <fonts count="20">
    <font>
      <sz val="11"/>
      <color theme="1"/>
      <name val="Calibri"/>
      <family val="2"/>
      <scheme val="minor"/>
    </font>
    <font>
      <sz val="10"/>
      <name val="Arial"/>
      <family val="2"/>
      <charset val="1"/>
    </font>
    <font>
      <sz val="10"/>
      <color theme="1"/>
      <name val="Arial"/>
      <family val="2"/>
    </font>
    <font>
      <vertAlign val="superscript"/>
      <sz val="10"/>
      <color theme="1"/>
      <name val="Arial"/>
      <family val="2"/>
    </font>
    <font>
      <b/>
      <sz val="10"/>
      <color theme="1"/>
      <name val="Arial"/>
      <family val="2"/>
    </font>
    <font>
      <i/>
      <sz val="10"/>
      <color theme="1"/>
      <name val="Arial"/>
      <family val="2"/>
    </font>
    <font>
      <b/>
      <i/>
      <sz val="10"/>
      <color theme="1"/>
      <name val="Arial"/>
      <family val="2"/>
    </font>
    <font>
      <b/>
      <i/>
      <vertAlign val="superscript"/>
      <sz val="10"/>
      <color theme="1"/>
      <name val="Arial"/>
      <family val="2"/>
    </font>
    <font>
      <sz val="9"/>
      <color theme="1"/>
      <name val="Arial"/>
      <family val="2"/>
    </font>
    <font>
      <vertAlign val="superscript"/>
      <sz val="9"/>
      <color theme="1"/>
      <name val="Arial"/>
      <family val="2"/>
    </font>
    <font>
      <i/>
      <vertAlign val="superscript"/>
      <sz val="10"/>
      <color theme="1"/>
      <name val="Arial"/>
      <family val="2"/>
    </font>
    <font>
      <i/>
      <sz val="9"/>
      <color theme="1"/>
      <name val="Arial"/>
      <family val="2"/>
    </font>
    <font>
      <b/>
      <sz val="11"/>
      <color theme="1"/>
      <name val="Calibri"/>
      <family val="2"/>
      <scheme val="minor"/>
    </font>
    <font>
      <b/>
      <sz val="8"/>
      <name val="Arial"/>
      <family val="2"/>
    </font>
    <font>
      <sz val="8"/>
      <name val="Arial"/>
      <family val="2"/>
    </font>
    <font>
      <b/>
      <u/>
      <sz val="11"/>
      <color theme="1"/>
      <name val="Calibri"/>
      <family val="2"/>
      <scheme val="minor"/>
    </font>
    <font>
      <sz val="9"/>
      <color rgb="FF000000"/>
      <name val="Arial"/>
      <family val="2"/>
    </font>
    <font>
      <sz val="8"/>
      <color theme="1"/>
      <name val="Arial"/>
      <family val="2"/>
    </font>
    <font>
      <sz val="11"/>
      <color indexed="8"/>
      <name val="Helvetica Neue"/>
      <family val="2"/>
    </font>
    <font>
      <sz val="8"/>
      <color rgb="FF000000"/>
      <name val="Arial"/>
      <family val="2"/>
    </font>
  </fonts>
  <fills count="7">
    <fill>
      <patternFill patternType="none"/>
    </fill>
    <fill>
      <patternFill patternType="gray125"/>
    </fill>
    <fill>
      <patternFill patternType="solid">
        <fgColor theme="4" tint="0.79998168889431442"/>
        <bgColor theme="4" tint="0.79998168889431442"/>
      </patternFill>
    </fill>
    <fill>
      <patternFill patternType="solid">
        <fgColor rgb="FFFFFF00"/>
        <bgColor indexed="64"/>
      </patternFill>
    </fill>
    <fill>
      <patternFill patternType="solid">
        <fgColor theme="0" tint="-0.34998626667073579"/>
        <bgColor indexed="64"/>
      </patternFill>
    </fill>
    <fill>
      <patternFill patternType="solid">
        <fgColor theme="0"/>
        <bgColor indexed="64"/>
      </patternFill>
    </fill>
    <fill>
      <patternFill patternType="solid">
        <fgColor theme="6" tint="0.59999389629810485"/>
        <bgColor indexed="64"/>
      </patternFill>
    </fill>
  </fills>
  <borders count="17">
    <border>
      <left/>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right/>
      <top/>
      <bottom style="thin">
        <color theme="4" tint="0.39997558519241921"/>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top style="thin">
        <color theme="4" tint="0.39997558519241921"/>
      </top>
      <bottom/>
      <diagonal/>
    </border>
  </borders>
  <cellStyleXfs count="3">
    <xf numFmtId="0" fontId="0" fillId="0" borderId="0"/>
    <xf numFmtId="0" fontId="1" fillId="0" borderId="0"/>
    <xf numFmtId="0" fontId="18" fillId="0" borderId="0" applyNumberFormat="0" applyFill="0" applyBorder="0" applyProtection="0">
      <alignment vertical="top"/>
    </xf>
  </cellStyleXfs>
  <cellXfs count="121">
    <xf numFmtId="0" fontId="0" fillId="0" borderId="0" xfId="0"/>
    <xf numFmtId="0" fontId="0" fillId="0" borderId="0" xfId="0" applyAlignment="1">
      <alignment horizontal="left"/>
    </xf>
    <xf numFmtId="0" fontId="0" fillId="0" borderId="0" xfId="0" pivotButton="1"/>
    <xf numFmtId="0" fontId="2" fillId="0" borderId="1" xfId="0" applyFont="1" applyBorder="1" applyAlignment="1">
      <alignment vertical="center" wrapText="1"/>
    </xf>
    <xf numFmtId="0" fontId="2" fillId="0" borderId="2" xfId="0" applyFont="1" applyBorder="1" applyAlignment="1">
      <alignment vertical="center" wrapText="1"/>
    </xf>
    <xf numFmtId="0" fontId="0" fillId="0" borderId="3" xfId="0" applyBorder="1" applyAlignment="1">
      <alignment vertical="top" wrapText="1"/>
    </xf>
    <xf numFmtId="0" fontId="5" fillId="0" borderId="6" xfId="0" applyFont="1" applyBorder="1" applyAlignment="1">
      <alignment horizontal="center" vertical="center" wrapText="1"/>
    </xf>
    <xf numFmtId="0" fontId="5" fillId="0" borderId="8" xfId="0" applyFont="1" applyBorder="1" applyAlignment="1">
      <alignment horizontal="center" vertical="center" wrapText="1"/>
    </xf>
    <xf numFmtId="0" fontId="4" fillId="0" borderId="6" xfId="0" applyFont="1" applyBorder="1" applyAlignment="1">
      <alignment horizontal="center" vertical="center" wrapText="1"/>
    </xf>
    <xf numFmtId="0" fontId="6" fillId="0" borderId="8" xfId="0" applyFont="1" applyBorder="1" applyAlignment="1">
      <alignment horizontal="center" vertical="center" wrapText="1"/>
    </xf>
    <xf numFmtId="0" fontId="2" fillId="0" borderId="3" xfId="0" applyFont="1" applyBorder="1" applyAlignment="1">
      <alignment vertical="center" wrapText="1"/>
    </xf>
    <xf numFmtId="0" fontId="2" fillId="0" borderId="8" xfId="0" applyFont="1" applyBorder="1" applyAlignment="1">
      <alignment horizontal="center" vertical="center" wrapText="1"/>
    </xf>
    <xf numFmtId="0" fontId="0" fillId="0" borderId="8" xfId="0" applyBorder="1" applyAlignment="1">
      <alignment vertical="top" wrapText="1"/>
    </xf>
    <xf numFmtId="0" fontId="2" fillId="0" borderId="6" xfId="0" applyFont="1" applyBorder="1" applyAlignment="1">
      <alignment horizontal="center" vertical="center" wrapText="1"/>
    </xf>
    <xf numFmtId="0" fontId="2" fillId="0" borderId="5" xfId="0" applyFont="1" applyBorder="1" applyAlignment="1">
      <alignment horizontal="center" vertical="center" wrapText="1"/>
    </xf>
    <xf numFmtId="0" fontId="8" fillId="0" borderId="1" xfId="0" applyFont="1" applyBorder="1" applyAlignment="1">
      <alignment vertical="center" wrapText="1"/>
    </xf>
    <xf numFmtId="0" fontId="8" fillId="0" borderId="2" xfId="0" applyFont="1" applyBorder="1" applyAlignment="1">
      <alignment vertical="center" wrapText="1"/>
    </xf>
    <xf numFmtId="0" fontId="8" fillId="0" borderId="3" xfId="0" applyFont="1" applyBorder="1" applyAlignment="1">
      <alignment vertical="center" wrapText="1"/>
    </xf>
    <xf numFmtId="0" fontId="8" fillId="0" borderId="5" xfId="0" applyFont="1" applyBorder="1" applyAlignment="1">
      <alignment horizontal="center" vertical="center" wrapText="1"/>
    </xf>
    <xf numFmtId="0" fontId="8" fillId="0" borderId="6" xfId="0" applyFont="1" applyBorder="1" applyAlignment="1">
      <alignment horizontal="center" vertical="center" wrapText="1"/>
    </xf>
    <xf numFmtId="0" fontId="8" fillId="0" borderId="8" xfId="0" applyFont="1" applyBorder="1" applyAlignment="1">
      <alignment horizontal="center" vertical="center" wrapText="1"/>
    </xf>
    <xf numFmtId="0" fontId="0" fillId="0" borderId="6" xfId="0" applyBorder="1" applyAlignment="1">
      <alignment vertical="top" wrapText="1"/>
    </xf>
    <xf numFmtId="0" fontId="11" fillId="0" borderId="8" xfId="0" applyFont="1" applyBorder="1" applyAlignment="1">
      <alignment horizontal="center" vertical="center" wrapText="1"/>
    </xf>
    <xf numFmtId="0" fontId="12" fillId="2" borderId="0" xfId="0" applyFont="1" applyFill="1"/>
    <xf numFmtId="0" fontId="12" fillId="2" borderId="12" xfId="0" applyFont="1" applyFill="1" applyBorder="1"/>
    <xf numFmtId="2" fontId="2" fillId="0" borderId="8" xfId="0" applyNumberFormat="1" applyFont="1" applyBorder="1" applyAlignment="1">
      <alignment horizontal="center" vertical="center" wrapText="1"/>
    </xf>
    <xf numFmtId="166" fontId="2" fillId="0" borderId="6" xfId="0" applyNumberFormat="1" applyFont="1" applyBorder="1" applyAlignment="1">
      <alignment horizontal="center" vertical="center" wrapText="1"/>
    </xf>
    <xf numFmtId="166" fontId="5" fillId="0" borderId="8" xfId="0" applyNumberFormat="1" applyFont="1" applyBorder="1" applyAlignment="1">
      <alignment horizontal="center" vertical="center" wrapText="1"/>
    </xf>
    <xf numFmtId="166" fontId="2" fillId="0" borderId="8" xfId="0" applyNumberFormat="1" applyFont="1" applyBorder="1" applyAlignment="1">
      <alignment horizontal="center" vertical="center" wrapText="1"/>
    </xf>
    <xf numFmtId="2" fontId="8" fillId="0" borderId="8" xfId="0" applyNumberFormat="1" applyFont="1" applyBorder="1" applyAlignment="1">
      <alignment horizontal="center" vertical="center" wrapText="1"/>
    </xf>
    <xf numFmtId="2" fontId="0" fillId="0" borderId="0" xfId="0" applyNumberFormat="1"/>
    <xf numFmtId="167" fontId="4" fillId="0" borderId="8" xfId="0" applyNumberFormat="1" applyFont="1" applyBorder="1" applyAlignment="1">
      <alignment horizontal="center" vertical="center" wrapText="1"/>
    </xf>
    <xf numFmtId="0" fontId="0" fillId="3" borderId="0" xfId="0" applyFill="1"/>
    <xf numFmtId="0" fontId="15" fillId="0" borderId="0" xfId="0" applyFont="1"/>
    <xf numFmtId="0" fontId="14" fillId="0" borderId="14" xfId="0" applyFont="1" applyBorder="1" applyAlignment="1">
      <alignment horizontal="left" vertical="center"/>
    </xf>
    <xf numFmtId="0" fontId="14" fillId="0" borderId="13" xfId="0" applyFont="1" applyBorder="1" applyAlignment="1">
      <alignment horizontal="left" vertical="center"/>
    </xf>
    <xf numFmtId="0" fontId="13" fillId="4" borderId="13" xfId="0" applyFont="1" applyFill="1" applyBorder="1" applyAlignment="1">
      <alignment horizontal="left" vertical="center" wrapText="1"/>
    </xf>
    <xf numFmtId="14" fontId="13" fillId="4" borderId="13" xfId="0" applyNumberFormat="1" applyFont="1" applyFill="1" applyBorder="1" applyAlignment="1">
      <alignment horizontal="left" vertical="center" wrapText="1"/>
    </xf>
    <xf numFmtId="0" fontId="13" fillId="4" borderId="14" xfId="0" applyFont="1" applyFill="1" applyBorder="1" applyAlignment="1">
      <alignment horizontal="left" vertical="center"/>
    </xf>
    <xf numFmtId="0" fontId="12" fillId="4" borderId="13" xfId="0" applyFont="1" applyFill="1" applyBorder="1"/>
    <xf numFmtId="168" fontId="2" fillId="0" borderId="8" xfId="0" applyNumberFormat="1" applyFont="1" applyBorder="1" applyAlignment="1">
      <alignment horizontal="center" vertical="center" wrapText="1"/>
    </xf>
    <xf numFmtId="0" fontId="8" fillId="0" borderId="3" xfId="0" applyFont="1" applyBorder="1" applyAlignment="1">
      <alignment horizontal="right" vertical="center" wrapText="1"/>
    </xf>
    <xf numFmtId="2" fontId="16" fillId="0" borderId="3" xfId="0" applyNumberFormat="1" applyFont="1" applyBorder="1" applyAlignment="1">
      <alignment horizontal="right" vertical="center" wrapText="1"/>
    </xf>
    <xf numFmtId="2" fontId="16" fillId="0" borderId="8" xfId="0" applyNumberFormat="1" applyFont="1" applyBorder="1" applyAlignment="1">
      <alignment horizontal="right" vertical="center" wrapText="1"/>
    </xf>
    <xf numFmtId="2" fontId="8" fillId="0" borderId="8" xfId="0" applyNumberFormat="1" applyFont="1" applyBorder="1" applyAlignment="1">
      <alignment horizontal="right" vertical="center" wrapText="1"/>
    </xf>
    <xf numFmtId="1" fontId="2" fillId="0" borderId="8" xfId="0" applyNumberFormat="1" applyFont="1" applyBorder="1" applyAlignment="1">
      <alignment horizontal="center" vertical="center" wrapText="1"/>
    </xf>
    <xf numFmtId="1" fontId="8" fillId="0" borderId="8" xfId="0" applyNumberFormat="1" applyFont="1" applyBorder="1" applyAlignment="1">
      <alignment horizontal="center" vertical="center" wrapText="1"/>
    </xf>
    <xf numFmtId="0" fontId="12" fillId="0" borderId="0" xfId="0" applyFont="1" applyAlignment="1">
      <alignment horizontal="center"/>
    </xf>
    <xf numFmtId="0" fontId="14" fillId="5" borderId="13" xfId="0" applyFont="1" applyFill="1" applyBorder="1" applyAlignment="1">
      <alignment horizontal="left" vertical="center"/>
    </xf>
    <xf numFmtId="0" fontId="17" fillId="5" borderId="13" xfId="0" applyFont="1" applyFill="1" applyBorder="1"/>
    <xf numFmtId="0" fontId="14" fillId="5" borderId="13" xfId="0" applyFont="1" applyFill="1" applyBorder="1" applyAlignment="1">
      <alignment horizontal="right" vertical="center"/>
    </xf>
    <xf numFmtId="0" fontId="0" fillId="5" borderId="0" xfId="0" applyFill="1"/>
    <xf numFmtId="2" fontId="12" fillId="0" borderId="0" xfId="0" applyNumberFormat="1" applyFont="1" applyAlignment="1">
      <alignment horizontal="center"/>
    </xf>
    <xf numFmtId="164" fontId="13" fillId="4" borderId="13" xfId="0" applyNumberFormat="1" applyFont="1" applyFill="1" applyBorder="1" applyAlignment="1">
      <alignment vertical="center" wrapText="1"/>
    </xf>
    <xf numFmtId="164" fontId="14" fillId="5" borderId="13" xfId="0" applyNumberFormat="1" applyFont="1" applyFill="1" applyBorder="1" applyAlignment="1">
      <alignment vertical="center"/>
    </xf>
    <xf numFmtId="164" fontId="14" fillId="0" borderId="13" xfId="0" applyNumberFormat="1" applyFont="1" applyBorder="1" applyAlignment="1">
      <alignment vertical="center"/>
    </xf>
    <xf numFmtId="0" fontId="13" fillId="4" borderId="13" xfId="0" applyFont="1" applyFill="1" applyBorder="1" applyAlignment="1">
      <alignment horizontal="right" vertical="center" wrapText="1"/>
    </xf>
    <xf numFmtId="0" fontId="14" fillId="0" borderId="13" xfId="0" applyFont="1" applyBorder="1" applyAlignment="1">
      <alignment horizontal="right" vertical="center"/>
    </xf>
    <xf numFmtId="0" fontId="13" fillId="4" borderId="13" xfId="0" applyFont="1" applyFill="1" applyBorder="1" applyAlignment="1">
      <alignment vertical="center" wrapText="1"/>
    </xf>
    <xf numFmtId="0" fontId="14" fillId="5" borderId="13" xfId="0" applyFont="1" applyFill="1" applyBorder="1" applyAlignment="1">
      <alignment vertical="center"/>
    </xf>
    <xf numFmtId="0" fontId="14" fillId="0" borderId="13" xfId="0" applyFont="1" applyBorder="1" applyAlignment="1">
      <alignment vertical="center"/>
    </xf>
    <xf numFmtId="165" fontId="13" fillId="4" borderId="13" xfId="0" applyNumberFormat="1" applyFont="1" applyFill="1" applyBorder="1" applyAlignment="1">
      <alignment vertical="center" wrapText="1"/>
    </xf>
    <xf numFmtId="0" fontId="14" fillId="5" borderId="15" xfId="0" applyFont="1" applyFill="1" applyBorder="1" applyAlignment="1">
      <alignment vertical="center"/>
    </xf>
    <xf numFmtId="0" fontId="14" fillId="0" borderId="15" xfId="0" applyFont="1" applyBorder="1" applyAlignment="1">
      <alignment vertical="center"/>
    </xf>
    <xf numFmtId="14" fontId="0" fillId="0" borderId="0" xfId="0" applyNumberFormat="1" applyAlignment="1">
      <alignment horizontal="left"/>
    </xf>
    <xf numFmtId="2" fontId="0" fillId="0" borderId="0" xfId="0" applyNumberFormat="1" applyAlignment="1">
      <alignment horizontal="right"/>
    </xf>
    <xf numFmtId="0" fontId="12" fillId="6" borderId="13" xfId="0" applyFont="1" applyFill="1" applyBorder="1"/>
    <xf numFmtId="14" fontId="12" fillId="4" borderId="13" xfId="0" applyNumberFormat="1" applyFont="1" applyFill="1" applyBorder="1" applyAlignment="1">
      <alignment horizontal="left"/>
    </xf>
    <xf numFmtId="2" fontId="8" fillId="0" borderId="3" xfId="0" applyNumberFormat="1" applyFont="1" applyBorder="1" applyAlignment="1">
      <alignment horizontal="right" vertical="center" wrapText="1"/>
    </xf>
    <xf numFmtId="14" fontId="0" fillId="0" borderId="0" xfId="0" applyNumberFormat="1"/>
    <xf numFmtId="169" fontId="0" fillId="0" borderId="0" xfId="0" applyNumberFormat="1"/>
    <xf numFmtId="0" fontId="0" fillId="0" borderId="0" xfId="0" applyAlignment="1">
      <alignment horizontal="right"/>
    </xf>
    <xf numFmtId="0" fontId="12" fillId="2" borderId="16" xfId="0" applyFont="1" applyFill="1" applyBorder="1" applyAlignment="1">
      <alignment horizontal="left"/>
    </xf>
    <xf numFmtId="0" fontId="12" fillId="2" borderId="16" xfId="0" applyFont="1" applyFill="1" applyBorder="1"/>
    <xf numFmtId="0" fontId="19" fillId="0" borderId="13" xfId="0" applyFont="1" applyBorder="1" applyAlignment="1">
      <alignment horizontal="right" wrapText="1"/>
    </xf>
    <xf numFmtId="49" fontId="19" fillId="0" borderId="13" xfId="0" applyNumberFormat="1" applyFont="1" applyBorder="1" applyAlignment="1">
      <alignment horizontal="left" wrapText="1"/>
    </xf>
    <xf numFmtId="0" fontId="17" fillId="0" borderId="13" xfId="0" applyFont="1" applyBorder="1" applyAlignment="1">
      <alignment horizontal="right"/>
    </xf>
    <xf numFmtId="0" fontId="19" fillId="0" borderId="13" xfId="0" applyFont="1" applyBorder="1" applyAlignment="1">
      <alignment horizontal="right" vertical="top"/>
    </xf>
    <xf numFmtId="164" fontId="17" fillId="0" borderId="13" xfId="0" applyNumberFormat="1" applyFont="1" applyBorder="1"/>
    <xf numFmtId="0" fontId="19" fillId="0" borderId="13" xfId="0" applyFont="1" applyBorder="1" applyAlignment="1">
      <alignment horizontal="left" wrapText="1"/>
    </xf>
    <xf numFmtId="0" fontId="19" fillId="0" borderId="13" xfId="0" applyFont="1" applyBorder="1" applyAlignment="1">
      <alignment horizontal="left" vertical="top"/>
    </xf>
    <xf numFmtId="0" fontId="19" fillId="0" borderId="13" xfId="0" applyFont="1" applyBorder="1" applyAlignment="1">
      <alignment vertical="top"/>
    </xf>
    <xf numFmtId="0" fontId="17" fillId="0" borderId="13" xfId="0" applyFont="1" applyBorder="1"/>
    <xf numFmtId="0" fontId="17" fillId="0" borderId="15" xfId="0" applyFont="1" applyBorder="1"/>
    <xf numFmtId="14" fontId="0" fillId="0" borderId="0" xfId="0" applyNumberFormat="1" applyAlignment="1">
      <alignment horizontal="right"/>
    </xf>
    <xf numFmtId="0" fontId="0" fillId="3" borderId="0" xfId="0" applyFill="1" applyAlignment="1">
      <alignment horizontal="center"/>
    </xf>
    <xf numFmtId="0" fontId="5" fillId="0" borderId="1" xfId="0" applyFont="1" applyBorder="1" applyAlignment="1">
      <alignment horizontal="center" vertical="center" wrapText="1"/>
    </xf>
    <xf numFmtId="0" fontId="5" fillId="0" borderId="3" xfId="0" applyFont="1" applyBorder="1" applyAlignment="1">
      <alignment horizontal="center" vertical="center" wrapText="1"/>
    </xf>
    <xf numFmtId="0" fontId="6" fillId="0" borderId="1" xfId="0" applyFont="1" applyBorder="1" applyAlignment="1">
      <alignment horizontal="center" vertical="center" wrapText="1"/>
    </xf>
    <xf numFmtId="0" fontId="6" fillId="0" borderId="3" xfId="0" applyFont="1" applyBorder="1" applyAlignment="1">
      <alignment horizontal="center" vertical="center" wrapText="1"/>
    </xf>
    <xf numFmtId="0" fontId="2" fillId="0" borderId="9" xfId="0" applyFont="1" applyBorder="1" applyAlignment="1">
      <alignment horizontal="center" vertical="center" wrapText="1"/>
    </xf>
    <xf numFmtId="0" fontId="2" fillId="0" borderId="5"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6" xfId="0" applyFont="1" applyBorder="1" applyAlignment="1">
      <alignment horizontal="center" vertical="center" wrapText="1"/>
    </xf>
    <xf numFmtId="0" fontId="2" fillId="0" borderId="11" xfId="0" applyFont="1" applyBorder="1" applyAlignment="1">
      <alignment horizontal="center" vertical="center" wrapText="1"/>
    </xf>
    <xf numFmtId="0" fontId="2" fillId="0" borderId="8" xfId="0" applyFont="1" applyBorder="1" applyAlignment="1">
      <alignment horizontal="center" vertical="center" wrapText="1"/>
    </xf>
    <xf numFmtId="0" fontId="0" fillId="0" borderId="11" xfId="0" applyBorder="1" applyAlignment="1">
      <alignment vertical="top" wrapText="1"/>
    </xf>
    <xf numFmtId="0" fontId="0" fillId="0" borderId="8" xfId="0" applyBorder="1" applyAlignment="1">
      <alignment vertical="top" wrapText="1"/>
    </xf>
    <xf numFmtId="0" fontId="4" fillId="0" borderId="9" xfId="0" applyFont="1" applyBorder="1" applyAlignment="1">
      <alignment horizontal="center" vertical="center" wrapText="1"/>
    </xf>
    <xf numFmtId="0" fontId="4" fillId="0" borderId="4" xfId="0" applyFont="1" applyBorder="1" applyAlignment="1">
      <alignment horizontal="center" vertical="center" wrapText="1"/>
    </xf>
    <xf numFmtId="0" fontId="4" fillId="0" borderId="5" xfId="0" applyFont="1" applyBorder="1" applyAlignment="1">
      <alignment horizontal="center" vertical="center" wrapText="1"/>
    </xf>
    <xf numFmtId="0" fontId="4" fillId="0" borderId="10" xfId="0" applyFont="1" applyBorder="1" applyAlignment="1">
      <alignment horizontal="center" vertical="center" wrapText="1"/>
    </xf>
    <xf numFmtId="0" fontId="4" fillId="0" borderId="0" xfId="0" applyFont="1" applyAlignment="1">
      <alignment horizontal="center" vertical="center" wrapText="1"/>
    </xf>
    <xf numFmtId="0" fontId="4" fillId="0" borderId="6" xfId="0" applyFont="1" applyBorder="1" applyAlignment="1">
      <alignment horizontal="center" vertical="center" wrapText="1"/>
    </xf>
    <xf numFmtId="0" fontId="0" fillId="0" borderId="7" xfId="0" applyBorder="1" applyAlignment="1">
      <alignment vertical="top" wrapText="1"/>
    </xf>
    <xf numFmtId="0" fontId="8" fillId="0" borderId="9" xfId="0" applyFont="1" applyBorder="1" applyAlignment="1">
      <alignment horizontal="center" vertical="center" wrapText="1"/>
    </xf>
    <xf numFmtId="0" fontId="8" fillId="0" borderId="5" xfId="0" applyFont="1" applyBorder="1" applyAlignment="1">
      <alignment horizontal="center" vertical="center" wrapText="1"/>
    </xf>
    <xf numFmtId="0" fontId="8" fillId="0" borderId="11" xfId="0" applyFont="1" applyBorder="1" applyAlignment="1">
      <alignment horizontal="center" vertical="center" wrapText="1"/>
    </xf>
    <xf numFmtId="0" fontId="8" fillId="0" borderId="8" xfId="0" applyFont="1" applyBorder="1" applyAlignment="1">
      <alignment horizontal="center" vertical="center" wrapText="1"/>
    </xf>
    <xf numFmtId="0" fontId="2" fillId="0" borderId="4" xfId="0" applyFont="1" applyBorder="1" applyAlignment="1">
      <alignment horizontal="center" vertical="center" wrapText="1"/>
    </xf>
    <xf numFmtId="0" fontId="2" fillId="0" borderId="0" xfId="0" applyFont="1" applyAlignment="1">
      <alignment horizontal="center" vertical="center" wrapText="1"/>
    </xf>
    <xf numFmtId="0" fontId="2" fillId="0" borderId="7" xfId="0" applyFont="1" applyBorder="1" applyAlignment="1">
      <alignment horizontal="center" vertical="center" wrapText="1"/>
    </xf>
    <xf numFmtId="0" fontId="2" fillId="0" borderId="1" xfId="0" applyFont="1" applyBorder="1" applyAlignment="1">
      <alignment horizontal="center" vertical="center" wrapText="1"/>
    </xf>
    <xf numFmtId="0" fontId="2" fillId="0" borderId="3" xfId="0" applyFont="1" applyBorder="1" applyAlignment="1">
      <alignment horizontal="center" vertical="center" wrapText="1"/>
    </xf>
    <xf numFmtId="166" fontId="5" fillId="0" borderId="1" xfId="0" applyNumberFormat="1" applyFont="1" applyBorder="1" applyAlignment="1">
      <alignment horizontal="center" vertical="center" wrapText="1"/>
    </xf>
    <xf numFmtId="166" fontId="5" fillId="0" borderId="3" xfId="0" applyNumberFormat="1" applyFont="1" applyBorder="1" applyAlignment="1">
      <alignment horizontal="center" vertical="center" wrapText="1"/>
    </xf>
    <xf numFmtId="0" fontId="8" fillId="0" borderId="4" xfId="0" applyFont="1" applyBorder="1" applyAlignment="1">
      <alignment horizontal="center" vertical="center" wrapText="1"/>
    </xf>
    <xf numFmtId="0" fontId="8" fillId="0" borderId="10" xfId="0" applyFont="1" applyBorder="1" applyAlignment="1">
      <alignment horizontal="center" vertical="center" wrapText="1"/>
    </xf>
    <xf numFmtId="0" fontId="8" fillId="0" borderId="0" xfId="0" applyFont="1" applyAlignment="1">
      <alignment horizontal="center" vertical="center" wrapText="1"/>
    </xf>
    <xf numFmtId="0" fontId="8" fillId="0" borderId="6" xfId="0" applyFont="1" applyBorder="1" applyAlignment="1">
      <alignment horizontal="center" vertical="center" wrapText="1"/>
    </xf>
    <xf numFmtId="0" fontId="8" fillId="0" borderId="7" xfId="0" applyFont="1" applyBorder="1" applyAlignment="1">
      <alignment horizontal="center" vertical="center" wrapText="1"/>
    </xf>
  </cellXfs>
  <cellStyles count="3">
    <cellStyle name="Excel Built-in Normal" xfId="1" xr:uid="{00000000-0005-0000-0000-000000000000}"/>
    <cellStyle name="Normal" xfId="0" builtinId="0"/>
    <cellStyle name="Normal 2" xfId="2" xr:uid="{EF5594DB-1992-4D52-B5E3-635A39EB1A5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pivotCacheDefinition" Target="pivotCache/pivotCacheDefinition2.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pivotCacheDefinition" Target="pivotCache/pivotCacheDefinition1.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s,Landon" refreshedDate="45086.482183912034" createdVersion="6" refreshedVersion="6" minRefreshableVersion="3" recordCount="100" xr:uid="{B9FCA18B-CD14-415E-B55C-C6DC7AAB26BD}">
  <cacheSource type="worksheet">
    <worksheetSource ref="A1:K101" sheet="Weekly 009 input"/>
  </cacheSource>
  <cacheFields count="11">
    <cacheField name="Week" numFmtId="0">
      <sharedItems containsSemiMixedTypes="0" containsString="0" containsNumber="1" containsInteger="1" minValue="23" maxValue="23" count="1">
        <n v="23"/>
      </sharedItems>
    </cacheField>
    <cacheField name="Trap Date" numFmtId="14">
      <sharedItems containsSemiMixedTypes="0" containsNonDate="0" containsDate="1" containsString="0" minDate="2023-06-04T00:00:00" maxDate="2023-06-08T00:00:00"/>
    </cacheField>
    <cacheField name="Contract" numFmtId="0">
      <sharedItems/>
    </cacheField>
    <cacheField name="Location" numFmtId="0">
      <sharedItems/>
    </cacheField>
    <cacheField name="Zone" numFmtId="0">
      <sharedItems count="6">
        <s v="BE"/>
        <s v="NE"/>
        <s v="NW"/>
        <s v="SE"/>
        <s v="SW"/>
        <s v="LV"/>
      </sharedItems>
    </cacheField>
    <cacheField name="Species" numFmtId="0">
      <sharedItems/>
    </cacheField>
    <cacheField name="Total CX" numFmtId="0">
      <sharedItems containsSemiMixedTypes="0" containsString="0" containsNumber="1" containsInteger="1" minValue="1" maxValue="97"/>
    </cacheField>
    <cacheField name="Type" numFmtId="0">
      <sharedItems/>
    </cacheField>
    <cacheField name="Trap Number" numFmtId="0">
      <sharedItems/>
    </cacheField>
    <cacheField name="Cx tarsalis" numFmtId="0">
      <sharedItems containsSemiMixedTypes="0" containsString="0" containsNumber="1" containsInteger="1" minValue="0" maxValue="97"/>
    </cacheField>
    <cacheField name="Cx pipiens" numFmtId="0">
      <sharedItems containsSemiMixedTypes="0" containsString="0" containsNumber="1" containsInteger="1" minValue="0" maxValue="6"/>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Williams,Landon" refreshedDate="45086.493386226852" createdVersion="6" refreshedVersion="6" minRefreshableVersion="3" recordCount="78" xr:uid="{A91BA7CB-001A-4F6B-8AF0-446286854965}">
  <cacheSource type="worksheet">
    <worksheetSource ref="A1:R79" sheet="Weekly Data Input"/>
  </cacheSource>
  <cacheFields count="18">
    <cacheField name="Year" numFmtId="0">
      <sharedItems containsSemiMixedTypes="0" containsString="0" containsNumber="1" containsInteger="1" minValue="2023" maxValue="2023"/>
    </cacheField>
    <cacheField name="CSU Pool Number     (CMC enters)" numFmtId="0">
      <sharedItems/>
    </cacheField>
    <cacheField name="IDA Pool (CSU enters, leave blank)" numFmtId="0">
      <sharedItems containsSemiMixedTypes="0" containsString="0" containsNumber="1" containsInteger="1" minValue="28781" maxValue="28858"/>
    </cacheField>
    <cacheField name="Week" numFmtId="0">
      <sharedItems containsSemiMixedTypes="0" containsString="0" containsNumber="1" containsInteger="1" minValue="23" maxValue="23" count="1">
        <n v="23"/>
      </sharedItems>
    </cacheField>
    <cacheField name="Trap Date" numFmtId="164">
      <sharedItems containsSemiMixedTypes="0" containsNonDate="0" containsDate="1" containsString="0" minDate="2023-06-05T00:00:00" maxDate="2023-06-09T00:00:00" count="4">
        <d v="2023-06-05T00:00:00"/>
        <d v="2023-06-06T00:00:00"/>
        <d v="2023-06-07T00:00:00"/>
        <d v="2023-06-08T00:00:00"/>
      </sharedItems>
    </cacheField>
    <cacheField name="County" numFmtId="0">
      <sharedItems/>
    </cacheField>
    <cacheField name="Account" numFmtId="0">
      <sharedItems/>
    </cacheField>
    <cacheField name="Collection Site (Trap ID)" numFmtId="0">
      <sharedItems/>
    </cacheField>
    <cacheField name="Zone" numFmtId="0">
      <sharedItems count="6">
        <s v="LV"/>
        <s v="NE"/>
        <s v="NW"/>
        <s v="SE"/>
        <s v="BE"/>
        <s v="SW"/>
      </sharedItems>
    </cacheField>
    <cacheField name="Method (Light or Gravid)" numFmtId="0">
      <sharedItems/>
    </cacheField>
    <cacheField name="Genus" numFmtId="0">
      <sharedItems/>
    </cacheField>
    <cacheField name="Spp" numFmtId="0">
      <sharedItems count="2">
        <s v="Tarsalis"/>
        <s v="Pipiens "/>
      </sharedItems>
    </cacheField>
    <cacheField name="Sex" numFmtId="0">
      <sharedItems/>
    </cacheField>
    <cacheField name="No. Gravid" numFmtId="0">
      <sharedItems containsString="0" containsBlank="1" containsNumber="1" containsInteger="1" minValue="1" maxValue="11"/>
    </cacheField>
    <cacheField name="No. Deplete" numFmtId="0">
      <sharedItems containsString="0" containsBlank="1" containsNumber="1" containsInteger="1" minValue="1" maxValue="50"/>
    </cacheField>
    <cacheField name="Total" numFmtId="0">
      <sharedItems containsSemiMixedTypes="0" containsString="0" containsNumber="1" containsInteger="1" minValue="1" maxValue="50"/>
    </cacheField>
    <cacheField name="Test code (CSU enters)" numFmtId="0">
      <sharedItems containsSemiMixedTypes="0" containsString="0" containsNumber="1" containsInteger="1" minValue="0" maxValue="0"/>
    </cacheField>
    <cacheField name="Test Result (CSU enters)" numFmtId="0">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x v="0"/>
    <d v="2023-06-06T00:00:00"/>
    <s v="Berthoud"/>
    <s v="Berthoud Park"/>
    <x v="0"/>
    <s v="Culex tarsalis"/>
    <n v="9"/>
    <s v="CDC Light Trap"/>
    <s v="LC-001 "/>
    <n v="9"/>
    <n v="0"/>
  </r>
  <r>
    <x v="0"/>
    <d v="2023-06-06T00:00:00"/>
    <s v="Berthoud"/>
    <s v="Berthoud North"/>
    <x v="0"/>
    <s v="Culex tarsalis"/>
    <n v="3"/>
    <s v="CDC Light Trap"/>
    <s v="LC-049 "/>
    <n v="3"/>
    <n v="0"/>
  </r>
  <r>
    <x v="0"/>
    <d v="2023-06-06T00:00:00"/>
    <s v="Berthoud"/>
    <s v="Berthoud West"/>
    <x v="0"/>
    <s v="Culex tarsalis"/>
    <n v="19"/>
    <s v="CDC Light Trap"/>
    <s v="LC-053 "/>
    <n v="19"/>
    <n v="0"/>
  </r>
  <r>
    <x v="0"/>
    <d v="2023-06-06T00:00:00"/>
    <s v="Berthoud"/>
    <s v="Berthoud Point"/>
    <x v="0"/>
    <s v="Culex tarsalis"/>
    <n v="16"/>
    <s v="CDC Light Trap"/>
    <s v="LC-054 "/>
    <n v="16"/>
    <n v="0"/>
  </r>
  <r>
    <x v="0"/>
    <d v="2023-06-06T00:00:00"/>
    <s v="Berthoud"/>
    <s v="Berthoud East"/>
    <x v="0"/>
    <s v="Culex tarsalis"/>
    <n v="17"/>
    <s v="CDC Light Trap"/>
    <s v="WC-055"/>
    <n v="17"/>
    <n v="0"/>
  </r>
  <r>
    <x v="0"/>
    <d v="2023-06-04T00:00:00"/>
    <s v="Fort Collins"/>
    <s v="FC Visitor Center"/>
    <x v="1"/>
    <s v="Culex tarsalis"/>
    <n v="3"/>
    <s v="CDC Light Trap"/>
    <s v="FC-014"/>
    <n v="3"/>
    <n v="0"/>
  </r>
  <r>
    <x v="0"/>
    <d v="2023-06-04T00:00:00"/>
    <s v="Fort Collins"/>
    <s v="Edora Park"/>
    <x v="1"/>
    <s v="Culex pipiens"/>
    <n v="1"/>
    <s v="CDC Light Trap"/>
    <s v="FC-019"/>
    <n v="0"/>
    <n v="1"/>
  </r>
  <r>
    <x v="0"/>
    <d v="2023-06-04T00:00:00"/>
    <s v="Fort Collins"/>
    <s v="Country Club"/>
    <x v="1"/>
    <s v="Culex tarsalis"/>
    <n v="2"/>
    <s v="CDC Light Trap"/>
    <s v="FC-034"/>
    <n v="2"/>
    <n v="0"/>
  </r>
  <r>
    <x v="0"/>
    <d v="2023-06-04T00:00:00"/>
    <s v="Fort Collins"/>
    <s v="Hemlock"/>
    <x v="2"/>
    <s v="Culex tarsalis"/>
    <n v="1"/>
    <s v="CDC Light Trap"/>
    <s v="FC-036 "/>
    <n v="1"/>
    <n v="0"/>
  </r>
  <r>
    <x v="0"/>
    <d v="2023-06-04T00:00:00"/>
    <s v="Fort Collins"/>
    <s v="Hemlock"/>
    <x v="2"/>
    <s v="Culex pipiens"/>
    <n v="1"/>
    <s v="CDC Light Trap"/>
    <s v="FC-036 "/>
    <n v="0"/>
    <n v="1"/>
  </r>
  <r>
    <x v="0"/>
    <d v="2023-06-04T00:00:00"/>
    <s v="Fort Collins"/>
    <s v="Prospect Ponds"/>
    <x v="1"/>
    <s v="Culex tarsalis"/>
    <n v="1"/>
    <s v="CDC Light Trap"/>
    <s v="FC-066"/>
    <n v="1"/>
    <n v="0"/>
  </r>
  <r>
    <x v="0"/>
    <d v="2023-06-04T00:00:00"/>
    <s v="Fort Collins"/>
    <s v="Prospect Ponds"/>
    <x v="1"/>
    <s v="Culex pipiens"/>
    <n v="2"/>
    <s v="CDC Light Trap"/>
    <s v="FC-066"/>
    <n v="0"/>
    <n v="2"/>
  </r>
  <r>
    <x v="0"/>
    <d v="2023-06-04T00:00:00"/>
    <s v="Fort Collins"/>
    <s v="Linden Lake Rd"/>
    <x v="1"/>
    <s v="Culex tarsalis"/>
    <n v="1"/>
    <s v="CDC Light Trap"/>
    <s v="FC-069"/>
    <n v="1"/>
    <n v="0"/>
  </r>
  <r>
    <x v="0"/>
    <d v="2023-06-05T00:00:00"/>
    <s v="Fort Collins"/>
    <s v="Big Horn"/>
    <x v="3"/>
    <s v="Culex tarsalis"/>
    <n v="6"/>
    <s v="CDC Light Trap"/>
    <s v="FC-004"/>
    <n v="6"/>
    <n v="0"/>
  </r>
  <r>
    <x v="0"/>
    <d v="2023-06-05T00:00:00"/>
    <s v="Fort Collins"/>
    <s v="Boltz"/>
    <x v="3"/>
    <s v="Culex tarsalis"/>
    <n v="1"/>
    <s v="CDC Light Trap"/>
    <s v="FC-023"/>
    <n v="1"/>
    <n v="0"/>
  </r>
  <r>
    <x v="0"/>
    <d v="2023-06-05T00:00:00"/>
    <s v="Fort Collins"/>
    <s v="3001 San Luis"/>
    <x v="3"/>
    <s v="Culex tarsalis"/>
    <n v="2"/>
    <s v="CDC Light Trap"/>
    <s v="FC-027"/>
    <n v="2"/>
    <n v="0"/>
  </r>
  <r>
    <x v="0"/>
    <d v="2023-06-05T00:00:00"/>
    <s v="Fort Collins"/>
    <s v="Willow Springs"/>
    <x v="3"/>
    <s v="Culex pipiens"/>
    <n v="2"/>
    <s v="CDC Light Trap"/>
    <s v="FC-031"/>
    <n v="0"/>
    <n v="2"/>
  </r>
  <r>
    <x v="0"/>
    <d v="2023-06-05T00:00:00"/>
    <s v="Fort Collins"/>
    <s v="Willow Springs"/>
    <x v="3"/>
    <s v="Culex tarsalis"/>
    <n v="7"/>
    <s v="CDC Light Trap"/>
    <s v="FC-031"/>
    <n v="7"/>
    <n v="0"/>
  </r>
  <r>
    <x v="0"/>
    <d v="2023-06-05T00:00:00"/>
    <s v="Fort Collins"/>
    <s v="Fossil Creek South"/>
    <x v="3"/>
    <s v="Culex tarsalis"/>
    <n v="2"/>
    <s v="CDC Light Trap"/>
    <s v="FC-039"/>
    <n v="2"/>
    <n v="0"/>
  </r>
  <r>
    <x v="0"/>
    <d v="2023-06-05T00:00:00"/>
    <s v="Fort Collins"/>
    <s v="Westshore Ct"/>
    <x v="3"/>
    <s v="Culex tarsalis"/>
    <n v="2"/>
    <s v="CDC Light Trap"/>
    <s v="FC-046"/>
    <n v="2"/>
    <n v="0"/>
  </r>
  <r>
    <x v="0"/>
    <d v="2023-06-05T00:00:00"/>
    <s v="Fort Collins"/>
    <s v="Westshore Ct"/>
    <x v="3"/>
    <s v="Culex pipiens"/>
    <n v="2"/>
    <s v="CDC Light Trap"/>
    <s v="FC-046"/>
    <n v="0"/>
    <n v="2"/>
  </r>
  <r>
    <x v="0"/>
    <d v="2023-06-05T00:00:00"/>
    <s v="Fort Collins"/>
    <s v="Keeneland And Twin Oak"/>
    <x v="3"/>
    <s v="Culex tarsalis"/>
    <n v="6"/>
    <s v="CDC Light Trap"/>
    <s v="FC-047"/>
    <n v="6"/>
    <n v="0"/>
  </r>
  <r>
    <x v="0"/>
    <d v="2023-06-05T00:00:00"/>
    <s v="Fort Collins"/>
    <s v="Golden Meadows Ditch"/>
    <x v="3"/>
    <s v="Culex tarsalis"/>
    <n v="5"/>
    <s v="CDC Light Trap"/>
    <s v="FC-050"/>
    <n v="5"/>
    <n v="0"/>
  </r>
  <r>
    <x v="0"/>
    <d v="2023-06-05T00:00:00"/>
    <s v="Fort Collins"/>
    <s v="Egret and Rookery"/>
    <x v="3"/>
    <s v="Culex tarsalis"/>
    <n v="5"/>
    <s v="CDC Light Trap"/>
    <s v="FC-053"/>
    <n v="5"/>
    <n v="0"/>
  </r>
  <r>
    <x v="0"/>
    <d v="2023-06-05T00:00:00"/>
    <s v="Fort Collins"/>
    <s v="Springwood and Lochwood"/>
    <x v="3"/>
    <s v="Culex pipiens"/>
    <n v="1"/>
    <s v="CDC Light Trap"/>
    <s v="FC-059"/>
    <n v="0"/>
    <n v="1"/>
  </r>
  <r>
    <x v="0"/>
    <d v="2023-06-05T00:00:00"/>
    <s v="Fort Collins"/>
    <s v="Springwood and Lochwood"/>
    <x v="3"/>
    <s v="Culex tarsalis"/>
    <n v="2"/>
    <s v="CDC Light Trap"/>
    <s v="FC-059"/>
    <n v="2"/>
    <n v="0"/>
  </r>
  <r>
    <x v="0"/>
    <d v="2023-06-05T00:00:00"/>
    <s v="Fort Collins"/>
    <s v="West Chase"/>
    <x v="3"/>
    <s v="Culex tarsalis"/>
    <n v="14"/>
    <s v="CDC Light Trap"/>
    <s v="FC-064"/>
    <n v="14"/>
    <n v="0"/>
  </r>
  <r>
    <x v="0"/>
    <d v="2023-06-05T00:00:00"/>
    <s v="Fort Collins"/>
    <s v="West Chase"/>
    <x v="3"/>
    <s v="Culex pipiens"/>
    <n v="1"/>
    <s v="CDC Light Trap"/>
    <s v="FC-064"/>
    <n v="0"/>
    <n v="1"/>
  </r>
  <r>
    <x v="0"/>
    <d v="2023-06-05T00:00:00"/>
    <s v="Fort Collins"/>
    <s v="Rock Creek"/>
    <x v="3"/>
    <s v="Culex tarsalis"/>
    <n v="8"/>
    <s v="CDC Light Trap"/>
    <s v="FC-074"/>
    <n v="8"/>
    <n v="0"/>
  </r>
  <r>
    <x v="0"/>
    <d v="2023-06-05T00:00:00"/>
    <s v="Fort Collins"/>
    <s v="Sage Creek North"/>
    <x v="3"/>
    <s v="Culex tarsalis"/>
    <n v="7"/>
    <s v="CDC Light Trap"/>
    <s v="FC-075"/>
    <n v="7"/>
    <n v="0"/>
  </r>
  <r>
    <x v="0"/>
    <d v="2023-06-05T00:00:00"/>
    <s v="Fort Collins"/>
    <s v="Sage Creek North"/>
    <x v="3"/>
    <s v="Culex pipiens"/>
    <n v="3"/>
    <s v="CDC Light Trap"/>
    <s v="FC-075"/>
    <n v="0"/>
    <n v="3"/>
  </r>
  <r>
    <x v="0"/>
    <d v="2023-06-06T00:00:00"/>
    <s v="Fort Collins"/>
    <s v="Golden Current"/>
    <x v="2"/>
    <s v="Culex tarsalis"/>
    <n v="5"/>
    <s v="CDC Light Trap"/>
    <s v="FC-011"/>
    <n v="5"/>
    <n v="0"/>
  </r>
  <r>
    <x v="0"/>
    <d v="2023-06-06T00:00:00"/>
    <s v="Fort Collins"/>
    <s v="Golden Current"/>
    <x v="2"/>
    <s v="Culex pipiens"/>
    <n v="4"/>
    <s v="CDC Light Trap"/>
    <s v="FC-011"/>
    <n v="0"/>
    <n v="4"/>
  </r>
  <r>
    <x v="0"/>
    <d v="2023-06-06T00:00:00"/>
    <s v="Fort Collins"/>
    <s v="Stuart and Dorset"/>
    <x v="2"/>
    <s v="Culex tarsalis"/>
    <n v="1"/>
    <s v="CDC Light Trap"/>
    <s v="FC-015"/>
    <n v="1"/>
    <n v="0"/>
  </r>
  <r>
    <x v="0"/>
    <d v="2023-06-06T00:00:00"/>
    <s v="Fort Collins"/>
    <s v="Fishback"/>
    <x v="2"/>
    <s v="Culex tarsalis"/>
    <n v="3"/>
    <s v="CDC Light Trap"/>
    <s v="FC-041"/>
    <n v="3"/>
    <n v="0"/>
  </r>
  <r>
    <x v="0"/>
    <d v="2023-06-06T00:00:00"/>
    <s v="Fort Collins"/>
    <s v="Fishback"/>
    <x v="2"/>
    <s v="Culex pipiens"/>
    <n v="2"/>
    <s v="CDC Light Trap"/>
    <s v="FC-041"/>
    <n v="0"/>
    <n v="2"/>
  </r>
  <r>
    <x v="0"/>
    <d v="2023-06-06T00:00:00"/>
    <s v="Fort Collins"/>
    <s v="603 Gilgalad Way"/>
    <x v="2"/>
    <s v="Culex tarsalis"/>
    <n v="1"/>
    <s v="CDC Light Trap"/>
    <s v="FC-052"/>
    <n v="1"/>
    <n v="0"/>
  </r>
  <r>
    <x v="0"/>
    <d v="2023-06-06T00:00:00"/>
    <s v="Fort Collins"/>
    <s v="603 Gilgalad Way"/>
    <x v="2"/>
    <s v="Culex pipiens"/>
    <n v="1"/>
    <s v="CDC Light Trap"/>
    <s v="FC-052"/>
    <n v="0"/>
    <n v="1"/>
  </r>
  <r>
    <x v="0"/>
    <d v="2023-06-06T00:00:00"/>
    <s v="Fort Collins"/>
    <s v="Spring Creek Trail-- Michener Dr"/>
    <x v="4"/>
    <s v="Culex tarsalis"/>
    <n v="1"/>
    <s v="CDC Light Trap"/>
    <s v="FC-058"/>
    <n v="1"/>
    <n v="0"/>
  </r>
  <r>
    <x v="0"/>
    <d v="2023-06-06T00:00:00"/>
    <s v="Fort Collins"/>
    <s v="808 Ponderosa"/>
    <x v="2"/>
    <s v="Culex tarsalis"/>
    <n v="2"/>
    <s v="CDC Light Trap"/>
    <s v="FC-060"/>
    <n v="2"/>
    <n v="0"/>
  </r>
  <r>
    <x v="0"/>
    <d v="2023-06-06T00:00:00"/>
    <s v="Fort Collins"/>
    <s v="808 Ponderosa"/>
    <x v="2"/>
    <s v="Culex pipiens"/>
    <n v="1"/>
    <s v="CDC Light Trap"/>
    <s v="FC-060"/>
    <n v="0"/>
    <n v="1"/>
  </r>
  <r>
    <x v="0"/>
    <d v="2023-06-06T00:00:00"/>
    <s v="Fort Collins"/>
    <s v="Holley Plant Research Center"/>
    <x v="2"/>
    <s v="Culex tarsalis"/>
    <n v="16"/>
    <s v="CDC Light Trap"/>
    <s v="FC-061"/>
    <n v="16"/>
    <n v="0"/>
  </r>
  <r>
    <x v="0"/>
    <d v="2023-06-06T00:00:00"/>
    <s v="Fort Collins"/>
    <s v="Holley Plant Research Center"/>
    <x v="2"/>
    <s v="Culex pipiens"/>
    <n v="3"/>
    <s v="CDC Light Trap"/>
    <s v="FC-061"/>
    <n v="0"/>
    <n v="3"/>
  </r>
  <r>
    <x v="0"/>
    <d v="2023-06-06T00:00:00"/>
    <s v="Fort Collins"/>
    <s v="118 S Grant "/>
    <x v="2"/>
    <s v="Culex tarsalis"/>
    <n v="10"/>
    <s v="CDC Light Trap"/>
    <s v="FC-073"/>
    <n v="10"/>
    <n v="0"/>
  </r>
  <r>
    <x v="0"/>
    <d v="2023-06-06T00:00:00"/>
    <s v="Fort Collins"/>
    <s v="118 S Grant "/>
    <x v="2"/>
    <s v="Culex pipiens"/>
    <n v="4"/>
    <s v="CDC Light Trap"/>
    <s v="FC-073"/>
    <n v="0"/>
    <n v="4"/>
  </r>
  <r>
    <x v="0"/>
    <d v="2023-06-07T00:00:00"/>
    <s v="Fort Collins"/>
    <s v="Magic Carpet"/>
    <x v="4"/>
    <s v="Culex tarsalis"/>
    <n v="5"/>
    <s v="CDC Light Trap"/>
    <s v="FC-001"/>
    <n v="5"/>
    <n v="0"/>
  </r>
  <r>
    <x v="0"/>
    <d v="2023-06-07T00:00:00"/>
    <s v="Fort Collins"/>
    <s v="Magic Carpet"/>
    <x v="4"/>
    <s v="Culex pipiens"/>
    <n v="3"/>
    <s v="CDC Light Trap"/>
    <s v="FC-001"/>
    <n v="0"/>
    <n v="3"/>
  </r>
  <r>
    <x v="0"/>
    <d v="2023-06-07T00:00:00"/>
    <s v="Fort Collins"/>
    <s v="Ben's Park"/>
    <x v="3"/>
    <s v="Culex tarsalis"/>
    <n v="1"/>
    <s v="CDC Light Trap"/>
    <s v="FC-029"/>
    <n v="1"/>
    <n v="0"/>
  </r>
  <r>
    <x v="0"/>
    <d v="2023-06-07T00:00:00"/>
    <s v="Fort Collins"/>
    <s v="Ben's Park"/>
    <x v="3"/>
    <s v="Culex pipiens"/>
    <n v="2"/>
    <s v="CDC Light Trap"/>
    <s v="FC-029"/>
    <n v="0"/>
    <n v="2"/>
  </r>
  <r>
    <x v="0"/>
    <d v="2023-06-07T00:00:00"/>
    <s v="Fort Collins"/>
    <s v="Chelsea Ridge"/>
    <x v="4"/>
    <s v="Culex tarsalis"/>
    <n v="18"/>
    <s v="CDC Light Trap"/>
    <s v="FC-037"/>
    <n v="18"/>
    <n v="0"/>
  </r>
  <r>
    <x v="0"/>
    <d v="2023-06-07T00:00:00"/>
    <s v="Fort Collins"/>
    <s v="737 Parliament"/>
    <x v="3"/>
    <s v="Culex tarsalis"/>
    <n v="5"/>
    <s v="CDC Light Trap"/>
    <s v="FC-054"/>
    <n v="5"/>
    <n v="0"/>
  </r>
  <r>
    <x v="0"/>
    <d v="2023-06-07T00:00:00"/>
    <s v="Fort Collins"/>
    <s v="737 Parliament"/>
    <x v="3"/>
    <s v="Culex pipiens"/>
    <n v="1"/>
    <s v="CDC Light Trap"/>
    <s v="FC-054"/>
    <n v="0"/>
    <n v="1"/>
  </r>
  <r>
    <x v="0"/>
    <d v="2023-06-07T00:00:00"/>
    <s v="Fort Collins"/>
    <s v="Registry Ridge"/>
    <x v="4"/>
    <s v="Culex tarsalis"/>
    <n v="8"/>
    <s v="CDC Light Trap"/>
    <s v="FC-057"/>
    <n v="8"/>
    <n v="0"/>
  </r>
  <r>
    <x v="0"/>
    <d v="2023-06-07T00:00:00"/>
    <s v="Fort Collins"/>
    <s v="Registry Ridge"/>
    <x v="4"/>
    <s v="Culex pipiens"/>
    <n v="1"/>
    <s v="CDC Light Trap"/>
    <s v="FC-057"/>
    <n v="0"/>
    <n v="1"/>
  </r>
  <r>
    <x v="0"/>
    <d v="2023-06-07T00:00:00"/>
    <s v="Fort Collins"/>
    <s v="Water's Edge at Blue Mesa"/>
    <x v="4"/>
    <s v="Culex tarsalis"/>
    <n v="2"/>
    <s v="CDC Light Trap"/>
    <s v="FC-062"/>
    <n v="2"/>
    <n v="0"/>
  </r>
  <r>
    <x v="0"/>
    <d v="2023-06-07T00:00:00"/>
    <s v="Fort Collins"/>
    <s v="Water's Edge at Blue Mesa"/>
    <x v="4"/>
    <s v="Culex pipiens"/>
    <n v="5"/>
    <s v="CDC Light Trap"/>
    <s v="FC-062"/>
    <n v="0"/>
    <n v="5"/>
  </r>
  <r>
    <x v="0"/>
    <d v="2023-06-07T00:00:00"/>
    <s v="Fort Collins"/>
    <s v="Silvergate Rd"/>
    <x v="4"/>
    <s v="Culex tarsalis"/>
    <n v="1"/>
    <s v="CDC Light Trap"/>
    <s v="FC-071"/>
    <n v="1"/>
    <n v="0"/>
  </r>
  <r>
    <x v="0"/>
    <d v="2023-06-07T00:00:00"/>
    <s v="Fort Collins"/>
    <s v="Silvergate Rd"/>
    <x v="4"/>
    <s v="Culex pipiens"/>
    <n v="1"/>
    <s v="CDC Light Trap"/>
    <s v="FC-071"/>
    <n v="0"/>
    <n v="1"/>
  </r>
  <r>
    <x v="0"/>
    <d v="2023-06-07T00:00:00"/>
    <s v="Fort Collins"/>
    <s v="Lopez Elementary"/>
    <x v="4"/>
    <s v="Culex tarsalis"/>
    <n v="14"/>
    <s v="CDC Light Trap"/>
    <s v="FC-093"/>
    <n v="14"/>
    <n v="0"/>
  </r>
  <r>
    <x v="0"/>
    <d v="2023-06-07T00:00:00"/>
    <s v="Fort Collins"/>
    <s v="Lopez Elementary"/>
    <x v="4"/>
    <s v="Culex pipiens"/>
    <n v="5"/>
    <s v="CDC Light Trap"/>
    <s v="FC-093"/>
    <n v="0"/>
    <n v="5"/>
  </r>
  <r>
    <x v="0"/>
    <d v="2023-06-04T00:00:00"/>
    <s v="Loveland"/>
    <s v="29th and Madison"/>
    <x v="5"/>
    <s v="Culex tarsalis"/>
    <n v="2"/>
    <s v="CDC Light Trap"/>
    <s v="LV-004"/>
    <n v="2"/>
    <n v="0"/>
  </r>
  <r>
    <x v="0"/>
    <d v="2023-06-04T00:00:00"/>
    <s v="Loveland"/>
    <s v="Horseshoe Pennninsula"/>
    <x v="5"/>
    <s v="Culex tarsalis"/>
    <n v="3"/>
    <s v="CDC Light Trap"/>
    <s v="LV-069"/>
    <n v="3"/>
    <n v="0"/>
  </r>
  <r>
    <x v="0"/>
    <d v="2023-06-04T00:00:00"/>
    <s v="Loveland"/>
    <s v="7 Lakes Park"/>
    <x v="5"/>
    <s v="Culex tarsalis"/>
    <n v="3"/>
    <s v="CDC Light Trap"/>
    <s v="LV-078"/>
    <n v="3"/>
    <n v="0"/>
  </r>
  <r>
    <x v="0"/>
    <d v="2023-06-04T00:00:00"/>
    <s v="Loveland"/>
    <s v="Harding and Reagan"/>
    <x v="5"/>
    <s v="Culex tarsalis"/>
    <n v="4"/>
    <s v="CDC Light Trap"/>
    <s v="LV-080"/>
    <n v="4"/>
    <n v="0"/>
  </r>
  <r>
    <x v="0"/>
    <d v="2023-06-04T00:00:00"/>
    <s v="Loveland"/>
    <s v="2229 Arikaree"/>
    <x v="5"/>
    <s v="Culex pipiens"/>
    <n v="1"/>
    <s v="CDC Light Trap"/>
    <s v="LV-088"/>
    <n v="0"/>
    <n v="1"/>
  </r>
  <r>
    <x v="0"/>
    <d v="2023-06-04T00:00:00"/>
    <s v="Loveland"/>
    <s v="2229 Arikaree"/>
    <x v="5"/>
    <s v="Culex tarsalis"/>
    <n v="2"/>
    <s v="CDC Light Trap"/>
    <s v="LV-088"/>
    <n v="2"/>
    <n v="0"/>
  </r>
  <r>
    <x v="0"/>
    <d v="2023-06-04T00:00:00"/>
    <s v="Loveland"/>
    <s v="Pond at Silver Lake"/>
    <x v="5"/>
    <s v="Culex tarsalis"/>
    <n v="2"/>
    <s v="CDC Light Trap"/>
    <s v="LV-093"/>
    <n v="2"/>
    <n v="0"/>
  </r>
  <r>
    <x v="0"/>
    <d v="2023-06-04T00:00:00"/>
    <s v="Loveland"/>
    <s v="Boyd Lake"/>
    <x v="5"/>
    <s v="Culex pipiens"/>
    <n v="1"/>
    <s v="CDC Light Trap"/>
    <s v="LV-095"/>
    <n v="0"/>
    <n v="1"/>
  </r>
  <r>
    <x v="0"/>
    <d v="2023-06-04T00:00:00"/>
    <s v="Loveland"/>
    <s v="Boyd Lake"/>
    <x v="5"/>
    <s v="Culex tarsalis"/>
    <n v="4"/>
    <s v="CDC Light Trap"/>
    <s v="LV-095"/>
    <n v="4"/>
    <n v="0"/>
  </r>
  <r>
    <x v="0"/>
    <d v="2023-06-04T00:00:00"/>
    <s v="Loveland"/>
    <s v="Sundisk and 13E"/>
    <x v="5"/>
    <s v="Culex pipiens"/>
    <n v="1"/>
    <s v="CDC Light Trap"/>
    <s v="LV-116"/>
    <n v="0"/>
    <n v="1"/>
  </r>
  <r>
    <x v="0"/>
    <d v="2023-06-04T00:00:00"/>
    <s v="Loveland"/>
    <s v="Centerra"/>
    <x v="5"/>
    <s v="Culex tarsalis"/>
    <n v="1"/>
    <s v="CDC Light Trap"/>
    <s v="LV-117"/>
    <n v="1"/>
    <n v="0"/>
  </r>
  <r>
    <x v="0"/>
    <d v="2023-06-05T00:00:00"/>
    <s v="Loveland"/>
    <s v="Jefferson and 11th"/>
    <x v="5"/>
    <s v="Culex pipiens"/>
    <n v="2"/>
    <s v="CDC Light Trap"/>
    <s v="LV-074"/>
    <n v="0"/>
    <n v="2"/>
  </r>
  <r>
    <x v="0"/>
    <d v="2023-06-05T00:00:00"/>
    <s v="Loveland"/>
    <s v="Jefferson and 11th"/>
    <x v="5"/>
    <s v="Culex tarsalis"/>
    <n v="1"/>
    <s v="CDC Light Trap"/>
    <s v="LV-074"/>
    <n v="1"/>
    <n v="0"/>
  </r>
  <r>
    <x v="0"/>
    <d v="2023-06-05T00:00:00"/>
    <s v="Loveland"/>
    <s v="9th and DesMoines"/>
    <x v="5"/>
    <s v="Culex tarsalis"/>
    <n v="97"/>
    <s v="CDC Light Trap"/>
    <s v="LV-089"/>
    <n v="97"/>
    <n v="0"/>
  </r>
  <r>
    <x v="0"/>
    <d v="2023-06-05T00:00:00"/>
    <s v="Loveland"/>
    <s v="9th and DesMoines"/>
    <x v="5"/>
    <s v="Culex pipiens"/>
    <n v="4"/>
    <s v="CDC Light Trap"/>
    <s v="LV-089"/>
    <n v="0"/>
    <n v="4"/>
  </r>
  <r>
    <x v="0"/>
    <d v="2023-06-05T00:00:00"/>
    <s v="Loveland"/>
    <s v="Blue Tree Realty"/>
    <x v="5"/>
    <s v="Culex pipiens"/>
    <n v="1"/>
    <s v="CDC Light Trap"/>
    <s v="LV-100"/>
    <n v="0"/>
    <n v="1"/>
  </r>
  <r>
    <x v="0"/>
    <d v="2023-06-05T00:00:00"/>
    <s v="Loveland"/>
    <s v="Blue Tree Realty"/>
    <x v="5"/>
    <s v="Culex tarsalis"/>
    <n v="2"/>
    <s v="CDC Light Trap"/>
    <s v="LV-100"/>
    <n v="2"/>
    <n v="0"/>
  </r>
  <r>
    <x v="0"/>
    <d v="2023-06-05T00:00:00"/>
    <s v="Loveland"/>
    <s v="Cr 20 and 9"/>
    <x v="5"/>
    <s v="Culex tarsalis"/>
    <n v="21"/>
    <s v="CDC Light Trap"/>
    <s v="LV-104"/>
    <n v="21"/>
    <n v="0"/>
  </r>
  <r>
    <x v="0"/>
    <d v="2023-06-05T00:00:00"/>
    <s v="Loveland"/>
    <s v="Big Thompson "/>
    <x v="5"/>
    <s v="Culex tarsalis"/>
    <n v="2"/>
    <s v="CDC Light Trap"/>
    <s v="LV-110"/>
    <n v="2"/>
    <n v="0"/>
  </r>
  <r>
    <x v="0"/>
    <d v="2023-06-05T00:00:00"/>
    <s v="Loveland"/>
    <s v="915 S Boise"/>
    <x v="5"/>
    <s v="Culex tarsalis"/>
    <n v="4"/>
    <s v="CDC Light Trap"/>
    <s v="LV-112"/>
    <n v="4"/>
    <n v="0"/>
  </r>
  <r>
    <x v="0"/>
    <d v="2023-06-05T00:00:00"/>
    <s v="Loveland"/>
    <s v="915 S Boise"/>
    <x v="5"/>
    <s v="Culex pipiens"/>
    <n v="1"/>
    <s v="CDC Light Trap"/>
    <s v="LV-112"/>
    <n v="0"/>
    <n v="1"/>
  </r>
  <r>
    <x v="0"/>
    <d v="2023-06-05T00:00:00"/>
    <s v="Loveland"/>
    <s v="Bldg D190, 815 14th Street Southwest, Loveland, CO 80537, USA"/>
    <x v="5"/>
    <s v="Culex tarsalis"/>
    <n v="13"/>
    <s v="CDC Light Trap"/>
    <s v="LV-124"/>
    <n v="13"/>
    <n v="0"/>
  </r>
  <r>
    <x v="0"/>
    <d v="2023-06-06T00:00:00"/>
    <s v="Loveland"/>
    <s v="Jocelyn and Eagle"/>
    <x v="5"/>
    <s v="Culex tarsalis"/>
    <n v="2"/>
    <s v="CDC Light Trap"/>
    <s v="LV-019"/>
    <n v="2"/>
    <n v="0"/>
  </r>
  <r>
    <x v="0"/>
    <d v="2023-06-06T00:00:00"/>
    <s v="Loveland"/>
    <s v="Cattail Pond"/>
    <x v="5"/>
    <s v="Culex tarsalis"/>
    <n v="25"/>
    <s v="CDC Light Trap"/>
    <s v="LV-020"/>
    <n v="25"/>
    <n v="0"/>
  </r>
  <r>
    <x v="0"/>
    <d v="2023-06-06T00:00:00"/>
    <s v="Loveland"/>
    <s v="Linda and 26th "/>
    <x v="5"/>
    <s v="Culex tarsalis"/>
    <n v="22"/>
    <s v="CDC Light Trap"/>
    <s v="LV-021"/>
    <n v="22"/>
    <n v="0"/>
  </r>
  <r>
    <x v="0"/>
    <d v="2023-06-06T00:00:00"/>
    <s v="Loveland"/>
    <s v="Del Norte Private Park"/>
    <x v="5"/>
    <s v="Culex tarsalis"/>
    <n v="34"/>
    <s v="CDC Light Trap"/>
    <s v="LV-067"/>
    <n v="34"/>
    <n v="0"/>
  </r>
  <r>
    <x v="0"/>
    <d v="2023-06-06T00:00:00"/>
    <s v="Loveland"/>
    <s v="Derby Hill"/>
    <x v="5"/>
    <s v="Culex tarsalis"/>
    <n v="2"/>
    <s v="CDC Light Trap"/>
    <s v="LV-087"/>
    <n v="2"/>
    <n v="0"/>
  </r>
  <r>
    <x v="0"/>
    <d v="2023-06-06T00:00:00"/>
    <s v="Loveland"/>
    <s v="Jill Drive Pond"/>
    <x v="5"/>
    <s v="Culex tarsalis"/>
    <n v="12"/>
    <s v="CDC Light Trap"/>
    <s v="LV-114"/>
    <n v="12"/>
    <n v="0"/>
  </r>
  <r>
    <x v="0"/>
    <d v="2023-06-06T00:00:00"/>
    <s v="Loveland"/>
    <s v="End of City Limits North"/>
    <x v="5"/>
    <s v="Culex tarsalis"/>
    <n v="20"/>
    <s v="CDC Light Trap"/>
    <s v="LV-120"/>
    <n v="20"/>
    <n v="0"/>
  </r>
  <r>
    <x v="0"/>
    <d v="2023-06-07T00:00:00"/>
    <s v="Loveland"/>
    <s v="Estrella Park"/>
    <x v="5"/>
    <s v="Culex pipiens"/>
    <n v="1"/>
    <s v="CDC Light Trap"/>
    <s v="LV-014"/>
    <n v="0"/>
    <n v="1"/>
  </r>
  <r>
    <x v="0"/>
    <d v="2023-06-07T00:00:00"/>
    <s v="Loveland"/>
    <s v="Estrella Park"/>
    <x v="5"/>
    <s v="Culex tarsalis"/>
    <n v="3"/>
    <s v="CDC Light Trap"/>
    <s v="LV-014"/>
    <n v="3"/>
    <n v="0"/>
  </r>
  <r>
    <x v="0"/>
    <d v="2023-06-07T00:00:00"/>
    <s v="Loveland"/>
    <s v="Farasita at Rist Benson"/>
    <x v="5"/>
    <s v="Culex pipiens"/>
    <n v="3"/>
    <s v="CDC Light Trap"/>
    <s v="LV-097"/>
    <n v="0"/>
    <n v="3"/>
  </r>
  <r>
    <x v="0"/>
    <d v="2023-06-07T00:00:00"/>
    <s v="Loveland"/>
    <s v="Farasita at Rist Benson"/>
    <x v="5"/>
    <s v="Culex tarsalis"/>
    <n v="1"/>
    <s v="CDC Light Trap"/>
    <s v="LV-097"/>
    <n v="1"/>
    <n v="0"/>
  </r>
  <r>
    <x v="0"/>
    <d v="2023-06-07T00:00:00"/>
    <s v="Loveland"/>
    <s v="Benson Sculpture Park"/>
    <x v="5"/>
    <s v="Culex pipiens"/>
    <n v="1"/>
    <s v="CDC Light Trap"/>
    <s v="LV-098"/>
    <n v="0"/>
    <n v="1"/>
  </r>
  <r>
    <x v="0"/>
    <d v="2023-06-07T00:00:00"/>
    <s v="Loveland"/>
    <s v="Cattails Golfcourse"/>
    <x v="5"/>
    <s v="Culex tarsalis"/>
    <n v="2"/>
    <s v="CDC Light Trap"/>
    <s v="LV-099"/>
    <n v="2"/>
    <n v="0"/>
  </r>
  <r>
    <x v="0"/>
    <d v="2023-06-07T00:00:00"/>
    <s v="Loveland"/>
    <s v="Glen Isle Ditch"/>
    <x v="5"/>
    <s v="Culex tarsalis"/>
    <n v="4"/>
    <s v="CDC Light Trap"/>
    <s v="LV-102"/>
    <n v="4"/>
    <n v="0"/>
  </r>
  <r>
    <x v="0"/>
    <d v="2023-06-07T00:00:00"/>
    <s v="Loveland"/>
    <s v="Glen Isle Ditch"/>
    <x v="5"/>
    <s v="Culex pipiens"/>
    <n v="6"/>
    <s v="CDC Light Trap"/>
    <s v="LV-102"/>
    <n v="0"/>
    <n v="6"/>
  </r>
  <r>
    <x v="0"/>
    <d v="2023-06-07T00:00:00"/>
    <s v="Loveland"/>
    <s v="West 43rd Railroad"/>
    <x v="5"/>
    <s v="Culex tarsalis"/>
    <n v="2"/>
    <s v="CDC Light Trap"/>
    <s v="LV-105"/>
    <n v="2"/>
    <n v="0"/>
  </r>
  <r>
    <x v="0"/>
    <d v="2023-06-07T00:00:00"/>
    <s v="Loveland"/>
    <s v="Fallgold"/>
    <x v="5"/>
    <s v="Culex tarsalis"/>
    <n v="2"/>
    <s v="CDC Light Trap"/>
    <s v="LV-122"/>
    <n v="2"/>
    <n v="0"/>
  </r>
  <r>
    <x v="0"/>
    <d v="2023-06-07T00:00:00"/>
    <s v="Loveland"/>
    <s v="Fallgold"/>
    <x v="5"/>
    <s v="Culex pipiens"/>
    <n v="3"/>
    <s v="CDC Light Trap"/>
    <s v="LV-122"/>
    <n v="0"/>
    <n v="3"/>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8">
  <r>
    <n v="2023"/>
    <s v="CSU-19175"/>
    <n v="28781"/>
    <x v="0"/>
    <x v="0"/>
    <s v="LC"/>
    <s v="LV"/>
    <s v="LV-069"/>
    <x v="0"/>
    <s v="L"/>
    <s v="Cx."/>
    <x v="0"/>
    <s v="F"/>
    <m/>
    <n v="3"/>
    <n v="3"/>
    <n v="0"/>
    <s v="Negative"/>
  </r>
  <r>
    <n v="2023"/>
    <s v="CSU-19176"/>
    <n v="28782"/>
    <x v="0"/>
    <x v="0"/>
    <s v="LC"/>
    <s v="LV"/>
    <s v="LV-095"/>
    <x v="0"/>
    <s v="L"/>
    <s v="Cx."/>
    <x v="0"/>
    <s v="F"/>
    <m/>
    <n v="4"/>
    <n v="4"/>
    <n v="0"/>
    <s v="Negative"/>
  </r>
  <r>
    <n v="2023"/>
    <s v="CSU-19177"/>
    <n v="28783"/>
    <x v="0"/>
    <x v="0"/>
    <s v="LC"/>
    <s v="LV"/>
    <s v="LV-095"/>
    <x v="0"/>
    <s v="L"/>
    <s v="Cx."/>
    <x v="1"/>
    <s v="F"/>
    <m/>
    <n v="1"/>
    <n v="1"/>
    <n v="0"/>
    <s v="Negative"/>
  </r>
  <r>
    <n v="2023"/>
    <s v="CSU-19178"/>
    <n v="28784"/>
    <x v="0"/>
    <x v="0"/>
    <s v="LC"/>
    <s v="FC"/>
    <s v="FC-069"/>
    <x v="1"/>
    <s v="L"/>
    <s v="Cx."/>
    <x v="0"/>
    <s v="F"/>
    <m/>
    <n v="1"/>
    <n v="1"/>
    <n v="0"/>
    <s v="Negative"/>
  </r>
  <r>
    <n v="2023"/>
    <s v="CSU-19179"/>
    <n v="28785"/>
    <x v="0"/>
    <x v="0"/>
    <s v="LC"/>
    <s v="FC"/>
    <s v="FC-066"/>
    <x v="1"/>
    <s v="L"/>
    <s v="Cx."/>
    <x v="0"/>
    <s v="F"/>
    <m/>
    <n v="1"/>
    <n v="1"/>
    <n v="0"/>
    <s v="Negative"/>
  </r>
  <r>
    <n v="2023"/>
    <s v="CSU-19180"/>
    <n v="28786"/>
    <x v="0"/>
    <x v="0"/>
    <s v="LC"/>
    <s v="FC"/>
    <s v="FC-066"/>
    <x v="1"/>
    <s v="L"/>
    <s v="Cx."/>
    <x v="1"/>
    <s v="F"/>
    <m/>
    <n v="2"/>
    <n v="2"/>
    <n v="0"/>
    <s v="Negative"/>
  </r>
  <r>
    <n v="2023"/>
    <s v="CSU-19181"/>
    <n v="28787"/>
    <x v="0"/>
    <x v="0"/>
    <s v="LC"/>
    <s v="FC"/>
    <s v="FC-040gr"/>
    <x v="1"/>
    <s v="G"/>
    <s v="Cx."/>
    <x v="1"/>
    <s v="F"/>
    <n v="2"/>
    <m/>
    <n v="2"/>
    <n v="0"/>
    <s v="Negative"/>
  </r>
  <r>
    <n v="2023"/>
    <s v="CSU-19182"/>
    <n v="28788"/>
    <x v="0"/>
    <x v="0"/>
    <s v="LC"/>
    <s v="FC"/>
    <s v="FC-014"/>
    <x v="1"/>
    <s v="L"/>
    <s v="Cx."/>
    <x v="0"/>
    <s v="F"/>
    <m/>
    <n v="3"/>
    <n v="3"/>
    <n v="0"/>
    <s v="Negative"/>
  </r>
  <r>
    <n v="2023"/>
    <s v="CSU-19183"/>
    <n v="28789"/>
    <x v="0"/>
    <x v="0"/>
    <s v="LC"/>
    <s v="FC"/>
    <s v="FC-092gr"/>
    <x v="1"/>
    <s v="G"/>
    <s v="Cx."/>
    <x v="1"/>
    <s v="F"/>
    <n v="3"/>
    <m/>
    <n v="3"/>
    <n v="0"/>
    <s v="Negative"/>
  </r>
  <r>
    <n v="2023"/>
    <s v="CSU-19184"/>
    <n v="28790"/>
    <x v="0"/>
    <x v="0"/>
    <s v="LC"/>
    <s v="FC"/>
    <s v="FC-034"/>
    <x v="1"/>
    <s v="L"/>
    <s v="Cx."/>
    <x v="0"/>
    <s v="F"/>
    <m/>
    <n v="2"/>
    <n v="2"/>
    <n v="0"/>
    <s v="Negative"/>
  </r>
  <r>
    <n v="2023"/>
    <s v="CSU-19185"/>
    <n v="28791"/>
    <x v="0"/>
    <x v="0"/>
    <s v="LC"/>
    <s v="FC"/>
    <s v="FC-066gr"/>
    <x v="1"/>
    <s v="G"/>
    <s v="Cx."/>
    <x v="0"/>
    <s v="F"/>
    <n v="2"/>
    <m/>
    <n v="2"/>
    <n v="0"/>
    <s v="Negative"/>
  </r>
  <r>
    <n v="2023"/>
    <s v="CSU-19186"/>
    <n v="28792"/>
    <x v="0"/>
    <x v="0"/>
    <s v="LC"/>
    <s v="FC"/>
    <s v="FC-066gr"/>
    <x v="1"/>
    <s v="G"/>
    <s v="Cx."/>
    <x v="1"/>
    <s v="F"/>
    <n v="1"/>
    <m/>
    <n v="1"/>
    <n v="0"/>
    <s v="Negative"/>
  </r>
  <r>
    <n v="2023"/>
    <s v="CSU-19187"/>
    <n v="28793"/>
    <x v="0"/>
    <x v="0"/>
    <s v="LC"/>
    <s v="FC"/>
    <s v="FC-036"/>
    <x v="2"/>
    <s v="L"/>
    <s v="Cx."/>
    <x v="0"/>
    <s v="F"/>
    <m/>
    <n v="1"/>
    <n v="1"/>
    <n v="0"/>
    <s v="Negative"/>
  </r>
  <r>
    <n v="2023"/>
    <s v="CSU-19188"/>
    <n v="28794"/>
    <x v="0"/>
    <x v="0"/>
    <s v="LC"/>
    <s v="FC"/>
    <s v="FC-036"/>
    <x v="2"/>
    <s v="L"/>
    <s v="Cx."/>
    <x v="1"/>
    <s v="F"/>
    <m/>
    <n v="1"/>
    <n v="1"/>
    <n v="0"/>
    <s v="Negative"/>
  </r>
  <r>
    <n v="2023"/>
    <s v="CSU-19189"/>
    <n v="28795"/>
    <x v="0"/>
    <x v="0"/>
    <s v="LC"/>
    <s v="FC"/>
    <s v="FC-019"/>
    <x v="1"/>
    <s v="L"/>
    <s v="Cx."/>
    <x v="1"/>
    <s v="F"/>
    <m/>
    <n v="1"/>
    <n v="1"/>
    <n v="0"/>
    <s v="Negative"/>
  </r>
  <r>
    <n v="2023"/>
    <s v="CSU-19190"/>
    <n v="28796"/>
    <x v="0"/>
    <x v="1"/>
    <s v="LC"/>
    <s v="LV"/>
    <s v="LV-104"/>
    <x v="0"/>
    <s v="L"/>
    <s v="Cx."/>
    <x v="0"/>
    <s v="F"/>
    <m/>
    <n v="21"/>
    <n v="21"/>
    <n v="0"/>
    <s v="Negative"/>
  </r>
  <r>
    <n v="2023"/>
    <s v="CSU-19191"/>
    <n v="28797"/>
    <x v="0"/>
    <x v="1"/>
    <s v="LC"/>
    <s v="LV"/>
    <s v="LV-089"/>
    <x v="0"/>
    <s v="L"/>
    <s v="Cx."/>
    <x v="0"/>
    <s v="F"/>
    <m/>
    <n v="50"/>
    <n v="50"/>
    <n v="0"/>
    <s v="Negative"/>
  </r>
  <r>
    <n v="2023"/>
    <s v="CSU-19192"/>
    <n v="28798"/>
    <x v="0"/>
    <x v="1"/>
    <s v="LC"/>
    <s v="LV"/>
    <s v="LV-089"/>
    <x v="0"/>
    <s v="L"/>
    <s v="Cx."/>
    <x v="0"/>
    <s v="F"/>
    <m/>
    <n v="47"/>
    <n v="47"/>
    <n v="0"/>
    <s v="Negative"/>
  </r>
  <r>
    <n v="2023"/>
    <s v="CSU-19193"/>
    <n v="28799"/>
    <x v="0"/>
    <x v="1"/>
    <s v="LC"/>
    <s v="LV"/>
    <s v="LV-089"/>
    <x v="0"/>
    <s v="L"/>
    <s v="Cx."/>
    <x v="1"/>
    <s v="F"/>
    <m/>
    <n v="4"/>
    <n v="4"/>
    <n v="0"/>
    <s v="Negative"/>
  </r>
  <r>
    <n v="2023"/>
    <s v="CSU-19194"/>
    <n v="28800"/>
    <x v="0"/>
    <x v="1"/>
    <s v="LC"/>
    <s v="LV"/>
    <s v="LV-110"/>
    <x v="0"/>
    <s v="L"/>
    <s v="Cx."/>
    <x v="0"/>
    <s v="F"/>
    <m/>
    <n v="2"/>
    <n v="2"/>
    <n v="0"/>
    <s v="Negative"/>
  </r>
  <r>
    <n v="2023"/>
    <s v="CSU-19195"/>
    <n v="28801"/>
    <x v="0"/>
    <x v="1"/>
    <s v="LC"/>
    <s v="FC"/>
    <s v="FC-039"/>
    <x v="3"/>
    <s v="L"/>
    <s v="Cx."/>
    <x v="0"/>
    <s v="F"/>
    <m/>
    <n v="2"/>
    <n v="2"/>
    <n v="0"/>
    <s v="Negative"/>
  </r>
  <r>
    <n v="2023"/>
    <s v="CSU-19196"/>
    <n v="28802"/>
    <x v="0"/>
    <x v="1"/>
    <s v="LC"/>
    <s v="FC"/>
    <s v="FC-053"/>
    <x v="3"/>
    <s v="L"/>
    <s v="Cx."/>
    <x v="0"/>
    <s v="F"/>
    <m/>
    <n v="5"/>
    <n v="5"/>
    <n v="0"/>
    <s v="Negative"/>
  </r>
  <r>
    <n v="2023"/>
    <s v="CSU-19197"/>
    <n v="28803"/>
    <x v="0"/>
    <x v="1"/>
    <s v="LC"/>
    <s v="FC"/>
    <s v="FC-027"/>
    <x v="3"/>
    <s v="L"/>
    <s v="Cx."/>
    <x v="0"/>
    <s v="F"/>
    <m/>
    <n v="2"/>
    <n v="2"/>
    <n v="0"/>
    <s v="Negative"/>
  </r>
  <r>
    <n v="2023"/>
    <s v="CSU-19198"/>
    <n v="28804"/>
    <x v="0"/>
    <x v="1"/>
    <s v="LC"/>
    <s v="FC"/>
    <s v="FC-059"/>
    <x v="3"/>
    <s v="L"/>
    <s v="Cx."/>
    <x v="0"/>
    <s v="F"/>
    <m/>
    <n v="2"/>
    <n v="2"/>
    <n v="0"/>
    <s v="Negative"/>
  </r>
  <r>
    <n v="2023"/>
    <s v="CSU-19199"/>
    <n v="28805"/>
    <x v="0"/>
    <x v="1"/>
    <s v="LC"/>
    <s v="FC"/>
    <s v="FC-059"/>
    <x v="3"/>
    <s v="L"/>
    <s v="Cx."/>
    <x v="1"/>
    <s v="F"/>
    <m/>
    <n v="1"/>
    <n v="1"/>
    <n v="0"/>
    <s v="Negative"/>
  </r>
  <r>
    <n v="2023"/>
    <s v="CSU-19200"/>
    <n v="28806"/>
    <x v="0"/>
    <x v="1"/>
    <s v="LC"/>
    <s v="FC"/>
    <s v="FC-004"/>
    <x v="3"/>
    <s v="L"/>
    <s v="Cx."/>
    <x v="0"/>
    <s v="F"/>
    <m/>
    <n v="6"/>
    <n v="6"/>
    <n v="0"/>
    <s v="Negative"/>
  </r>
  <r>
    <n v="2023"/>
    <s v="CSU-19201"/>
    <n v="28807"/>
    <x v="0"/>
    <x v="1"/>
    <s v="LC"/>
    <s v="FC"/>
    <s v="FC-074"/>
    <x v="3"/>
    <s v="L"/>
    <s v="Cx."/>
    <x v="0"/>
    <s v="F"/>
    <m/>
    <n v="8"/>
    <n v="8"/>
    <n v="0"/>
    <s v="Negative"/>
  </r>
  <r>
    <n v="2023"/>
    <s v="CSU-19202"/>
    <n v="28808"/>
    <x v="0"/>
    <x v="1"/>
    <s v="LC"/>
    <s v="FC"/>
    <s v="FC-023"/>
    <x v="3"/>
    <s v="L"/>
    <s v="Cx."/>
    <x v="0"/>
    <s v="F"/>
    <m/>
    <n v="1"/>
    <n v="1"/>
    <n v="0"/>
    <s v="Negative"/>
  </r>
  <r>
    <n v="2023"/>
    <s v="CSU-19203"/>
    <n v="28809"/>
    <x v="0"/>
    <x v="1"/>
    <s v="LC"/>
    <s v="FC"/>
    <s v="FC-064"/>
    <x v="3"/>
    <s v="L"/>
    <s v="Cx."/>
    <x v="0"/>
    <s v="F"/>
    <m/>
    <n v="14"/>
    <n v="14"/>
    <n v="0"/>
    <s v="Negative"/>
  </r>
  <r>
    <n v="2023"/>
    <s v="CSU-19204"/>
    <n v="28810"/>
    <x v="0"/>
    <x v="1"/>
    <s v="LC"/>
    <s v="FC"/>
    <s v="FC-064"/>
    <x v="3"/>
    <s v="L"/>
    <s v="Cx."/>
    <x v="1"/>
    <s v="F"/>
    <m/>
    <n v="1"/>
    <n v="1"/>
    <n v="0"/>
    <s v="Negative"/>
  </r>
  <r>
    <n v="2023"/>
    <s v="CSU-19205"/>
    <n v="28811"/>
    <x v="0"/>
    <x v="1"/>
    <s v="LC"/>
    <s v="FC"/>
    <s v="FC-088gr"/>
    <x v="3"/>
    <s v="G"/>
    <s v="Cx."/>
    <x v="1"/>
    <s v="F"/>
    <n v="11"/>
    <m/>
    <n v="11"/>
    <n v="0"/>
    <s v="Negative"/>
  </r>
  <r>
    <n v="2023"/>
    <s v="CSU-19206"/>
    <n v="28812"/>
    <x v="0"/>
    <x v="1"/>
    <s v="LC"/>
    <s v="FC"/>
    <s v="FC-050"/>
    <x v="3"/>
    <s v="L"/>
    <s v="Cx."/>
    <x v="0"/>
    <s v="F"/>
    <m/>
    <n v="5"/>
    <n v="5"/>
    <n v="0"/>
    <s v="Negative"/>
  </r>
  <r>
    <n v="2023"/>
    <s v="CSU-19207"/>
    <n v="28813"/>
    <x v="0"/>
    <x v="1"/>
    <s v="LC"/>
    <s v="FC"/>
    <s v="FC-046"/>
    <x v="3"/>
    <s v="L"/>
    <s v="Cx."/>
    <x v="0"/>
    <s v="F"/>
    <m/>
    <n v="2"/>
    <n v="2"/>
    <n v="0"/>
    <s v="Negative"/>
  </r>
  <r>
    <n v="2023"/>
    <s v="CSU-19208"/>
    <n v="28814"/>
    <x v="0"/>
    <x v="1"/>
    <s v="LC"/>
    <s v="FC"/>
    <s v="FC-046"/>
    <x v="3"/>
    <s v="L"/>
    <s v="Cx."/>
    <x v="1"/>
    <s v="F"/>
    <m/>
    <n v="2"/>
    <n v="2"/>
    <n v="0"/>
    <s v="Negative"/>
  </r>
  <r>
    <n v="2023"/>
    <s v="CSU-19209"/>
    <n v="28815"/>
    <x v="0"/>
    <x v="1"/>
    <s v="LC"/>
    <s v="FC"/>
    <s v="FC-075"/>
    <x v="3"/>
    <s v="L"/>
    <s v="Cx."/>
    <x v="0"/>
    <s v="F"/>
    <m/>
    <n v="7"/>
    <n v="7"/>
    <n v="0"/>
    <s v="Negative"/>
  </r>
  <r>
    <n v="2023"/>
    <s v="CSU-19210"/>
    <n v="28816"/>
    <x v="0"/>
    <x v="1"/>
    <s v="LC"/>
    <s v="FC"/>
    <s v="FC-075"/>
    <x v="3"/>
    <s v="L"/>
    <s v="Cx."/>
    <x v="1"/>
    <s v="F"/>
    <m/>
    <n v="3"/>
    <n v="3"/>
    <n v="0"/>
    <s v="Negative"/>
  </r>
  <r>
    <n v="2023"/>
    <s v="CSU-19211"/>
    <n v="28817"/>
    <x v="0"/>
    <x v="1"/>
    <s v="LC"/>
    <s v="FC"/>
    <s v="FC-047"/>
    <x v="3"/>
    <s v="L"/>
    <s v="Cx."/>
    <x v="0"/>
    <s v="F"/>
    <m/>
    <n v="6"/>
    <n v="6"/>
    <n v="0"/>
    <s v="Negative"/>
  </r>
  <r>
    <n v="2023"/>
    <s v="CSU-19212"/>
    <n v="28818"/>
    <x v="0"/>
    <x v="1"/>
    <s v="LC"/>
    <s v="FC"/>
    <s v="FC-031"/>
    <x v="3"/>
    <s v="L"/>
    <s v="Cx."/>
    <x v="0"/>
    <s v="F"/>
    <m/>
    <n v="7"/>
    <n v="7"/>
    <n v="0"/>
    <s v="Negative"/>
  </r>
  <r>
    <n v="2023"/>
    <s v="CSU-19213"/>
    <n v="28819"/>
    <x v="0"/>
    <x v="1"/>
    <s v="LC"/>
    <s v="FC"/>
    <s v="FC-031"/>
    <x v="3"/>
    <s v="L"/>
    <s v="Cx."/>
    <x v="1"/>
    <s v="F"/>
    <m/>
    <n v="2"/>
    <n v="2"/>
    <n v="0"/>
    <s v="Negative"/>
  </r>
  <r>
    <n v="2023"/>
    <s v="CSU-19214"/>
    <n v="28820"/>
    <x v="0"/>
    <x v="1"/>
    <s v="LC"/>
    <s v="FC"/>
    <s v="FC-075gr"/>
    <x v="3"/>
    <s v="G"/>
    <s v="Cx."/>
    <x v="0"/>
    <s v="F"/>
    <n v="1"/>
    <m/>
    <n v="1"/>
    <n v="0"/>
    <s v="Negative"/>
  </r>
  <r>
    <n v="2023"/>
    <s v="CSU-19215"/>
    <n v="28821"/>
    <x v="0"/>
    <x v="2"/>
    <s v="LC"/>
    <s v="FC"/>
    <s v="FC-073"/>
    <x v="2"/>
    <s v="L"/>
    <s v="Cx."/>
    <x v="0"/>
    <s v="F"/>
    <m/>
    <n v="10"/>
    <n v="10"/>
    <n v="0"/>
    <s v="Negative"/>
  </r>
  <r>
    <n v="2023"/>
    <s v="CSU-19216"/>
    <n v="28822"/>
    <x v="0"/>
    <x v="2"/>
    <s v="LC"/>
    <s v="FC"/>
    <s v="FC-073"/>
    <x v="2"/>
    <s v="L"/>
    <s v="Cx."/>
    <x v="1"/>
    <s v="F"/>
    <m/>
    <n v="4"/>
    <n v="4"/>
    <n v="0"/>
    <s v="Negative"/>
  </r>
  <r>
    <n v="2023"/>
    <s v="CSU-19217"/>
    <n v="28823"/>
    <x v="0"/>
    <x v="2"/>
    <s v="LC"/>
    <s v="BE"/>
    <s v="LC-054"/>
    <x v="4"/>
    <s v="L"/>
    <s v="Cx."/>
    <x v="0"/>
    <s v="F"/>
    <m/>
    <n v="16"/>
    <n v="16"/>
    <n v="0"/>
    <s v="Negative"/>
  </r>
  <r>
    <n v="2023"/>
    <s v="CSU-19218"/>
    <n v="28824"/>
    <x v="0"/>
    <x v="2"/>
    <s v="LC"/>
    <s v="BE"/>
    <s v="LC-001"/>
    <x v="4"/>
    <s v="L"/>
    <s v="Cx."/>
    <x v="0"/>
    <s v="F"/>
    <m/>
    <n v="9"/>
    <n v="9"/>
    <n v="0"/>
    <s v="Negative"/>
  </r>
  <r>
    <n v="2023"/>
    <s v="CSU-19219"/>
    <n v="28825"/>
    <x v="0"/>
    <x v="2"/>
    <s v="LC"/>
    <s v="BE"/>
    <s v="LC-053"/>
    <x v="4"/>
    <s v="L"/>
    <s v="Cx."/>
    <x v="0"/>
    <s v="F"/>
    <m/>
    <n v="19"/>
    <n v="19"/>
    <n v="0"/>
    <s v="Negative"/>
  </r>
  <r>
    <n v="2023"/>
    <s v="CSU-19220"/>
    <n v="28826"/>
    <x v="0"/>
    <x v="2"/>
    <s v="LC"/>
    <s v="BE"/>
    <s v="LC-049"/>
    <x v="4"/>
    <s v="L"/>
    <s v="Cx."/>
    <x v="0"/>
    <s v="F"/>
    <m/>
    <n v="3"/>
    <n v="3"/>
    <n v="0"/>
    <s v="Negative"/>
  </r>
  <r>
    <n v="2023"/>
    <s v="CSU-19221"/>
    <n v="28827"/>
    <x v="0"/>
    <x v="2"/>
    <s v="LC"/>
    <s v="LV"/>
    <s v="LV-020"/>
    <x v="0"/>
    <s v="L"/>
    <s v="Cx."/>
    <x v="0"/>
    <s v="F"/>
    <m/>
    <n v="25"/>
    <n v="25"/>
    <n v="0"/>
    <s v="Negative"/>
  </r>
  <r>
    <n v="2023"/>
    <s v="CSU-19222"/>
    <n v="28828"/>
    <x v="0"/>
    <x v="2"/>
    <s v="LC"/>
    <s v="FC"/>
    <s v="FC-052"/>
    <x v="2"/>
    <s v="L"/>
    <s v="Cx."/>
    <x v="0"/>
    <s v="F"/>
    <m/>
    <n v="1"/>
    <n v="1"/>
    <n v="0"/>
    <s v="Negative"/>
  </r>
  <r>
    <n v="2023"/>
    <s v="CSU-19223"/>
    <n v="28829"/>
    <x v="0"/>
    <x v="2"/>
    <s v="LC"/>
    <s v="FC"/>
    <s v="FC-052"/>
    <x v="2"/>
    <s v="L"/>
    <s v="Cx."/>
    <x v="1"/>
    <s v="F"/>
    <m/>
    <n v="1"/>
    <n v="1"/>
    <n v="0"/>
    <s v="Negative"/>
  </r>
  <r>
    <n v="2023"/>
    <s v="CSU-19224"/>
    <n v="28830"/>
    <x v="0"/>
    <x v="2"/>
    <s v="LC"/>
    <s v="FC"/>
    <s v="FC-061"/>
    <x v="2"/>
    <s v="L"/>
    <s v="Cx."/>
    <x v="0"/>
    <s v="F"/>
    <m/>
    <n v="16"/>
    <n v="16"/>
    <n v="0"/>
    <s v="Negative"/>
  </r>
  <r>
    <n v="2023"/>
    <s v="CSU-19225"/>
    <n v="28831"/>
    <x v="0"/>
    <x v="2"/>
    <s v="LC"/>
    <s v="FC"/>
    <s v="FC-061"/>
    <x v="2"/>
    <s v="L"/>
    <s v="Cx."/>
    <x v="1"/>
    <s v="F"/>
    <m/>
    <n v="3"/>
    <n v="3"/>
    <n v="0"/>
    <s v="Negative"/>
  </r>
  <r>
    <n v="2023"/>
    <s v="CSU-19226"/>
    <n v="28832"/>
    <x v="0"/>
    <x v="2"/>
    <s v="LC"/>
    <s v="FC"/>
    <s v="FC-041"/>
    <x v="2"/>
    <s v="L"/>
    <s v="Cx."/>
    <x v="0"/>
    <s v="F"/>
    <m/>
    <n v="3"/>
    <n v="3"/>
    <n v="0"/>
    <s v="Negative"/>
  </r>
  <r>
    <n v="2023"/>
    <s v="CSU-19227"/>
    <n v="28833"/>
    <x v="0"/>
    <x v="2"/>
    <s v="LC"/>
    <s v="FC"/>
    <s v="FC-041"/>
    <x v="2"/>
    <s v="L"/>
    <s v="Cx."/>
    <x v="1"/>
    <s v="F"/>
    <m/>
    <n v="2"/>
    <n v="2"/>
    <n v="0"/>
    <s v="Negative"/>
  </r>
  <r>
    <n v="2023"/>
    <s v="CSU-19228"/>
    <n v="28834"/>
    <x v="0"/>
    <x v="2"/>
    <s v="LC"/>
    <s v="FC"/>
    <s v="FC-060"/>
    <x v="2"/>
    <s v="L"/>
    <s v="Cx."/>
    <x v="0"/>
    <s v="F"/>
    <m/>
    <n v="2"/>
    <n v="2"/>
    <n v="0"/>
    <s v="Negative"/>
  </r>
  <r>
    <n v="2023"/>
    <s v="CSU-19229"/>
    <n v="28835"/>
    <x v="0"/>
    <x v="2"/>
    <s v="LC"/>
    <s v="FC"/>
    <s v="FC-060"/>
    <x v="2"/>
    <s v="L"/>
    <s v="Cx."/>
    <x v="1"/>
    <s v="F"/>
    <m/>
    <n v="1"/>
    <n v="1"/>
    <n v="0"/>
    <s v="Negative"/>
  </r>
  <r>
    <n v="2023"/>
    <s v="CSU-19230"/>
    <n v="28836"/>
    <x v="0"/>
    <x v="2"/>
    <s v="LC"/>
    <s v="BE"/>
    <s v="WC-055"/>
    <x v="4"/>
    <s v="L"/>
    <s v="Cx."/>
    <x v="0"/>
    <s v="F"/>
    <m/>
    <n v="17"/>
    <n v="17"/>
    <n v="0"/>
    <s v="Negative"/>
  </r>
  <r>
    <n v="2023"/>
    <s v="CSU-19231"/>
    <n v="28837"/>
    <x v="0"/>
    <x v="2"/>
    <s v="LC"/>
    <s v="FC"/>
    <s v="FC-090gr"/>
    <x v="2"/>
    <s v="G"/>
    <s v="Cx."/>
    <x v="1"/>
    <s v="F"/>
    <n v="1"/>
    <m/>
    <n v="1"/>
    <n v="0"/>
    <s v="Negative"/>
  </r>
  <r>
    <n v="2023"/>
    <s v="CSU-19232"/>
    <n v="28838"/>
    <x v="0"/>
    <x v="2"/>
    <s v="LC"/>
    <s v="FC"/>
    <s v="FC-011"/>
    <x v="2"/>
    <s v="L"/>
    <s v="Cx."/>
    <x v="0"/>
    <s v="F"/>
    <m/>
    <n v="5"/>
    <n v="5"/>
    <n v="0"/>
    <s v="Negative"/>
  </r>
  <r>
    <n v="2023"/>
    <s v="CSU-19233"/>
    <n v="28839"/>
    <x v="0"/>
    <x v="2"/>
    <s v="LC"/>
    <s v="FC"/>
    <s v="FC-011"/>
    <x v="2"/>
    <s v="L"/>
    <s v="Cx."/>
    <x v="1"/>
    <s v="F"/>
    <m/>
    <n v="4"/>
    <n v="4"/>
    <n v="0"/>
    <s v="Negative"/>
  </r>
  <r>
    <n v="2023"/>
    <s v="CSU-19234"/>
    <n v="28840"/>
    <x v="0"/>
    <x v="2"/>
    <s v="LC"/>
    <s v="FC"/>
    <s v="FC-063gr"/>
    <x v="2"/>
    <s v="G"/>
    <s v="Cx."/>
    <x v="1"/>
    <s v="F"/>
    <n v="1"/>
    <m/>
    <n v="1"/>
    <n v="0"/>
    <s v="Negative"/>
  </r>
  <r>
    <n v="2023"/>
    <s v="CSU-19235"/>
    <n v="28841"/>
    <x v="0"/>
    <x v="2"/>
    <s v="LC"/>
    <s v="FC"/>
    <s v="FC-058"/>
    <x v="5"/>
    <s v="L"/>
    <s v="Cx."/>
    <x v="0"/>
    <s v="F"/>
    <m/>
    <n v="1"/>
    <n v="1"/>
    <n v="0"/>
    <s v="Negative"/>
  </r>
  <r>
    <n v="2023"/>
    <s v="CSU-19236"/>
    <n v="28842"/>
    <x v="0"/>
    <x v="2"/>
    <s v="LC"/>
    <s v="FC"/>
    <s v="FC-015"/>
    <x v="2"/>
    <s v="L"/>
    <s v="Cx."/>
    <x v="0"/>
    <s v="F"/>
    <m/>
    <n v="1"/>
    <n v="1"/>
    <n v="0"/>
    <s v="Negative"/>
  </r>
  <r>
    <n v="2023"/>
    <s v="CSU-19237"/>
    <n v="28843"/>
    <x v="0"/>
    <x v="3"/>
    <s v="LC"/>
    <s v="FC"/>
    <s v="FC-001"/>
    <x v="5"/>
    <s v="L"/>
    <s v="Cx."/>
    <x v="0"/>
    <s v="F"/>
    <m/>
    <n v="5"/>
    <n v="5"/>
    <n v="0"/>
    <s v="Negative"/>
  </r>
  <r>
    <n v="2023"/>
    <s v="CSU-19238"/>
    <n v="28844"/>
    <x v="0"/>
    <x v="3"/>
    <s v="LC"/>
    <s v="FC"/>
    <s v="FC-001"/>
    <x v="5"/>
    <s v="L"/>
    <s v="Cx."/>
    <x v="1"/>
    <s v="F"/>
    <m/>
    <n v="3"/>
    <n v="3"/>
    <n v="0"/>
    <s v="Negative"/>
  </r>
  <r>
    <n v="2023"/>
    <s v="CSU-19239"/>
    <n v="28845"/>
    <x v="0"/>
    <x v="3"/>
    <s v="LC"/>
    <s v="FC"/>
    <s v="FC-054"/>
    <x v="3"/>
    <s v="L"/>
    <s v="Cx."/>
    <x v="0"/>
    <s v="F"/>
    <m/>
    <n v="5"/>
    <n v="5"/>
    <n v="0"/>
    <s v="Negative"/>
  </r>
  <r>
    <n v="2023"/>
    <s v="CSU-19240"/>
    <n v="28846"/>
    <x v="0"/>
    <x v="3"/>
    <s v="LC"/>
    <s v="FC"/>
    <s v="FC-054"/>
    <x v="3"/>
    <s v="L"/>
    <s v="Cx."/>
    <x v="1"/>
    <s v="F"/>
    <m/>
    <n v="1"/>
    <n v="1"/>
    <n v="0"/>
    <s v="Negative"/>
  </r>
  <r>
    <n v="2023"/>
    <s v="CSU-19241"/>
    <n v="28847"/>
    <x v="0"/>
    <x v="3"/>
    <s v="LC"/>
    <s v="FC"/>
    <s v="FC-029"/>
    <x v="3"/>
    <s v="L"/>
    <s v="Cx."/>
    <x v="0"/>
    <s v="F"/>
    <m/>
    <n v="1"/>
    <n v="1"/>
    <n v="0"/>
    <s v="Negative"/>
  </r>
  <r>
    <n v="2023"/>
    <s v="CSU-19242"/>
    <n v="28848"/>
    <x v="0"/>
    <x v="3"/>
    <s v="LC"/>
    <s v="FC"/>
    <s v="FC-029"/>
    <x v="3"/>
    <s v="L"/>
    <s v="Cx."/>
    <x v="1"/>
    <s v="F"/>
    <m/>
    <n v="2"/>
    <n v="2"/>
    <n v="0"/>
    <s v="Negative"/>
  </r>
  <r>
    <n v="2023"/>
    <s v="CSU-19243"/>
    <n v="28849"/>
    <x v="0"/>
    <x v="3"/>
    <s v="LC"/>
    <s v="FC"/>
    <s v="FC-062"/>
    <x v="5"/>
    <s v="L"/>
    <s v="Cx."/>
    <x v="0"/>
    <s v="F"/>
    <m/>
    <n v="2"/>
    <n v="2"/>
    <n v="0"/>
    <s v="Negative"/>
  </r>
  <r>
    <n v="2023"/>
    <s v="CSU-19244"/>
    <n v="28850"/>
    <x v="0"/>
    <x v="3"/>
    <s v="LC"/>
    <s v="FC"/>
    <s v="FC-062"/>
    <x v="5"/>
    <s v="L"/>
    <s v="Cx."/>
    <x v="1"/>
    <s v="F"/>
    <m/>
    <n v="5"/>
    <n v="5"/>
    <n v="0"/>
    <s v="Negative"/>
  </r>
  <r>
    <n v="2023"/>
    <s v="CSU-19245"/>
    <n v="28851"/>
    <x v="0"/>
    <x v="3"/>
    <s v="LC"/>
    <s v="FC"/>
    <s v="FC-093"/>
    <x v="5"/>
    <s v="L"/>
    <s v="Cx."/>
    <x v="0"/>
    <s v="F"/>
    <m/>
    <n v="14"/>
    <n v="14"/>
    <n v="0"/>
    <s v="Negative"/>
  </r>
  <r>
    <n v="2023"/>
    <s v="CSU-19246"/>
    <n v="28852"/>
    <x v="0"/>
    <x v="3"/>
    <s v="LC"/>
    <s v="FC"/>
    <s v="FC-093"/>
    <x v="5"/>
    <s v="L"/>
    <s v="Cx."/>
    <x v="1"/>
    <s v="F"/>
    <m/>
    <n v="5"/>
    <n v="5"/>
    <n v="0"/>
    <s v="Negative"/>
  </r>
  <r>
    <n v="2023"/>
    <s v="CSU-19247"/>
    <n v="28853"/>
    <x v="0"/>
    <x v="3"/>
    <s v="LC"/>
    <s v="FC"/>
    <s v="FC-089gr"/>
    <x v="5"/>
    <s v="G"/>
    <s v="Cx."/>
    <x v="1"/>
    <s v="F"/>
    <n v="2"/>
    <m/>
    <n v="2"/>
    <n v="0"/>
    <s v="Negative"/>
  </r>
  <r>
    <n v="2023"/>
    <s v="CSU-19248"/>
    <n v="28854"/>
    <x v="0"/>
    <x v="3"/>
    <s v="LC"/>
    <s v="FC"/>
    <s v="FC-071"/>
    <x v="5"/>
    <s v="L"/>
    <s v="Cx."/>
    <x v="0"/>
    <s v="F"/>
    <m/>
    <n v="1"/>
    <n v="1"/>
    <n v="0"/>
    <s v="Negative"/>
  </r>
  <r>
    <n v="2023"/>
    <s v="CSU-19249"/>
    <n v="28855"/>
    <x v="0"/>
    <x v="3"/>
    <s v="LC"/>
    <s v="FC"/>
    <s v="FC-071"/>
    <x v="5"/>
    <s v="L"/>
    <s v="Cx."/>
    <x v="1"/>
    <s v="F"/>
    <m/>
    <n v="1"/>
    <n v="1"/>
    <n v="0"/>
    <s v="Negative"/>
  </r>
  <r>
    <n v="2023"/>
    <s v="CSU-19250"/>
    <n v="28856"/>
    <x v="0"/>
    <x v="3"/>
    <s v="LC"/>
    <s v="FC"/>
    <s v="FC-057"/>
    <x v="5"/>
    <s v="L"/>
    <s v="Cx."/>
    <x v="0"/>
    <s v="F"/>
    <m/>
    <n v="8"/>
    <n v="8"/>
    <n v="0"/>
    <s v="Negative"/>
  </r>
  <r>
    <n v="2023"/>
    <s v="CSU-19251"/>
    <n v="28857"/>
    <x v="0"/>
    <x v="3"/>
    <s v="LC"/>
    <s v="FC"/>
    <s v="FC-057"/>
    <x v="5"/>
    <s v="L"/>
    <s v="Cx."/>
    <x v="1"/>
    <s v="F"/>
    <m/>
    <n v="1"/>
    <n v="1"/>
    <n v="0"/>
    <s v="Negative"/>
  </r>
  <r>
    <n v="2023"/>
    <s v="CSU-19252"/>
    <n v="28858"/>
    <x v="0"/>
    <x v="3"/>
    <s v="LC"/>
    <s v="FC"/>
    <s v="FC-037"/>
    <x v="5"/>
    <s v="L"/>
    <s v="Cx."/>
    <x v="0"/>
    <s v="F"/>
    <m/>
    <n v="18"/>
    <n v="18"/>
    <n v="0"/>
    <s v="Negative"/>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8370388-7C2D-46F1-97C9-D8954B0FC1C3}" name="PivotTable3" cacheId="401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D11" firstHeaderRow="0" firstDataRow="1" firstDataCol="1" rowPageCount="1" colPageCount="1"/>
  <pivotFields count="11">
    <pivotField axis="axisPage" showAll="0">
      <items count="2">
        <item x="0"/>
        <item t="default"/>
      </items>
    </pivotField>
    <pivotField showAll="0"/>
    <pivotField showAll="0" defaultSubtotal="0"/>
    <pivotField showAll="0" defaultSubtotal="0"/>
    <pivotField axis="axisRow" showAll="0">
      <items count="7">
        <item x="1"/>
        <item x="2"/>
        <item x="3"/>
        <item x="4"/>
        <item x="0"/>
        <item x="5"/>
        <item t="default"/>
      </items>
    </pivotField>
    <pivotField showAll="0" defaultSubtotal="0"/>
    <pivotField dataField="1" showAll="0"/>
    <pivotField showAll="0" defaultSubtotal="0"/>
    <pivotField showAll="0"/>
    <pivotField dataField="1" showAll="0"/>
    <pivotField dataField="1" showAll="0"/>
  </pivotFields>
  <rowFields count="1">
    <field x="4"/>
  </rowFields>
  <rowItems count="7">
    <i>
      <x/>
    </i>
    <i>
      <x v="1"/>
    </i>
    <i>
      <x v="2"/>
    </i>
    <i>
      <x v="3"/>
    </i>
    <i>
      <x v="4"/>
    </i>
    <i>
      <x v="5"/>
    </i>
    <i t="grand">
      <x/>
    </i>
  </rowItems>
  <colFields count="1">
    <field x="-2"/>
  </colFields>
  <colItems count="3">
    <i>
      <x/>
    </i>
    <i i="1">
      <x v="1"/>
    </i>
    <i i="2">
      <x v="2"/>
    </i>
  </colItems>
  <pageFields count="1">
    <pageField fld="0" hier="-1"/>
  </pageFields>
  <dataFields count="3">
    <dataField name="Sum of Cx pipiens" fld="10" baseField="0" baseItem="0"/>
    <dataField name="Sum of Cx tarsalis" fld="9" baseField="0" baseItem="0"/>
    <dataField name="Sum of Total CX"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65F9255-15F1-4874-9538-C911C7EF5686}" name="PivotTable1" cacheId="401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D12" firstHeaderRow="1" firstDataRow="2" firstDataCol="1" rowPageCount="1" colPageCount="1"/>
  <pivotFields count="18">
    <pivotField showAll="0" defaultSubtotal="0"/>
    <pivotField showAll="0" defaultSubtotal="0"/>
    <pivotField showAll="0" defaultSubtotal="0"/>
    <pivotField axis="axisPage" showAll="0">
      <items count="2">
        <item x="0"/>
        <item t="default"/>
      </items>
    </pivotField>
    <pivotField showAll="0"/>
    <pivotField showAll="0" defaultSubtotal="0"/>
    <pivotField showAll="0" defaultSubtotal="0"/>
    <pivotField showAll="0" defaultSubtotal="0"/>
    <pivotField axis="axisRow" showAll="0">
      <items count="7">
        <item x="0"/>
        <item x="1"/>
        <item x="2"/>
        <item x="3"/>
        <item x="5"/>
        <item x="4"/>
        <item t="default"/>
      </items>
    </pivotField>
    <pivotField showAll="0" defaultSubtotal="0"/>
    <pivotField showAll="0" defaultSubtotal="0"/>
    <pivotField axis="axisCol" showAll="0" defaultSubtotal="0">
      <items count="2">
        <item x="0"/>
        <item x="1"/>
      </items>
    </pivotField>
    <pivotField showAll="0" defaultSubtotal="0"/>
    <pivotField showAll="0" defaultSubtotal="0"/>
    <pivotField showAll="0" defaultSubtotal="0"/>
    <pivotField dataField="1" showAll="0" defaultSubtotal="0"/>
    <pivotField showAll="0" defaultSubtotal="0"/>
    <pivotField showAll="0" defaultSubtotal="0"/>
  </pivotFields>
  <rowFields count="1">
    <field x="8"/>
  </rowFields>
  <rowItems count="7">
    <i>
      <x/>
    </i>
    <i>
      <x v="1"/>
    </i>
    <i>
      <x v="2"/>
    </i>
    <i>
      <x v="3"/>
    </i>
    <i>
      <x v="4"/>
    </i>
    <i>
      <x v="5"/>
    </i>
    <i t="grand">
      <x/>
    </i>
  </rowItems>
  <colFields count="1">
    <field x="11"/>
  </colFields>
  <colItems count="3">
    <i>
      <x/>
    </i>
    <i>
      <x v="1"/>
    </i>
    <i t="grand">
      <x/>
    </i>
  </colItems>
  <pageFields count="1">
    <pageField fld="3" hier="-1"/>
  </pageFields>
  <dataFields count="1">
    <dataField name="Sum of Total" fld="15"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6ADE236-DD57-4933-9C49-3E682F9D70BE}" name="PivotTable4" cacheId="401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4:D12" firstHeaderRow="1" firstDataRow="2" firstDataCol="1" rowPageCount="1" colPageCount="1"/>
  <pivotFields count="18">
    <pivotField showAll="0"/>
    <pivotField dataField="1" showAll="0"/>
    <pivotField showAll="0"/>
    <pivotField axis="axisPage" showAll="0">
      <items count="2">
        <item x="0"/>
        <item t="default"/>
      </items>
    </pivotField>
    <pivotField numFmtId="164" showAll="0"/>
    <pivotField showAll="0"/>
    <pivotField showAll="0"/>
    <pivotField showAll="0"/>
    <pivotField axis="axisRow" showAll="0">
      <items count="7">
        <item x="1"/>
        <item x="2"/>
        <item x="3"/>
        <item x="5"/>
        <item x="0"/>
        <item x="4"/>
        <item t="default"/>
      </items>
    </pivotField>
    <pivotField showAll="0"/>
    <pivotField showAll="0"/>
    <pivotField axis="axisCol" showAll="0">
      <items count="3">
        <item x="0"/>
        <item x="1"/>
        <item t="default"/>
      </items>
    </pivotField>
    <pivotField showAll="0"/>
    <pivotField showAll="0"/>
    <pivotField showAll="0"/>
    <pivotField showAll="0"/>
    <pivotField showAll="0"/>
    <pivotField showAll="0"/>
  </pivotFields>
  <rowFields count="1">
    <field x="8"/>
  </rowFields>
  <rowItems count="7">
    <i>
      <x/>
    </i>
    <i>
      <x v="1"/>
    </i>
    <i>
      <x v="2"/>
    </i>
    <i>
      <x v="3"/>
    </i>
    <i>
      <x v="4"/>
    </i>
    <i>
      <x v="5"/>
    </i>
    <i t="grand">
      <x/>
    </i>
  </rowItems>
  <colFields count="1">
    <field x="11"/>
  </colFields>
  <colItems count="3">
    <i>
      <x/>
    </i>
    <i>
      <x v="1"/>
    </i>
    <i t="grand">
      <x/>
    </i>
  </colItems>
  <pageFields count="1">
    <pageField fld="3" hier="-1"/>
  </pageFields>
  <dataFields count="1">
    <dataField name="Count of CSU Pool Number     (CMC enters)"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54785FB-A49B-4500-95A6-2B06FBB265AA}" name="PivotTable1" cacheId="4018" applyNumberFormats="0" applyBorderFormats="0" applyFontFormats="0" applyPatternFormats="0" applyAlignmentFormats="0" applyWidthHeightFormats="1" dataCaption="Values" updatedVersion="6" minRefreshableVersion="3" useAutoFormatting="1" itemPrintTitles="1" createdVersion="4" indent="0" outline="1" outlineData="1" multipleFieldFilters="0">
  <location ref="A5:D13" firstHeaderRow="1" firstDataRow="2" firstDataCol="1" rowPageCount="1" colPageCount="1"/>
  <pivotFields count="18">
    <pivotField showAll="0"/>
    <pivotField showAll="0" defaultSubtotal="0"/>
    <pivotField showAll="0" defaultSubtotal="0"/>
    <pivotField showAll="0"/>
    <pivotField axis="axisPage" numFmtId="164" showAll="0">
      <items count="5">
        <item x="0"/>
        <item x="1"/>
        <item x="2"/>
        <item x="3"/>
        <item t="default"/>
      </items>
    </pivotField>
    <pivotField showAll="0"/>
    <pivotField showAll="0"/>
    <pivotField showAll="0" defaultSubtotal="0"/>
    <pivotField axis="axisRow" showAll="0">
      <items count="7">
        <item x="0"/>
        <item x="1"/>
        <item x="2"/>
        <item x="3"/>
        <item x="5"/>
        <item x="4"/>
        <item t="default"/>
      </items>
    </pivotField>
    <pivotField showAll="0" defaultSubtotal="0"/>
    <pivotField showAll="0"/>
    <pivotField axis="axisCol" showAll="0" defaultSubtotal="0">
      <items count="2">
        <item x="0"/>
        <item x="1"/>
      </items>
    </pivotField>
    <pivotField showAll="0"/>
    <pivotField showAll="0" defaultSubtotal="0"/>
    <pivotField showAll="0" defaultSubtotal="0"/>
    <pivotField showAll="0"/>
    <pivotField dataField="1" showAll="0" defaultSubtotal="0"/>
    <pivotField showAll="0" defaultSubtotal="0"/>
  </pivotFields>
  <rowFields count="1">
    <field x="8"/>
  </rowFields>
  <rowItems count="7">
    <i>
      <x/>
    </i>
    <i>
      <x v="1"/>
    </i>
    <i>
      <x v="2"/>
    </i>
    <i>
      <x v="3"/>
    </i>
    <i>
      <x v="4"/>
    </i>
    <i>
      <x v="5"/>
    </i>
    <i t="grand">
      <x/>
    </i>
  </rowItems>
  <colFields count="1">
    <field x="11"/>
  </colFields>
  <colItems count="3">
    <i>
      <x/>
    </i>
    <i>
      <x v="1"/>
    </i>
    <i t="grand">
      <x/>
    </i>
  </colItems>
  <pageFields count="1">
    <pageField fld="4" hier="-1"/>
  </pageFields>
  <dataFields count="1">
    <dataField name="Sum of Test code (CSU enters)" fld="1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A11"/>
  <sheetViews>
    <sheetView workbookViewId="0">
      <selection activeCell="C15" sqref="C15"/>
    </sheetView>
  </sheetViews>
  <sheetFormatPr defaultColWidth="8.85546875" defaultRowHeight="15"/>
  <sheetData>
    <row r="1" spans="1:1">
      <c r="A1" t="s">
        <v>0</v>
      </c>
    </row>
    <row r="2" spans="1:1">
      <c r="A2" t="s">
        <v>1</v>
      </c>
    </row>
    <row r="3" spans="1:1">
      <c r="A3" t="s">
        <v>2</v>
      </c>
    </row>
    <row r="5" spans="1:1">
      <c r="A5" t="s">
        <v>3</v>
      </c>
    </row>
    <row r="6" spans="1:1">
      <c r="A6" t="s">
        <v>4</v>
      </c>
    </row>
    <row r="7" spans="1:1">
      <c r="A7" t="s">
        <v>5</v>
      </c>
    </row>
    <row r="8" spans="1:1">
      <c r="A8" t="s">
        <v>6</v>
      </c>
    </row>
    <row r="9" spans="1:1">
      <c r="A9" t="s">
        <v>7</v>
      </c>
    </row>
    <row r="10" spans="1:1">
      <c r="A10" t="s">
        <v>8</v>
      </c>
    </row>
    <row r="11" spans="1:1">
      <c r="A1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U245"/>
  <sheetViews>
    <sheetView topLeftCell="H55" zoomScaleNormal="100" workbookViewId="0">
      <selection activeCell="W10" sqref="W10"/>
    </sheetView>
  </sheetViews>
  <sheetFormatPr defaultColWidth="8.85546875" defaultRowHeight="11.25"/>
  <cols>
    <col min="1" max="1" width="11.28515625" style="63" customWidth="1"/>
    <col min="2" max="2" width="14.42578125" style="35" customWidth="1"/>
    <col min="3" max="3" width="9.42578125" style="35" bestFit="1" customWidth="1"/>
    <col min="4" max="4" width="6.42578125" style="57" bestFit="1" customWidth="1"/>
    <col min="5" max="5" width="13" style="55" customWidth="1"/>
    <col min="6" max="6" width="6.42578125" style="35" bestFit="1" customWidth="1"/>
    <col min="7" max="7" width="10.85546875" style="35" customWidth="1"/>
    <col min="8" max="8" width="12.85546875" style="35" customWidth="1"/>
    <col min="9" max="9" width="7.140625" style="35" customWidth="1"/>
    <col min="10" max="10" width="10.85546875" style="35" customWidth="1"/>
    <col min="11" max="11" width="8.42578125" style="35" customWidth="1"/>
    <col min="12" max="12" width="11.28515625" style="35" customWidth="1"/>
    <col min="13" max="13" width="5.42578125" style="35" customWidth="1"/>
    <col min="14" max="14" width="6.7109375" style="60" customWidth="1"/>
    <col min="15" max="15" width="7.42578125" style="60" customWidth="1"/>
    <col min="16" max="16" width="7.140625" style="60" customWidth="1"/>
    <col min="17" max="17" width="11.140625" style="35" customWidth="1"/>
    <col min="18" max="18" width="10.7109375" style="35" customWidth="1"/>
    <col min="19" max="19" width="13.7109375" style="35" customWidth="1"/>
    <col min="20" max="244" width="9.140625" style="35"/>
    <col min="245" max="245" width="4.42578125" style="35" bestFit="1" customWidth="1"/>
    <col min="246" max="246" width="11.42578125" style="35" bestFit="1" customWidth="1"/>
    <col min="247" max="247" width="9.42578125" style="35" bestFit="1" customWidth="1"/>
    <col min="248" max="248" width="6.42578125" style="35" bestFit="1" customWidth="1"/>
    <col min="249" max="249" width="7.7109375" style="35" bestFit="1" customWidth="1"/>
    <col min="250" max="251" width="6.42578125" style="35" bestFit="1" customWidth="1"/>
    <col min="252" max="252" width="10" style="35" bestFit="1" customWidth="1"/>
    <col min="253" max="253" width="7.140625" style="35" customWidth="1"/>
    <col min="254" max="254" width="6.7109375" style="35" bestFit="1" customWidth="1"/>
    <col min="255" max="255" width="5.42578125" style="35" bestFit="1" customWidth="1"/>
    <col min="256" max="256" width="6.28515625" style="35" bestFit="1" customWidth="1"/>
    <col min="257" max="257" width="5.42578125" style="35" customWidth="1"/>
    <col min="258" max="258" width="6.7109375" style="35" customWidth="1"/>
    <col min="259" max="259" width="7.42578125" style="35" customWidth="1"/>
    <col min="260" max="260" width="7.140625" style="35" customWidth="1"/>
    <col min="261" max="261" width="9.28515625" style="35" customWidth="1"/>
    <col min="262" max="262" width="10.7109375" style="35" customWidth="1"/>
    <col min="263" max="263" width="9.140625" style="35" customWidth="1"/>
    <col min="264" max="500" width="9.140625" style="35"/>
    <col min="501" max="501" width="4.42578125" style="35" bestFit="1" customWidth="1"/>
    <col min="502" max="502" width="11.42578125" style="35" bestFit="1" customWidth="1"/>
    <col min="503" max="503" width="9.42578125" style="35" bestFit="1" customWidth="1"/>
    <col min="504" max="504" width="6.42578125" style="35" bestFit="1" customWidth="1"/>
    <col min="505" max="505" width="7.7109375" style="35" bestFit="1" customWidth="1"/>
    <col min="506" max="507" width="6.42578125" style="35" bestFit="1" customWidth="1"/>
    <col min="508" max="508" width="10" style="35" bestFit="1" customWidth="1"/>
    <col min="509" max="509" width="7.140625" style="35" customWidth="1"/>
    <col min="510" max="510" width="6.7109375" style="35" bestFit="1" customWidth="1"/>
    <col min="511" max="511" width="5.42578125" style="35" bestFit="1" customWidth="1"/>
    <col min="512" max="512" width="6.28515625" style="35" bestFit="1" customWidth="1"/>
    <col min="513" max="513" width="5.42578125" style="35" customWidth="1"/>
    <col min="514" max="514" width="6.7109375" style="35" customWidth="1"/>
    <col min="515" max="515" width="7.42578125" style="35" customWidth="1"/>
    <col min="516" max="516" width="7.140625" style="35" customWidth="1"/>
    <col min="517" max="517" width="9.28515625" style="35" customWidth="1"/>
    <col min="518" max="518" width="10.7109375" style="35" customWidth="1"/>
    <col min="519" max="519" width="9.140625" style="35" customWidth="1"/>
    <col min="520" max="756" width="9.140625" style="35"/>
    <col min="757" max="757" width="4.42578125" style="35" bestFit="1" customWidth="1"/>
    <col min="758" max="758" width="11.42578125" style="35" bestFit="1" customWidth="1"/>
    <col min="759" max="759" width="9.42578125" style="35" bestFit="1" customWidth="1"/>
    <col min="760" max="760" width="6.42578125" style="35" bestFit="1" customWidth="1"/>
    <col min="761" max="761" width="7.7109375" style="35" bestFit="1" customWidth="1"/>
    <col min="762" max="763" width="6.42578125" style="35" bestFit="1" customWidth="1"/>
    <col min="764" max="764" width="10" style="35" bestFit="1" customWidth="1"/>
    <col min="765" max="765" width="7.140625" style="35" customWidth="1"/>
    <col min="766" max="766" width="6.7109375" style="35" bestFit="1" customWidth="1"/>
    <col min="767" max="767" width="5.42578125" style="35" bestFit="1" customWidth="1"/>
    <col min="768" max="768" width="6.28515625" style="35" bestFit="1" customWidth="1"/>
    <col min="769" max="769" width="5.42578125" style="35" customWidth="1"/>
    <col min="770" max="770" width="6.7109375" style="35" customWidth="1"/>
    <col min="771" max="771" width="7.42578125" style="35" customWidth="1"/>
    <col min="772" max="772" width="7.140625" style="35" customWidth="1"/>
    <col min="773" max="773" width="9.28515625" style="35" customWidth="1"/>
    <col min="774" max="774" width="10.7109375" style="35" customWidth="1"/>
    <col min="775" max="775" width="9.140625" style="35" customWidth="1"/>
    <col min="776" max="1012" width="9.140625" style="35"/>
    <col min="1013" max="1013" width="4.42578125" style="35" bestFit="1" customWidth="1"/>
    <col min="1014" max="1014" width="11.42578125" style="35" bestFit="1" customWidth="1"/>
    <col min="1015" max="1015" width="9.42578125" style="35" bestFit="1" customWidth="1"/>
    <col min="1016" max="1016" width="6.42578125" style="35" bestFit="1" customWidth="1"/>
    <col min="1017" max="1017" width="7.7109375" style="35" bestFit="1" customWidth="1"/>
    <col min="1018" max="1019" width="6.42578125" style="35" bestFit="1" customWidth="1"/>
    <col min="1020" max="1020" width="10" style="35" bestFit="1" customWidth="1"/>
    <col min="1021" max="1021" width="7.140625" style="35" customWidth="1"/>
    <col min="1022" max="1022" width="6.7109375" style="35" bestFit="1" customWidth="1"/>
    <col min="1023" max="1023" width="5.42578125" style="35" bestFit="1" customWidth="1"/>
    <col min="1024" max="1024" width="6.28515625" style="35" bestFit="1" customWidth="1"/>
    <col min="1025" max="1025" width="5.42578125" style="35" customWidth="1"/>
    <col min="1026" max="1026" width="6.7109375" style="35" customWidth="1"/>
    <col min="1027" max="1027" width="7.42578125" style="35" customWidth="1"/>
    <col min="1028" max="1028" width="7.140625" style="35" customWidth="1"/>
    <col min="1029" max="1029" width="9.28515625" style="35" customWidth="1"/>
    <col min="1030" max="1030" width="10.7109375" style="35" customWidth="1"/>
    <col min="1031" max="1031" width="9.140625" style="35" customWidth="1"/>
    <col min="1032" max="1268" width="9.140625" style="35"/>
    <col min="1269" max="1269" width="4.42578125" style="35" bestFit="1" customWidth="1"/>
    <col min="1270" max="1270" width="11.42578125" style="35" bestFit="1" customWidth="1"/>
    <col min="1271" max="1271" width="9.42578125" style="35" bestFit="1" customWidth="1"/>
    <col min="1272" max="1272" width="6.42578125" style="35" bestFit="1" customWidth="1"/>
    <col min="1273" max="1273" width="7.7109375" style="35" bestFit="1" customWidth="1"/>
    <col min="1274" max="1275" width="6.42578125" style="35" bestFit="1" customWidth="1"/>
    <col min="1276" max="1276" width="10" style="35" bestFit="1" customWidth="1"/>
    <col min="1277" max="1277" width="7.140625" style="35" customWidth="1"/>
    <col min="1278" max="1278" width="6.7109375" style="35" bestFit="1" customWidth="1"/>
    <col min="1279" max="1279" width="5.42578125" style="35" bestFit="1" customWidth="1"/>
    <col min="1280" max="1280" width="6.28515625" style="35" bestFit="1" customWidth="1"/>
    <col min="1281" max="1281" width="5.42578125" style="35" customWidth="1"/>
    <col min="1282" max="1282" width="6.7109375" style="35" customWidth="1"/>
    <col min="1283" max="1283" width="7.42578125" style="35" customWidth="1"/>
    <col min="1284" max="1284" width="7.140625" style="35" customWidth="1"/>
    <col min="1285" max="1285" width="9.28515625" style="35" customWidth="1"/>
    <col min="1286" max="1286" width="10.7109375" style="35" customWidth="1"/>
    <col min="1287" max="1287" width="9.140625" style="35" customWidth="1"/>
    <col min="1288" max="1524" width="9.140625" style="35"/>
    <col min="1525" max="1525" width="4.42578125" style="35" bestFit="1" customWidth="1"/>
    <col min="1526" max="1526" width="11.42578125" style="35" bestFit="1" customWidth="1"/>
    <col min="1527" max="1527" width="9.42578125" style="35" bestFit="1" customWidth="1"/>
    <col min="1528" max="1528" width="6.42578125" style="35" bestFit="1" customWidth="1"/>
    <col min="1529" max="1529" width="7.7109375" style="35" bestFit="1" customWidth="1"/>
    <col min="1530" max="1531" width="6.42578125" style="35" bestFit="1" customWidth="1"/>
    <col min="1532" max="1532" width="10" style="35" bestFit="1" customWidth="1"/>
    <col min="1533" max="1533" width="7.140625" style="35" customWidth="1"/>
    <col min="1534" max="1534" width="6.7109375" style="35" bestFit="1" customWidth="1"/>
    <col min="1535" max="1535" width="5.42578125" style="35" bestFit="1" customWidth="1"/>
    <col min="1536" max="1536" width="6.28515625" style="35" bestFit="1" customWidth="1"/>
    <col min="1537" max="1537" width="5.42578125" style="35" customWidth="1"/>
    <col min="1538" max="1538" width="6.7109375" style="35" customWidth="1"/>
    <col min="1539" max="1539" width="7.42578125" style="35" customWidth="1"/>
    <col min="1540" max="1540" width="7.140625" style="35" customWidth="1"/>
    <col min="1541" max="1541" width="9.28515625" style="35" customWidth="1"/>
    <col min="1542" max="1542" width="10.7109375" style="35" customWidth="1"/>
    <col min="1543" max="1543" width="9.140625" style="35" customWidth="1"/>
    <col min="1544" max="1780" width="9.140625" style="35"/>
    <col min="1781" max="1781" width="4.42578125" style="35" bestFit="1" customWidth="1"/>
    <col min="1782" max="1782" width="11.42578125" style="35" bestFit="1" customWidth="1"/>
    <col min="1783" max="1783" width="9.42578125" style="35" bestFit="1" customWidth="1"/>
    <col min="1784" max="1784" width="6.42578125" style="35" bestFit="1" customWidth="1"/>
    <col min="1785" max="1785" width="7.7109375" style="35" bestFit="1" customWidth="1"/>
    <col min="1786" max="1787" width="6.42578125" style="35" bestFit="1" customWidth="1"/>
    <col min="1788" max="1788" width="10" style="35" bestFit="1" customWidth="1"/>
    <col min="1789" max="1789" width="7.140625" style="35" customWidth="1"/>
    <col min="1790" max="1790" width="6.7109375" style="35" bestFit="1" customWidth="1"/>
    <col min="1791" max="1791" width="5.42578125" style="35" bestFit="1" customWidth="1"/>
    <col min="1792" max="1792" width="6.28515625" style="35" bestFit="1" customWidth="1"/>
    <col min="1793" max="1793" width="5.42578125" style="35" customWidth="1"/>
    <col min="1794" max="1794" width="6.7109375" style="35" customWidth="1"/>
    <col min="1795" max="1795" width="7.42578125" style="35" customWidth="1"/>
    <col min="1796" max="1796" width="7.140625" style="35" customWidth="1"/>
    <col min="1797" max="1797" width="9.28515625" style="35" customWidth="1"/>
    <col min="1798" max="1798" width="10.7109375" style="35" customWidth="1"/>
    <col min="1799" max="1799" width="9.140625" style="35" customWidth="1"/>
    <col min="1800" max="2036" width="9.140625" style="35"/>
    <col min="2037" max="2037" width="4.42578125" style="35" bestFit="1" customWidth="1"/>
    <col min="2038" max="2038" width="11.42578125" style="35" bestFit="1" customWidth="1"/>
    <col min="2039" max="2039" width="9.42578125" style="35" bestFit="1" customWidth="1"/>
    <col min="2040" max="2040" width="6.42578125" style="35" bestFit="1" customWidth="1"/>
    <col min="2041" max="2041" width="7.7109375" style="35" bestFit="1" customWidth="1"/>
    <col min="2042" max="2043" width="6.42578125" style="35" bestFit="1" customWidth="1"/>
    <col min="2044" max="2044" width="10" style="35" bestFit="1" customWidth="1"/>
    <col min="2045" max="2045" width="7.140625" style="35" customWidth="1"/>
    <col min="2046" max="2046" width="6.7109375" style="35" bestFit="1" customWidth="1"/>
    <col min="2047" max="2047" width="5.42578125" style="35" bestFit="1" customWidth="1"/>
    <col min="2048" max="2048" width="6.28515625" style="35" bestFit="1" customWidth="1"/>
    <col min="2049" max="2049" width="5.42578125" style="35" customWidth="1"/>
    <col min="2050" max="2050" width="6.7109375" style="35" customWidth="1"/>
    <col min="2051" max="2051" width="7.42578125" style="35" customWidth="1"/>
    <col min="2052" max="2052" width="7.140625" style="35" customWidth="1"/>
    <col min="2053" max="2053" width="9.28515625" style="35" customWidth="1"/>
    <col min="2054" max="2054" width="10.7109375" style="35" customWidth="1"/>
    <col min="2055" max="2055" width="9.140625" style="35" customWidth="1"/>
    <col min="2056" max="2292" width="9.140625" style="35"/>
    <col min="2293" max="2293" width="4.42578125" style="35" bestFit="1" customWidth="1"/>
    <col min="2294" max="2294" width="11.42578125" style="35" bestFit="1" customWidth="1"/>
    <col min="2295" max="2295" width="9.42578125" style="35" bestFit="1" customWidth="1"/>
    <col min="2296" max="2296" width="6.42578125" style="35" bestFit="1" customWidth="1"/>
    <col min="2297" max="2297" width="7.7109375" style="35" bestFit="1" customWidth="1"/>
    <col min="2298" max="2299" width="6.42578125" style="35" bestFit="1" customWidth="1"/>
    <col min="2300" max="2300" width="10" style="35" bestFit="1" customWidth="1"/>
    <col min="2301" max="2301" width="7.140625" style="35" customWidth="1"/>
    <col min="2302" max="2302" width="6.7109375" style="35" bestFit="1" customWidth="1"/>
    <col min="2303" max="2303" width="5.42578125" style="35" bestFit="1" customWidth="1"/>
    <col min="2304" max="2304" width="6.28515625" style="35" bestFit="1" customWidth="1"/>
    <col min="2305" max="2305" width="5.42578125" style="35" customWidth="1"/>
    <col min="2306" max="2306" width="6.7109375" style="35" customWidth="1"/>
    <col min="2307" max="2307" width="7.42578125" style="35" customWidth="1"/>
    <col min="2308" max="2308" width="7.140625" style="35" customWidth="1"/>
    <col min="2309" max="2309" width="9.28515625" style="35" customWidth="1"/>
    <col min="2310" max="2310" width="10.7109375" style="35" customWidth="1"/>
    <col min="2311" max="2311" width="9.140625" style="35" customWidth="1"/>
    <col min="2312" max="2548" width="9.140625" style="35"/>
    <col min="2549" max="2549" width="4.42578125" style="35" bestFit="1" customWidth="1"/>
    <col min="2550" max="2550" width="11.42578125" style="35" bestFit="1" customWidth="1"/>
    <col min="2551" max="2551" width="9.42578125" style="35" bestFit="1" customWidth="1"/>
    <col min="2552" max="2552" width="6.42578125" style="35" bestFit="1" customWidth="1"/>
    <col min="2553" max="2553" width="7.7109375" style="35" bestFit="1" customWidth="1"/>
    <col min="2554" max="2555" width="6.42578125" style="35" bestFit="1" customWidth="1"/>
    <col min="2556" max="2556" width="10" style="35" bestFit="1" customWidth="1"/>
    <col min="2557" max="2557" width="7.140625" style="35" customWidth="1"/>
    <col min="2558" max="2558" width="6.7109375" style="35" bestFit="1" customWidth="1"/>
    <col min="2559" max="2559" width="5.42578125" style="35" bestFit="1" customWidth="1"/>
    <col min="2560" max="2560" width="6.28515625" style="35" bestFit="1" customWidth="1"/>
    <col min="2561" max="2561" width="5.42578125" style="35" customWidth="1"/>
    <col min="2562" max="2562" width="6.7109375" style="35" customWidth="1"/>
    <col min="2563" max="2563" width="7.42578125" style="35" customWidth="1"/>
    <col min="2564" max="2564" width="7.140625" style="35" customWidth="1"/>
    <col min="2565" max="2565" width="9.28515625" style="35" customWidth="1"/>
    <col min="2566" max="2566" width="10.7109375" style="35" customWidth="1"/>
    <col min="2567" max="2567" width="9.140625" style="35" customWidth="1"/>
    <col min="2568" max="2804" width="9.140625" style="35"/>
    <col min="2805" max="2805" width="4.42578125" style="35" bestFit="1" customWidth="1"/>
    <col min="2806" max="2806" width="11.42578125" style="35" bestFit="1" customWidth="1"/>
    <col min="2807" max="2807" width="9.42578125" style="35" bestFit="1" customWidth="1"/>
    <col min="2808" max="2808" width="6.42578125" style="35" bestFit="1" customWidth="1"/>
    <col min="2809" max="2809" width="7.7109375" style="35" bestFit="1" customWidth="1"/>
    <col min="2810" max="2811" width="6.42578125" style="35" bestFit="1" customWidth="1"/>
    <col min="2812" max="2812" width="10" style="35" bestFit="1" customWidth="1"/>
    <col min="2813" max="2813" width="7.140625" style="35" customWidth="1"/>
    <col min="2814" max="2814" width="6.7109375" style="35" bestFit="1" customWidth="1"/>
    <col min="2815" max="2815" width="5.42578125" style="35" bestFit="1" customWidth="1"/>
    <col min="2816" max="2816" width="6.28515625" style="35" bestFit="1" customWidth="1"/>
    <col min="2817" max="2817" width="5.42578125" style="35" customWidth="1"/>
    <col min="2818" max="2818" width="6.7109375" style="35" customWidth="1"/>
    <col min="2819" max="2819" width="7.42578125" style="35" customWidth="1"/>
    <col min="2820" max="2820" width="7.140625" style="35" customWidth="1"/>
    <col min="2821" max="2821" width="9.28515625" style="35" customWidth="1"/>
    <col min="2822" max="2822" width="10.7109375" style="35" customWidth="1"/>
    <col min="2823" max="2823" width="9.140625" style="35" customWidth="1"/>
    <col min="2824" max="3060" width="9.140625" style="35"/>
    <col min="3061" max="3061" width="4.42578125" style="35" bestFit="1" customWidth="1"/>
    <col min="3062" max="3062" width="11.42578125" style="35" bestFit="1" customWidth="1"/>
    <col min="3063" max="3063" width="9.42578125" style="35" bestFit="1" customWidth="1"/>
    <col min="3064" max="3064" width="6.42578125" style="35" bestFit="1" customWidth="1"/>
    <col min="3065" max="3065" width="7.7109375" style="35" bestFit="1" customWidth="1"/>
    <col min="3066" max="3067" width="6.42578125" style="35" bestFit="1" customWidth="1"/>
    <col min="3068" max="3068" width="10" style="35" bestFit="1" customWidth="1"/>
    <col min="3069" max="3069" width="7.140625" style="35" customWidth="1"/>
    <col min="3070" max="3070" width="6.7109375" style="35" bestFit="1" customWidth="1"/>
    <col min="3071" max="3071" width="5.42578125" style="35" bestFit="1" customWidth="1"/>
    <col min="3072" max="3072" width="6.28515625" style="35" bestFit="1" customWidth="1"/>
    <col min="3073" max="3073" width="5.42578125" style="35" customWidth="1"/>
    <col min="3074" max="3074" width="6.7109375" style="35" customWidth="1"/>
    <col min="3075" max="3075" width="7.42578125" style="35" customWidth="1"/>
    <col min="3076" max="3076" width="7.140625" style="35" customWidth="1"/>
    <col min="3077" max="3077" width="9.28515625" style="35" customWidth="1"/>
    <col min="3078" max="3078" width="10.7109375" style="35" customWidth="1"/>
    <col min="3079" max="3079" width="9.140625" style="35" customWidth="1"/>
    <col min="3080" max="3316" width="9.140625" style="35"/>
    <col min="3317" max="3317" width="4.42578125" style="35" bestFit="1" customWidth="1"/>
    <col min="3318" max="3318" width="11.42578125" style="35" bestFit="1" customWidth="1"/>
    <col min="3319" max="3319" width="9.42578125" style="35" bestFit="1" customWidth="1"/>
    <col min="3320" max="3320" width="6.42578125" style="35" bestFit="1" customWidth="1"/>
    <col min="3321" max="3321" width="7.7109375" style="35" bestFit="1" customWidth="1"/>
    <col min="3322" max="3323" width="6.42578125" style="35" bestFit="1" customWidth="1"/>
    <col min="3324" max="3324" width="10" style="35" bestFit="1" customWidth="1"/>
    <col min="3325" max="3325" width="7.140625" style="35" customWidth="1"/>
    <col min="3326" max="3326" width="6.7109375" style="35" bestFit="1" customWidth="1"/>
    <col min="3327" max="3327" width="5.42578125" style="35" bestFit="1" customWidth="1"/>
    <col min="3328" max="3328" width="6.28515625" style="35" bestFit="1" customWidth="1"/>
    <col min="3329" max="3329" width="5.42578125" style="35" customWidth="1"/>
    <col min="3330" max="3330" width="6.7109375" style="35" customWidth="1"/>
    <col min="3331" max="3331" width="7.42578125" style="35" customWidth="1"/>
    <col min="3332" max="3332" width="7.140625" style="35" customWidth="1"/>
    <col min="3333" max="3333" width="9.28515625" style="35" customWidth="1"/>
    <col min="3334" max="3334" width="10.7109375" style="35" customWidth="1"/>
    <col min="3335" max="3335" width="9.140625" style="35" customWidth="1"/>
    <col min="3336" max="3572" width="9.140625" style="35"/>
    <col min="3573" max="3573" width="4.42578125" style="35" bestFit="1" customWidth="1"/>
    <col min="3574" max="3574" width="11.42578125" style="35" bestFit="1" customWidth="1"/>
    <col min="3575" max="3575" width="9.42578125" style="35" bestFit="1" customWidth="1"/>
    <col min="3576" max="3576" width="6.42578125" style="35" bestFit="1" customWidth="1"/>
    <col min="3577" max="3577" width="7.7109375" style="35" bestFit="1" customWidth="1"/>
    <col min="3578" max="3579" width="6.42578125" style="35" bestFit="1" customWidth="1"/>
    <col min="3580" max="3580" width="10" style="35" bestFit="1" customWidth="1"/>
    <col min="3581" max="3581" width="7.140625" style="35" customWidth="1"/>
    <col min="3582" max="3582" width="6.7109375" style="35" bestFit="1" customWidth="1"/>
    <col min="3583" max="3583" width="5.42578125" style="35" bestFit="1" customWidth="1"/>
    <col min="3584" max="3584" width="6.28515625" style="35" bestFit="1" customWidth="1"/>
    <col min="3585" max="3585" width="5.42578125" style="35" customWidth="1"/>
    <col min="3586" max="3586" width="6.7109375" style="35" customWidth="1"/>
    <col min="3587" max="3587" width="7.42578125" style="35" customWidth="1"/>
    <col min="3588" max="3588" width="7.140625" style="35" customWidth="1"/>
    <col min="3589" max="3589" width="9.28515625" style="35" customWidth="1"/>
    <col min="3590" max="3590" width="10.7109375" style="35" customWidth="1"/>
    <col min="3591" max="3591" width="9.140625" style="35" customWidth="1"/>
    <col min="3592" max="3828" width="9.140625" style="35"/>
    <col min="3829" max="3829" width="4.42578125" style="35" bestFit="1" customWidth="1"/>
    <col min="3830" max="3830" width="11.42578125" style="35" bestFit="1" customWidth="1"/>
    <col min="3831" max="3831" width="9.42578125" style="35" bestFit="1" customWidth="1"/>
    <col min="3832" max="3832" width="6.42578125" style="35" bestFit="1" customWidth="1"/>
    <col min="3833" max="3833" width="7.7109375" style="35" bestFit="1" customWidth="1"/>
    <col min="3834" max="3835" width="6.42578125" style="35" bestFit="1" customWidth="1"/>
    <col min="3836" max="3836" width="10" style="35" bestFit="1" customWidth="1"/>
    <col min="3837" max="3837" width="7.140625" style="35" customWidth="1"/>
    <col min="3838" max="3838" width="6.7109375" style="35" bestFit="1" customWidth="1"/>
    <col min="3839" max="3839" width="5.42578125" style="35" bestFit="1" customWidth="1"/>
    <col min="3840" max="3840" width="6.28515625" style="35" bestFit="1" customWidth="1"/>
    <col min="3841" max="3841" width="5.42578125" style="35" customWidth="1"/>
    <col min="3842" max="3842" width="6.7109375" style="35" customWidth="1"/>
    <col min="3843" max="3843" width="7.42578125" style="35" customWidth="1"/>
    <col min="3844" max="3844" width="7.140625" style="35" customWidth="1"/>
    <col min="3845" max="3845" width="9.28515625" style="35" customWidth="1"/>
    <col min="3846" max="3846" width="10.7109375" style="35" customWidth="1"/>
    <col min="3847" max="3847" width="9.140625" style="35" customWidth="1"/>
    <col min="3848" max="4084" width="9.140625" style="35"/>
    <col min="4085" max="4085" width="4.42578125" style="35" bestFit="1" customWidth="1"/>
    <col min="4086" max="4086" width="11.42578125" style="35" bestFit="1" customWidth="1"/>
    <col min="4087" max="4087" width="9.42578125" style="35" bestFit="1" customWidth="1"/>
    <col min="4088" max="4088" width="6.42578125" style="35" bestFit="1" customWidth="1"/>
    <col min="4089" max="4089" width="7.7109375" style="35" bestFit="1" customWidth="1"/>
    <col min="4090" max="4091" width="6.42578125" style="35" bestFit="1" customWidth="1"/>
    <col min="4092" max="4092" width="10" style="35" bestFit="1" customWidth="1"/>
    <col min="4093" max="4093" width="7.140625" style="35" customWidth="1"/>
    <col min="4094" max="4094" width="6.7109375" style="35" bestFit="1" customWidth="1"/>
    <col min="4095" max="4095" width="5.42578125" style="35" bestFit="1" customWidth="1"/>
    <col min="4096" max="4096" width="6.28515625" style="35" bestFit="1" customWidth="1"/>
    <col min="4097" max="4097" width="5.42578125" style="35" customWidth="1"/>
    <col min="4098" max="4098" width="6.7109375" style="35" customWidth="1"/>
    <col min="4099" max="4099" width="7.42578125" style="35" customWidth="1"/>
    <col min="4100" max="4100" width="7.140625" style="35" customWidth="1"/>
    <col min="4101" max="4101" width="9.28515625" style="35" customWidth="1"/>
    <col min="4102" max="4102" width="10.7109375" style="35" customWidth="1"/>
    <col min="4103" max="4103" width="9.140625" style="35" customWidth="1"/>
    <col min="4104" max="4340" width="9.140625" style="35"/>
    <col min="4341" max="4341" width="4.42578125" style="35" bestFit="1" customWidth="1"/>
    <col min="4342" max="4342" width="11.42578125" style="35" bestFit="1" customWidth="1"/>
    <col min="4343" max="4343" width="9.42578125" style="35" bestFit="1" customWidth="1"/>
    <col min="4344" max="4344" width="6.42578125" style="35" bestFit="1" customWidth="1"/>
    <col min="4345" max="4345" width="7.7109375" style="35" bestFit="1" customWidth="1"/>
    <col min="4346" max="4347" width="6.42578125" style="35" bestFit="1" customWidth="1"/>
    <col min="4348" max="4348" width="10" style="35" bestFit="1" customWidth="1"/>
    <col min="4349" max="4349" width="7.140625" style="35" customWidth="1"/>
    <col min="4350" max="4350" width="6.7109375" style="35" bestFit="1" customWidth="1"/>
    <col min="4351" max="4351" width="5.42578125" style="35" bestFit="1" customWidth="1"/>
    <col min="4352" max="4352" width="6.28515625" style="35" bestFit="1" customWidth="1"/>
    <col min="4353" max="4353" width="5.42578125" style="35" customWidth="1"/>
    <col min="4354" max="4354" width="6.7109375" style="35" customWidth="1"/>
    <col min="4355" max="4355" width="7.42578125" style="35" customWidth="1"/>
    <col min="4356" max="4356" width="7.140625" style="35" customWidth="1"/>
    <col min="4357" max="4357" width="9.28515625" style="35" customWidth="1"/>
    <col min="4358" max="4358" width="10.7109375" style="35" customWidth="1"/>
    <col min="4359" max="4359" width="9.140625" style="35" customWidth="1"/>
    <col min="4360" max="4596" width="9.140625" style="35"/>
    <col min="4597" max="4597" width="4.42578125" style="35" bestFit="1" customWidth="1"/>
    <col min="4598" max="4598" width="11.42578125" style="35" bestFit="1" customWidth="1"/>
    <col min="4599" max="4599" width="9.42578125" style="35" bestFit="1" customWidth="1"/>
    <col min="4600" max="4600" width="6.42578125" style="35" bestFit="1" customWidth="1"/>
    <col min="4601" max="4601" width="7.7109375" style="35" bestFit="1" customWidth="1"/>
    <col min="4602" max="4603" width="6.42578125" style="35" bestFit="1" customWidth="1"/>
    <col min="4604" max="4604" width="10" style="35" bestFit="1" customWidth="1"/>
    <col min="4605" max="4605" width="7.140625" style="35" customWidth="1"/>
    <col min="4606" max="4606" width="6.7109375" style="35" bestFit="1" customWidth="1"/>
    <col min="4607" max="4607" width="5.42578125" style="35" bestFit="1" customWidth="1"/>
    <col min="4608" max="4608" width="6.28515625" style="35" bestFit="1" customWidth="1"/>
    <col min="4609" max="4609" width="5.42578125" style="35" customWidth="1"/>
    <col min="4610" max="4610" width="6.7109375" style="35" customWidth="1"/>
    <col min="4611" max="4611" width="7.42578125" style="35" customWidth="1"/>
    <col min="4612" max="4612" width="7.140625" style="35" customWidth="1"/>
    <col min="4613" max="4613" width="9.28515625" style="35" customWidth="1"/>
    <col min="4614" max="4614" width="10.7109375" style="35" customWidth="1"/>
    <col min="4615" max="4615" width="9.140625" style="35" customWidth="1"/>
    <col min="4616" max="4852" width="9.140625" style="35"/>
    <col min="4853" max="4853" width="4.42578125" style="35" bestFit="1" customWidth="1"/>
    <col min="4854" max="4854" width="11.42578125" style="35" bestFit="1" customWidth="1"/>
    <col min="4855" max="4855" width="9.42578125" style="35" bestFit="1" customWidth="1"/>
    <col min="4856" max="4856" width="6.42578125" style="35" bestFit="1" customWidth="1"/>
    <col min="4857" max="4857" width="7.7109375" style="35" bestFit="1" customWidth="1"/>
    <col min="4858" max="4859" width="6.42578125" style="35" bestFit="1" customWidth="1"/>
    <col min="4860" max="4860" width="10" style="35" bestFit="1" customWidth="1"/>
    <col min="4861" max="4861" width="7.140625" style="35" customWidth="1"/>
    <col min="4862" max="4862" width="6.7109375" style="35" bestFit="1" customWidth="1"/>
    <col min="4863" max="4863" width="5.42578125" style="35" bestFit="1" customWidth="1"/>
    <col min="4864" max="4864" width="6.28515625" style="35" bestFit="1" customWidth="1"/>
    <col min="4865" max="4865" width="5.42578125" style="35" customWidth="1"/>
    <col min="4866" max="4866" width="6.7109375" style="35" customWidth="1"/>
    <col min="4867" max="4867" width="7.42578125" style="35" customWidth="1"/>
    <col min="4868" max="4868" width="7.140625" style="35" customWidth="1"/>
    <col min="4869" max="4869" width="9.28515625" style="35" customWidth="1"/>
    <col min="4870" max="4870" width="10.7109375" style="35" customWidth="1"/>
    <col min="4871" max="4871" width="9.140625" style="35" customWidth="1"/>
    <col min="4872" max="5108" width="9.140625" style="35"/>
    <col min="5109" max="5109" width="4.42578125" style="35" bestFit="1" customWidth="1"/>
    <col min="5110" max="5110" width="11.42578125" style="35" bestFit="1" customWidth="1"/>
    <col min="5111" max="5111" width="9.42578125" style="35" bestFit="1" customWidth="1"/>
    <col min="5112" max="5112" width="6.42578125" style="35" bestFit="1" customWidth="1"/>
    <col min="5113" max="5113" width="7.7109375" style="35" bestFit="1" customWidth="1"/>
    <col min="5114" max="5115" width="6.42578125" style="35" bestFit="1" customWidth="1"/>
    <col min="5116" max="5116" width="10" style="35" bestFit="1" customWidth="1"/>
    <col min="5117" max="5117" width="7.140625" style="35" customWidth="1"/>
    <col min="5118" max="5118" width="6.7109375" style="35" bestFit="1" customWidth="1"/>
    <col min="5119" max="5119" width="5.42578125" style="35" bestFit="1" customWidth="1"/>
    <col min="5120" max="5120" width="6.28515625" style="35" bestFit="1" customWidth="1"/>
    <col min="5121" max="5121" width="5.42578125" style="35" customWidth="1"/>
    <col min="5122" max="5122" width="6.7109375" style="35" customWidth="1"/>
    <col min="5123" max="5123" width="7.42578125" style="35" customWidth="1"/>
    <col min="5124" max="5124" width="7.140625" style="35" customWidth="1"/>
    <col min="5125" max="5125" width="9.28515625" style="35" customWidth="1"/>
    <col min="5126" max="5126" width="10.7109375" style="35" customWidth="1"/>
    <col min="5127" max="5127" width="9.140625" style="35" customWidth="1"/>
    <col min="5128" max="5364" width="9.140625" style="35"/>
    <col min="5365" max="5365" width="4.42578125" style="35" bestFit="1" customWidth="1"/>
    <col min="5366" max="5366" width="11.42578125" style="35" bestFit="1" customWidth="1"/>
    <col min="5367" max="5367" width="9.42578125" style="35" bestFit="1" customWidth="1"/>
    <col min="5368" max="5368" width="6.42578125" style="35" bestFit="1" customWidth="1"/>
    <col min="5369" max="5369" width="7.7109375" style="35" bestFit="1" customWidth="1"/>
    <col min="5370" max="5371" width="6.42578125" style="35" bestFit="1" customWidth="1"/>
    <col min="5372" max="5372" width="10" style="35" bestFit="1" customWidth="1"/>
    <col min="5373" max="5373" width="7.140625" style="35" customWidth="1"/>
    <col min="5374" max="5374" width="6.7109375" style="35" bestFit="1" customWidth="1"/>
    <col min="5375" max="5375" width="5.42578125" style="35" bestFit="1" customWidth="1"/>
    <col min="5376" max="5376" width="6.28515625" style="35" bestFit="1" customWidth="1"/>
    <col min="5377" max="5377" width="5.42578125" style="35" customWidth="1"/>
    <col min="5378" max="5378" width="6.7109375" style="35" customWidth="1"/>
    <col min="5379" max="5379" width="7.42578125" style="35" customWidth="1"/>
    <col min="5380" max="5380" width="7.140625" style="35" customWidth="1"/>
    <col min="5381" max="5381" width="9.28515625" style="35" customWidth="1"/>
    <col min="5382" max="5382" width="10.7109375" style="35" customWidth="1"/>
    <col min="5383" max="5383" width="9.140625" style="35" customWidth="1"/>
    <col min="5384" max="5620" width="9.140625" style="35"/>
    <col min="5621" max="5621" width="4.42578125" style="35" bestFit="1" customWidth="1"/>
    <col min="5622" max="5622" width="11.42578125" style="35" bestFit="1" customWidth="1"/>
    <col min="5623" max="5623" width="9.42578125" style="35" bestFit="1" customWidth="1"/>
    <col min="5624" max="5624" width="6.42578125" style="35" bestFit="1" customWidth="1"/>
    <col min="5625" max="5625" width="7.7109375" style="35" bestFit="1" customWidth="1"/>
    <col min="5626" max="5627" width="6.42578125" style="35" bestFit="1" customWidth="1"/>
    <col min="5628" max="5628" width="10" style="35" bestFit="1" customWidth="1"/>
    <col min="5629" max="5629" width="7.140625" style="35" customWidth="1"/>
    <col min="5630" max="5630" width="6.7109375" style="35" bestFit="1" customWidth="1"/>
    <col min="5631" max="5631" width="5.42578125" style="35" bestFit="1" customWidth="1"/>
    <col min="5632" max="5632" width="6.28515625" style="35" bestFit="1" customWidth="1"/>
    <col min="5633" max="5633" width="5.42578125" style="35" customWidth="1"/>
    <col min="5634" max="5634" width="6.7109375" style="35" customWidth="1"/>
    <col min="5635" max="5635" width="7.42578125" style="35" customWidth="1"/>
    <col min="5636" max="5636" width="7.140625" style="35" customWidth="1"/>
    <col min="5637" max="5637" width="9.28515625" style="35" customWidth="1"/>
    <col min="5638" max="5638" width="10.7109375" style="35" customWidth="1"/>
    <col min="5639" max="5639" width="9.140625" style="35" customWidth="1"/>
    <col min="5640" max="5876" width="9.140625" style="35"/>
    <col min="5877" max="5877" width="4.42578125" style="35" bestFit="1" customWidth="1"/>
    <col min="5878" max="5878" width="11.42578125" style="35" bestFit="1" customWidth="1"/>
    <col min="5879" max="5879" width="9.42578125" style="35" bestFit="1" customWidth="1"/>
    <col min="5880" max="5880" width="6.42578125" style="35" bestFit="1" customWidth="1"/>
    <col min="5881" max="5881" width="7.7109375" style="35" bestFit="1" customWidth="1"/>
    <col min="5882" max="5883" width="6.42578125" style="35" bestFit="1" customWidth="1"/>
    <col min="5884" max="5884" width="10" style="35" bestFit="1" customWidth="1"/>
    <col min="5885" max="5885" width="7.140625" style="35" customWidth="1"/>
    <col min="5886" max="5886" width="6.7109375" style="35" bestFit="1" customWidth="1"/>
    <col min="5887" max="5887" width="5.42578125" style="35" bestFit="1" customWidth="1"/>
    <col min="5888" max="5888" width="6.28515625" style="35" bestFit="1" customWidth="1"/>
    <col min="5889" max="5889" width="5.42578125" style="35" customWidth="1"/>
    <col min="5890" max="5890" width="6.7109375" style="35" customWidth="1"/>
    <col min="5891" max="5891" width="7.42578125" style="35" customWidth="1"/>
    <col min="5892" max="5892" width="7.140625" style="35" customWidth="1"/>
    <col min="5893" max="5893" width="9.28515625" style="35" customWidth="1"/>
    <col min="5894" max="5894" width="10.7109375" style="35" customWidth="1"/>
    <col min="5895" max="5895" width="9.140625" style="35" customWidth="1"/>
    <col min="5896" max="6132" width="9.140625" style="35"/>
    <col min="6133" max="6133" width="4.42578125" style="35" bestFit="1" customWidth="1"/>
    <col min="6134" max="6134" width="11.42578125" style="35" bestFit="1" customWidth="1"/>
    <col min="6135" max="6135" width="9.42578125" style="35" bestFit="1" customWidth="1"/>
    <col min="6136" max="6136" width="6.42578125" style="35" bestFit="1" customWidth="1"/>
    <col min="6137" max="6137" width="7.7109375" style="35" bestFit="1" customWidth="1"/>
    <col min="6138" max="6139" width="6.42578125" style="35" bestFit="1" customWidth="1"/>
    <col min="6140" max="6140" width="10" style="35" bestFit="1" customWidth="1"/>
    <col min="6141" max="6141" width="7.140625" style="35" customWidth="1"/>
    <col min="6142" max="6142" width="6.7109375" style="35" bestFit="1" customWidth="1"/>
    <col min="6143" max="6143" width="5.42578125" style="35" bestFit="1" customWidth="1"/>
    <col min="6144" max="6144" width="6.28515625" style="35" bestFit="1" customWidth="1"/>
    <col min="6145" max="6145" width="5.42578125" style="35" customWidth="1"/>
    <col min="6146" max="6146" width="6.7109375" style="35" customWidth="1"/>
    <col min="6147" max="6147" width="7.42578125" style="35" customWidth="1"/>
    <col min="6148" max="6148" width="7.140625" style="35" customWidth="1"/>
    <col min="6149" max="6149" width="9.28515625" style="35" customWidth="1"/>
    <col min="6150" max="6150" width="10.7109375" style="35" customWidth="1"/>
    <col min="6151" max="6151" width="9.140625" style="35" customWidth="1"/>
    <col min="6152" max="6388" width="9.140625" style="35"/>
    <col min="6389" max="6389" width="4.42578125" style="35" bestFit="1" customWidth="1"/>
    <col min="6390" max="6390" width="11.42578125" style="35" bestFit="1" customWidth="1"/>
    <col min="6391" max="6391" width="9.42578125" style="35" bestFit="1" customWidth="1"/>
    <col min="6392" max="6392" width="6.42578125" style="35" bestFit="1" customWidth="1"/>
    <col min="6393" max="6393" width="7.7109375" style="35" bestFit="1" customWidth="1"/>
    <col min="6394" max="6395" width="6.42578125" style="35" bestFit="1" customWidth="1"/>
    <col min="6396" max="6396" width="10" style="35" bestFit="1" customWidth="1"/>
    <col min="6397" max="6397" width="7.140625" style="35" customWidth="1"/>
    <col min="6398" max="6398" width="6.7109375" style="35" bestFit="1" customWidth="1"/>
    <col min="6399" max="6399" width="5.42578125" style="35" bestFit="1" customWidth="1"/>
    <col min="6400" max="6400" width="6.28515625" style="35" bestFit="1" customWidth="1"/>
    <col min="6401" max="6401" width="5.42578125" style="35" customWidth="1"/>
    <col min="6402" max="6402" width="6.7109375" style="35" customWidth="1"/>
    <col min="6403" max="6403" width="7.42578125" style="35" customWidth="1"/>
    <col min="6404" max="6404" width="7.140625" style="35" customWidth="1"/>
    <col min="6405" max="6405" width="9.28515625" style="35" customWidth="1"/>
    <col min="6406" max="6406" width="10.7109375" style="35" customWidth="1"/>
    <col min="6407" max="6407" width="9.140625" style="35" customWidth="1"/>
    <col min="6408" max="6644" width="9.140625" style="35"/>
    <col min="6645" max="6645" width="4.42578125" style="35" bestFit="1" customWidth="1"/>
    <col min="6646" max="6646" width="11.42578125" style="35" bestFit="1" customWidth="1"/>
    <col min="6647" max="6647" width="9.42578125" style="35" bestFit="1" customWidth="1"/>
    <col min="6648" max="6648" width="6.42578125" style="35" bestFit="1" customWidth="1"/>
    <col min="6649" max="6649" width="7.7109375" style="35" bestFit="1" customWidth="1"/>
    <col min="6650" max="6651" width="6.42578125" style="35" bestFit="1" customWidth="1"/>
    <col min="6652" max="6652" width="10" style="35" bestFit="1" customWidth="1"/>
    <col min="6653" max="6653" width="7.140625" style="35" customWidth="1"/>
    <col min="6654" max="6654" width="6.7109375" style="35" bestFit="1" customWidth="1"/>
    <col min="6655" max="6655" width="5.42578125" style="35" bestFit="1" customWidth="1"/>
    <col min="6656" max="6656" width="6.28515625" style="35" bestFit="1" customWidth="1"/>
    <col min="6657" max="6657" width="5.42578125" style="35" customWidth="1"/>
    <col min="6658" max="6658" width="6.7109375" style="35" customWidth="1"/>
    <col min="6659" max="6659" width="7.42578125" style="35" customWidth="1"/>
    <col min="6660" max="6660" width="7.140625" style="35" customWidth="1"/>
    <col min="6661" max="6661" width="9.28515625" style="35" customWidth="1"/>
    <col min="6662" max="6662" width="10.7109375" style="35" customWidth="1"/>
    <col min="6663" max="6663" width="9.140625" style="35" customWidth="1"/>
    <col min="6664" max="6900" width="9.140625" style="35"/>
    <col min="6901" max="6901" width="4.42578125" style="35" bestFit="1" customWidth="1"/>
    <col min="6902" max="6902" width="11.42578125" style="35" bestFit="1" customWidth="1"/>
    <col min="6903" max="6903" width="9.42578125" style="35" bestFit="1" customWidth="1"/>
    <col min="6904" max="6904" width="6.42578125" style="35" bestFit="1" customWidth="1"/>
    <col min="6905" max="6905" width="7.7109375" style="35" bestFit="1" customWidth="1"/>
    <col min="6906" max="6907" width="6.42578125" style="35" bestFit="1" customWidth="1"/>
    <col min="6908" max="6908" width="10" style="35" bestFit="1" customWidth="1"/>
    <col min="6909" max="6909" width="7.140625" style="35" customWidth="1"/>
    <col min="6910" max="6910" width="6.7109375" style="35" bestFit="1" customWidth="1"/>
    <col min="6911" max="6911" width="5.42578125" style="35" bestFit="1" customWidth="1"/>
    <col min="6912" max="6912" width="6.28515625" style="35" bestFit="1" customWidth="1"/>
    <col min="6913" max="6913" width="5.42578125" style="35" customWidth="1"/>
    <col min="6914" max="6914" width="6.7109375" style="35" customWidth="1"/>
    <col min="6915" max="6915" width="7.42578125" style="35" customWidth="1"/>
    <col min="6916" max="6916" width="7.140625" style="35" customWidth="1"/>
    <col min="6917" max="6917" width="9.28515625" style="35" customWidth="1"/>
    <col min="6918" max="6918" width="10.7109375" style="35" customWidth="1"/>
    <col min="6919" max="6919" width="9.140625" style="35" customWidth="1"/>
    <col min="6920" max="7156" width="9.140625" style="35"/>
    <col min="7157" max="7157" width="4.42578125" style="35" bestFit="1" customWidth="1"/>
    <col min="7158" max="7158" width="11.42578125" style="35" bestFit="1" customWidth="1"/>
    <col min="7159" max="7159" width="9.42578125" style="35" bestFit="1" customWidth="1"/>
    <col min="7160" max="7160" width="6.42578125" style="35" bestFit="1" customWidth="1"/>
    <col min="7161" max="7161" width="7.7109375" style="35" bestFit="1" customWidth="1"/>
    <col min="7162" max="7163" width="6.42578125" style="35" bestFit="1" customWidth="1"/>
    <col min="7164" max="7164" width="10" style="35" bestFit="1" customWidth="1"/>
    <col min="7165" max="7165" width="7.140625" style="35" customWidth="1"/>
    <col min="7166" max="7166" width="6.7109375" style="35" bestFit="1" customWidth="1"/>
    <col min="7167" max="7167" width="5.42578125" style="35" bestFit="1" customWidth="1"/>
    <col min="7168" max="7168" width="6.28515625" style="35" bestFit="1" customWidth="1"/>
    <col min="7169" max="7169" width="5.42578125" style="35" customWidth="1"/>
    <col min="7170" max="7170" width="6.7109375" style="35" customWidth="1"/>
    <col min="7171" max="7171" width="7.42578125" style="35" customWidth="1"/>
    <col min="7172" max="7172" width="7.140625" style="35" customWidth="1"/>
    <col min="7173" max="7173" width="9.28515625" style="35" customWidth="1"/>
    <col min="7174" max="7174" width="10.7109375" style="35" customWidth="1"/>
    <col min="7175" max="7175" width="9.140625" style="35" customWidth="1"/>
    <col min="7176" max="7412" width="9.140625" style="35"/>
    <col min="7413" max="7413" width="4.42578125" style="35" bestFit="1" customWidth="1"/>
    <col min="7414" max="7414" width="11.42578125" style="35" bestFit="1" customWidth="1"/>
    <col min="7415" max="7415" width="9.42578125" style="35" bestFit="1" customWidth="1"/>
    <col min="7416" max="7416" width="6.42578125" style="35" bestFit="1" customWidth="1"/>
    <col min="7417" max="7417" width="7.7109375" style="35" bestFit="1" customWidth="1"/>
    <col min="7418" max="7419" width="6.42578125" style="35" bestFit="1" customWidth="1"/>
    <col min="7420" max="7420" width="10" style="35" bestFit="1" customWidth="1"/>
    <col min="7421" max="7421" width="7.140625" style="35" customWidth="1"/>
    <col min="7422" max="7422" width="6.7109375" style="35" bestFit="1" customWidth="1"/>
    <col min="7423" max="7423" width="5.42578125" style="35" bestFit="1" customWidth="1"/>
    <col min="7424" max="7424" width="6.28515625" style="35" bestFit="1" customWidth="1"/>
    <col min="7425" max="7425" width="5.42578125" style="35" customWidth="1"/>
    <col min="7426" max="7426" width="6.7109375" style="35" customWidth="1"/>
    <col min="7427" max="7427" width="7.42578125" style="35" customWidth="1"/>
    <col min="7428" max="7428" width="7.140625" style="35" customWidth="1"/>
    <col min="7429" max="7429" width="9.28515625" style="35" customWidth="1"/>
    <col min="7430" max="7430" width="10.7109375" style="35" customWidth="1"/>
    <col min="7431" max="7431" width="9.140625" style="35" customWidth="1"/>
    <col min="7432" max="7668" width="9.140625" style="35"/>
    <col min="7669" max="7669" width="4.42578125" style="35" bestFit="1" customWidth="1"/>
    <col min="7670" max="7670" width="11.42578125" style="35" bestFit="1" customWidth="1"/>
    <col min="7671" max="7671" width="9.42578125" style="35" bestFit="1" customWidth="1"/>
    <col min="7672" max="7672" width="6.42578125" style="35" bestFit="1" customWidth="1"/>
    <col min="7673" max="7673" width="7.7109375" style="35" bestFit="1" customWidth="1"/>
    <col min="7674" max="7675" width="6.42578125" style="35" bestFit="1" customWidth="1"/>
    <col min="7676" max="7676" width="10" style="35" bestFit="1" customWidth="1"/>
    <col min="7677" max="7677" width="7.140625" style="35" customWidth="1"/>
    <col min="7678" max="7678" width="6.7109375" style="35" bestFit="1" customWidth="1"/>
    <col min="7679" max="7679" width="5.42578125" style="35" bestFit="1" customWidth="1"/>
    <col min="7680" max="7680" width="6.28515625" style="35" bestFit="1" customWidth="1"/>
    <col min="7681" max="7681" width="5.42578125" style="35" customWidth="1"/>
    <col min="7682" max="7682" width="6.7109375" style="35" customWidth="1"/>
    <col min="7683" max="7683" width="7.42578125" style="35" customWidth="1"/>
    <col min="7684" max="7684" width="7.140625" style="35" customWidth="1"/>
    <col min="7685" max="7685" width="9.28515625" style="35" customWidth="1"/>
    <col min="7686" max="7686" width="10.7109375" style="35" customWidth="1"/>
    <col min="7687" max="7687" width="9.140625" style="35" customWidth="1"/>
    <col min="7688" max="7924" width="9.140625" style="35"/>
    <col min="7925" max="7925" width="4.42578125" style="35" bestFit="1" customWidth="1"/>
    <col min="7926" max="7926" width="11.42578125" style="35" bestFit="1" customWidth="1"/>
    <col min="7927" max="7927" width="9.42578125" style="35" bestFit="1" customWidth="1"/>
    <col min="7928" max="7928" width="6.42578125" style="35" bestFit="1" customWidth="1"/>
    <col min="7929" max="7929" width="7.7109375" style="35" bestFit="1" customWidth="1"/>
    <col min="7930" max="7931" width="6.42578125" style="35" bestFit="1" customWidth="1"/>
    <col min="7932" max="7932" width="10" style="35" bestFit="1" customWidth="1"/>
    <col min="7933" max="7933" width="7.140625" style="35" customWidth="1"/>
    <col min="7934" max="7934" width="6.7109375" style="35" bestFit="1" customWidth="1"/>
    <col min="7935" max="7935" width="5.42578125" style="35" bestFit="1" customWidth="1"/>
    <col min="7936" max="7936" width="6.28515625" style="35" bestFit="1" customWidth="1"/>
    <col min="7937" max="7937" width="5.42578125" style="35" customWidth="1"/>
    <col min="7938" max="7938" width="6.7109375" style="35" customWidth="1"/>
    <col min="7939" max="7939" width="7.42578125" style="35" customWidth="1"/>
    <col min="7940" max="7940" width="7.140625" style="35" customWidth="1"/>
    <col min="7941" max="7941" width="9.28515625" style="35" customWidth="1"/>
    <col min="7942" max="7942" width="10.7109375" style="35" customWidth="1"/>
    <col min="7943" max="7943" width="9.140625" style="35" customWidth="1"/>
    <col min="7944" max="8180" width="9.140625" style="35"/>
    <col min="8181" max="8181" width="4.42578125" style="35" bestFit="1" customWidth="1"/>
    <col min="8182" max="8182" width="11.42578125" style="35" bestFit="1" customWidth="1"/>
    <col min="8183" max="8183" width="9.42578125" style="35" bestFit="1" customWidth="1"/>
    <col min="8184" max="8184" width="6.42578125" style="35" bestFit="1" customWidth="1"/>
    <col min="8185" max="8185" width="7.7109375" style="35" bestFit="1" customWidth="1"/>
    <col min="8186" max="8187" width="6.42578125" style="35" bestFit="1" customWidth="1"/>
    <col min="8188" max="8188" width="10" style="35" bestFit="1" customWidth="1"/>
    <col min="8189" max="8189" width="7.140625" style="35" customWidth="1"/>
    <col min="8190" max="8190" width="6.7109375" style="35" bestFit="1" customWidth="1"/>
    <col min="8191" max="8191" width="5.42578125" style="35" bestFit="1" customWidth="1"/>
    <col min="8192" max="8192" width="6.28515625" style="35" bestFit="1" customWidth="1"/>
    <col min="8193" max="8193" width="5.42578125" style="35" customWidth="1"/>
    <col min="8194" max="8194" width="6.7109375" style="35" customWidth="1"/>
    <col min="8195" max="8195" width="7.42578125" style="35" customWidth="1"/>
    <col min="8196" max="8196" width="7.140625" style="35" customWidth="1"/>
    <col min="8197" max="8197" width="9.28515625" style="35" customWidth="1"/>
    <col min="8198" max="8198" width="10.7109375" style="35" customWidth="1"/>
    <col min="8199" max="8199" width="9.140625" style="35" customWidth="1"/>
    <col min="8200" max="8436" width="9.140625" style="35"/>
    <col min="8437" max="8437" width="4.42578125" style="35" bestFit="1" customWidth="1"/>
    <col min="8438" max="8438" width="11.42578125" style="35" bestFit="1" customWidth="1"/>
    <col min="8439" max="8439" width="9.42578125" style="35" bestFit="1" customWidth="1"/>
    <col min="8440" max="8440" width="6.42578125" style="35" bestFit="1" customWidth="1"/>
    <col min="8441" max="8441" width="7.7109375" style="35" bestFit="1" customWidth="1"/>
    <col min="8442" max="8443" width="6.42578125" style="35" bestFit="1" customWidth="1"/>
    <col min="8444" max="8444" width="10" style="35" bestFit="1" customWidth="1"/>
    <col min="8445" max="8445" width="7.140625" style="35" customWidth="1"/>
    <col min="8446" max="8446" width="6.7109375" style="35" bestFit="1" customWidth="1"/>
    <col min="8447" max="8447" width="5.42578125" style="35" bestFit="1" customWidth="1"/>
    <col min="8448" max="8448" width="6.28515625" style="35" bestFit="1" customWidth="1"/>
    <col min="8449" max="8449" width="5.42578125" style="35" customWidth="1"/>
    <col min="8450" max="8450" width="6.7109375" style="35" customWidth="1"/>
    <col min="8451" max="8451" width="7.42578125" style="35" customWidth="1"/>
    <col min="8452" max="8452" width="7.140625" style="35" customWidth="1"/>
    <col min="8453" max="8453" width="9.28515625" style="35" customWidth="1"/>
    <col min="8454" max="8454" width="10.7109375" style="35" customWidth="1"/>
    <col min="8455" max="8455" width="9.140625" style="35" customWidth="1"/>
    <col min="8456" max="8692" width="9.140625" style="35"/>
    <col min="8693" max="8693" width="4.42578125" style="35" bestFit="1" customWidth="1"/>
    <col min="8694" max="8694" width="11.42578125" style="35" bestFit="1" customWidth="1"/>
    <col min="8695" max="8695" width="9.42578125" style="35" bestFit="1" customWidth="1"/>
    <col min="8696" max="8696" width="6.42578125" style="35" bestFit="1" customWidth="1"/>
    <col min="8697" max="8697" width="7.7109375" style="35" bestFit="1" customWidth="1"/>
    <col min="8698" max="8699" width="6.42578125" style="35" bestFit="1" customWidth="1"/>
    <col min="8700" max="8700" width="10" style="35" bestFit="1" customWidth="1"/>
    <col min="8701" max="8701" width="7.140625" style="35" customWidth="1"/>
    <col min="8702" max="8702" width="6.7109375" style="35" bestFit="1" customWidth="1"/>
    <col min="8703" max="8703" width="5.42578125" style="35" bestFit="1" customWidth="1"/>
    <col min="8704" max="8704" width="6.28515625" style="35" bestFit="1" customWidth="1"/>
    <col min="8705" max="8705" width="5.42578125" style="35" customWidth="1"/>
    <col min="8706" max="8706" width="6.7109375" style="35" customWidth="1"/>
    <col min="8707" max="8707" width="7.42578125" style="35" customWidth="1"/>
    <col min="8708" max="8708" width="7.140625" style="35" customWidth="1"/>
    <col min="8709" max="8709" width="9.28515625" style="35" customWidth="1"/>
    <col min="8710" max="8710" width="10.7109375" style="35" customWidth="1"/>
    <col min="8711" max="8711" width="9.140625" style="35" customWidth="1"/>
    <col min="8712" max="8948" width="9.140625" style="35"/>
    <col min="8949" max="8949" width="4.42578125" style="35" bestFit="1" customWidth="1"/>
    <col min="8950" max="8950" width="11.42578125" style="35" bestFit="1" customWidth="1"/>
    <col min="8951" max="8951" width="9.42578125" style="35" bestFit="1" customWidth="1"/>
    <col min="8952" max="8952" width="6.42578125" style="35" bestFit="1" customWidth="1"/>
    <col min="8953" max="8953" width="7.7109375" style="35" bestFit="1" customWidth="1"/>
    <col min="8954" max="8955" width="6.42578125" style="35" bestFit="1" customWidth="1"/>
    <col min="8956" max="8956" width="10" style="35" bestFit="1" customWidth="1"/>
    <col min="8957" max="8957" width="7.140625" style="35" customWidth="1"/>
    <col min="8958" max="8958" width="6.7109375" style="35" bestFit="1" customWidth="1"/>
    <col min="8959" max="8959" width="5.42578125" style="35" bestFit="1" customWidth="1"/>
    <col min="8960" max="8960" width="6.28515625" style="35" bestFit="1" customWidth="1"/>
    <col min="8961" max="8961" width="5.42578125" style="35" customWidth="1"/>
    <col min="8962" max="8962" width="6.7109375" style="35" customWidth="1"/>
    <col min="8963" max="8963" width="7.42578125" style="35" customWidth="1"/>
    <col min="8964" max="8964" width="7.140625" style="35" customWidth="1"/>
    <col min="8965" max="8965" width="9.28515625" style="35" customWidth="1"/>
    <col min="8966" max="8966" width="10.7109375" style="35" customWidth="1"/>
    <col min="8967" max="8967" width="9.140625" style="35" customWidth="1"/>
    <col min="8968" max="9204" width="9.140625" style="35"/>
    <col min="9205" max="9205" width="4.42578125" style="35" bestFit="1" customWidth="1"/>
    <col min="9206" max="9206" width="11.42578125" style="35" bestFit="1" customWidth="1"/>
    <col min="9207" max="9207" width="9.42578125" style="35" bestFit="1" customWidth="1"/>
    <col min="9208" max="9208" width="6.42578125" style="35" bestFit="1" customWidth="1"/>
    <col min="9209" max="9209" width="7.7109375" style="35" bestFit="1" customWidth="1"/>
    <col min="9210" max="9211" width="6.42578125" style="35" bestFit="1" customWidth="1"/>
    <col min="9212" max="9212" width="10" style="35" bestFit="1" customWidth="1"/>
    <col min="9213" max="9213" width="7.140625" style="35" customWidth="1"/>
    <col min="9214" max="9214" width="6.7109375" style="35" bestFit="1" customWidth="1"/>
    <col min="9215" max="9215" width="5.42578125" style="35" bestFit="1" customWidth="1"/>
    <col min="9216" max="9216" width="6.28515625" style="35" bestFit="1" customWidth="1"/>
    <col min="9217" max="9217" width="5.42578125" style="35" customWidth="1"/>
    <col min="9218" max="9218" width="6.7109375" style="35" customWidth="1"/>
    <col min="9219" max="9219" width="7.42578125" style="35" customWidth="1"/>
    <col min="9220" max="9220" width="7.140625" style="35" customWidth="1"/>
    <col min="9221" max="9221" width="9.28515625" style="35" customWidth="1"/>
    <col min="9222" max="9222" width="10.7109375" style="35" customWidth="1"/>
    <col min="9223" max="9223" width="9.140625" style="35" customWidth="1"/>
    <col min="9224" max="9460" width="9.140625" style="35"/>
    <col min="9461" max="9461" width="4.42578125" style="35" bestFit="1" customWidth="1"/>
    <col min="9462" max="9462" width="11.42578125" style="35" bestFit="1" customWidth="1"/>
    <col min="9463" max="9463" width="9.42578125" style="35" bestFit="1" customWidth="1"/>
    <col min="9464" max="9464" width="6.42578125" style="35" bestFit="1" customWidth="1"/>
    <col min="9465" max="9465" width="7.7109375" style="35" bestFit="1" customWidth="1"/>
    <col min="9466" max="9467" width="6.42578125" style="35" bestFit="1" customWidth="1"/>
    <col min="9468" max="9468" width="10" style="35" bestFit="1" customWidth="1"/>
    <col min="9469" max="9469" width="7.140625" style="35" customWidth="1"/>
    <col min="9470" max="9470" width="6.7109375" style="35" bestFit="1" customWidth="1"/>
    <col min="9471" max="9471" width="5.42578125" style="35" bestFit="1" customWidth="1"/>
    <col min="9472" max="9472" width="6.28515625" style="35" bestFit="1" customWidth="1"/>
    <col min="9473" max="9473" width="5.42578125" style="35" customWidth="1"/>
    <col min="9474" max="9474" width="6.7109375" style="35" customWidth="1"/>
    <col min="9475" max="9475" width="7.42578125" style="35" customWidth="1"/>
    <col min="9476" max="9476" width="7.140625" style="35" customWidth="1"/>
    <col min="9477" max="9477" width="9.28515625" style="35" customWidth="1"/>
    <col min="9478" max="9478" width="10.7109375" style="35" customWidth="1"/>
    <col min="9479" max="9479" width="9.140625" style="35" customWidth="1"/>
    <col min="9480" max="9716" width="9.140625" style="35"/>
    <col min="9717" max="9717" width="4.42578125" style="35" bestFit="1" customWidth="1"/>
    <col min="9718" max="9718" width="11.42578125" style="35" bestFit="1" customWidth="1"/>
    <col min="9719" max="9719" width="9.42578125" style="35" bestFit="1" customWidth="1"/>
    <col min="9720" max="9720" width="6.42578125" style="35" bestFit="1" customWidth="1"/>
    <col min="9721" max="9721" width="7.7109375" style="35" bestFit="1" customWidth="1"/>
    <col min="9722" max="9723" width="6.42578125" style="35" bestFit="1" customWidth="1"/>
    <col min="9724" max="9724" width="10" style="35" bestFit="1" customWidth="1"/>
    <col min="9725" max="9725" width="7.140625" style="35" customWidth="1"/>
    <col min="9726" max="9726" width="6.7109375" style="35" bestFit="1" customWidth="1"/>
    <col min="9727" max="9727" width="5.42578125" style="35" bestFit="1" customWidth="1"/>
    <col min="9728" max="9728" width="6.28515625" style="35" bestFit="1" customWidth="1"/>
    <col min="9729" max="9729" width="5.42578125" style="35" customWidth="1"/>
    <col min="9730" max="9730" width="6.7109375" style="35" customWidth="1"/>
    <col min="9731" max="9731" width="7.42578125" style="35" customWidth="1"/>
    <col min="9732" max="9732" width="7.140625" style="35" customWidth="1"/>
    <col min="9733" max="9733" width="9.28515625" style="35" customWidth="1"/>
    <col min="9734" max="9734" width="10.7109375" style="35" customWidth="1"/>
    <col min="9735" max="9735" width="9.140625" style="35" customWidth="1"/>
    <col min="9736" max="9972" width="9.140625" style="35"/>
    <col min="9973" max="9973" width="4.42578125" style="35" bestFit="1" customWidth="1"/>
    <col min="9974" max="9974" width="11.42578125" style="35" bestFit="1" customWidth="1"/>
    <col min="9975" max="9975" width="9.42578125" style="35" bestFit="1" customWidth="1"/>
    <col min="9976" max="9976" width="6.42578125" style="35" bestFit="1" customWidth="1"/>
    <col min="9977" max="9977" width="7.7109375" style="35" bestFit="1" customWidth="1"/>
    <col min="9978" max="9979" width="6.42578125" style="35" bestFit="1" customWidth="1"/>
    <col min="9980" max="9980" width="10" style="35" bestFit="1" customWidth="1"/>
    <col min="9981" max="9981" width="7.140625" style="35" customWidth="1"/>
    <col min="9982" max="9982" width="6.7109375" style="35" bestFit="1" customWidth="1"/>
    <col min="9983" max="9983" width="5.42578125" style="35" bestFit="1" customWidth="1"/>
    <col min="9984" max="9984" width="6.28515625" style="35" bestFit="1" customWidth="1"/>
    <col min="9985" max="9985" width="5.42578125" style="35" customWidth="1"/>
    <col min="9986" max="9986" width="6.7109375" style="35" customWidth="1"/>
    <col min="9987" max="9987" width="7.42578125" style="35" customWidth="1"/>
    <col min="9988" max="9988" width="7.140625" style="35" customWidth="1"/>
    <col min="9989" max="9989" width="9.28515625" style="35" customWidth="1"/>
    <col min="9990" max="9990" width="10.7109375" style="35" customWidth="1"/>
    <col min="9991" max="9991" width="9.140625" style="35" customWidth="1"/>
    <col min="9992" max="10228" width="9.140625" style="35"/>
    <col min="10229" max="10229" width="4.42578125" style="35" bestFit="1" customWidth="1"/>
    <col min="10230" max="10230" width="11.42578125" style="35" bestFit="1" customWidth="1"/>
    <col min="10231" max="10231" width="9.42578125" style="35" bestFit="1" customWidth="1"/>
    <col min="10232" max="10232" width="6.42578125" style="35" bestFit="1" customWidth="1"/>
    <col min="10233" max="10233" width="7.7109375" style="35" bestFit="1" customWidth="1"/>
    <col min="10234" max="10235" width="6.42578125" style="35" bestFit="1" customWidth="1"/>
    <col min="10236" max="10236" width="10" style="35" bestFit="1" customWidth="1"/>
    <col min="10237" max="10237" width="7.140625" style="35" customWidth="1"/>
    <col min="10238" max="10238" width="6.7109375" style="35" bestFit="1" customWidth="1"/>
    <col min="10239" max="10239" width="5.42578125" style="35" bestFit="1" customWidth="1"/>
    <col min="10240" max="10240" width="6.28515625" style="35" bestFit="1" customWidth="1"/>
    <col min="10241" max="10241" width="5.42578125" style="35" customWidth="1"/>
    <col min="10242" max="10242" width="6.7109375" style="35" customWidth="1"/>
    <col min="10243" max="10243" width="7.42578125" style="35" customWidth="1"/>
    <col min="10244" max="10244" width="7.140625" style="35" customWidth="1"/>
    <col min="10245" max="10245" width="9.28515625" style="35" customWidth="1"/>
    <col min="10246" max="10246" width="10.7109375" style="35" customWidth="1"/>
    <col min="10247" max="10247" width="9.140625" style="35" customWidth="1"/>
    <col min="10248" max="10484" width="9.140625" style="35"/>
    <col min="10485" max="10485" width="4.42578125" style="35" bestFit="1" customWidth="1"/>
    <col min="10486" max="10486" width="11.42578125" style="35" bestFit="1" customWidth="1"/>
    <col min="10487" max="10487" width="9.42578125" style="35" bestFit="1" customWidth="1"/>
    <col min="10488" max="10488" width="6.42578125" style="35" bestFit="1" customWidth="1"/>
    <col min="10489" max="10489" width="7.7109375" style="35" bestFit="1" customWidth="1"/>
    <col min="10490" max="10491" width="6.42578125" style="35" bestFit="1" customWidth="1"/>
    <col min="10492" max="10492" width="10" style="35" bestFit="1" customWidth="1"/>
    <col min="10493" max="10493" width="7.140625" style="35" customWidth="1"/>
    <col min="10494" max="10494" width="6.7109375" style="35" bestFit="1" customWidth="1"/>
    <col min="10495" max="10495" width="5.42578125" style="35" bestFit="1" customWidth="1"/>
    <col min="10496" max="10496" width="6.28515625" style="35" bestFit="1" customWidth="1"/>
    <col min="10497" max="10497" width="5.42578125" style="35" customWidth="1"/>
    <col min="10498" max="10498" width="6.7109375" style="35" customWidth="1"/>
    <col min="10499" max="10499" width="7.42578125" style="35" customWidth="1"/>
    <col min="10500" max="10500" width="7.140625" style="35" customWidth="1"/>
    <col min="10501" max="10501" width="9.28515625" style="35" customWidth="1"/>
    <col min="10502" max="10502" width="10.7109375" style="35" customWidth="1"/>
    <col min="10503" max="10503" width="9.140625" style="35" customWidth="1"/>
    <col min="10504" max="10740" width="9.140625" style="35"/>
    <col min="10741" max="10741" width="4.42578125" style="35" bestFit="1" customWidth="1"/>
    <col min="10742" max="10742" width="11.42578125" style="35" bestFit="1" customWidth="1"/>
    <col min="10743" max="10743" width="9.42578125" style="35" bestFit="1" customWidth="1"/>
    <col min="10744" max="10744" width="6.42578125" style="35" bestFit="1" customWidth="1"/>
    <col min="10745" max="10745" width="7.7109375" style="35" bestFit="1" customWidth="1"/>
    <col min="10746" max="10747" width="6.42578125" style="35" bestFit="1" customWidth="1"/>
    <col min="10748" max="10748" width="10" style="35" bestFit="1" customWidth="1"/>
    <col min="10749" max="10749" width="7.140625" style="35" customWidth="1"/>
    <col min="10750" max="10750" width="6.7109375" style="35" bestFit="1" customWidth="1"/>
    <col min="10751" max="10751" width="5.42578125" style="35" bestFit="1" customWidth="1"/>
    <col min="10752" max="10752" width="6.28515625" style="35" bestFit="1" customWidth="1"/>
    <col min="10753" max="10753" width="5.42578125" style="35" customWidth="1"/>
    <col min="10754" max="10754" width="6.7109375" style="35" customWidth="1"/>
    <col min="10755" max="10755" width="7.42578125" style="35" customWidth="1"/>
    <col min="10756" max="10756" width="7.140625" style="35" customWidth="1"/>
    <col min="10757" max="10757" width="9.28515625" style="35" customWidth="1"/>
    <col min="10758" max="10758" width="10.7109375" style="35" customWidth="1"/>
    <col min="10759" max="10759" width="9.140625" style="35" customWidth="1"/>
    <col min="10760" max="10996" width="9.140625" style="35"/>
    <col min="10997" max="10997" width="4.42578125" style="35" bestFit="1" customWidth="1"/>
    <col min="10998" max="10998" width="11.42578125" style="35" bestFit="1" customWidth="1"/>
    <col min="10999" max="10999" width="9.42578125" style="35" bestFit="1" customWidth="1"/>
    <col min="11000" max="11000" width="6.42578125" style="35" bestFit="1" customWidth="1"/>
    <col min="11001" max="11001" width="7.7109375" style="35" bestFit="1" customWidth="1"/>
    <col min="11002" max="11003" width="6.42578125" style="35" bestFit="1" customWidth="1"/>
    <col min="11004" max="11004" width="10" style="35" bestFit="1" customWidth="1"/>
    <col min="11005" max="11005" width="7.140625" style="35" customWidth="1"/>
    <col min="11006" max="11006" width="6.7109375" style="35" bestFit="1" customWidth="1"/>
    <col min="11007" max="11007" width="5.42578125" style="35" bestFit="1" customWidth="1"/>
    <col min="11008" max="11008" width="6.28515625" style="35" bestFit="1" customWidth="1"/>
    <col min="11009" max="11009" width="5.42578125" style="35" customWidth="1"/>
    <col min="11010" max="11010" width="6.7109375" style="35" customWidth="1"/>
    <col min="11011" max="11011" width="7.42578125" style="35" customWidth="1"/>
    <col min="11012" max="11012" width="7.140625" style="35" customWidth="1"/>
    <col min="11013" max="11013" width="9.28515625" style="35" customWidth="1"/>
    <col min="11014" max="11014" width="10.7109375" style="35" customWidth="1"/>
    <col min="11015" max="11015" width="9.140625" style="35" customWidth="1"/>
    <col min="11016" max="11252" width="9.140625" style="35"/>
    <col min="11253" max="11253" width="4.42578125" style="35" bestFit="1" customWidth="1"/>
    <col min="11254" max="11254" width="11.42578125" style="35" bestFit="1" customWidth="1"/>
    <col min="11255" max="11255" width="9.42578125" style="35" bestFit="1" customWidth="1"/>
    <col min="11256" max="11256" width="6.42578125" style="35" bestFit="1" customWidth="1"/>
    <col min="11257" max="11257" width="7.7109375" style="35" bestFit="1" customWidth="1"/>
    <col min="11258" max="11259" width="6.42578125" style="35" bestFit="1" customWidth="1"/>
    <col min="11260" max="11260" width="10" style="35" bestFit="1" customWidth="1"/>
    <col min="11261" max="11261" width="7.140625" style="35" customWidth="1"/>
    <col min="11262" max="11262" width="6.7109375" style="35" bestFit="1" customWidth="1"/>
    <col min="11263" max="11263" width="5.42578125" style="35" bestFit="1" customWidth="1"/>
    <col min="11264" max="11264" width="6.28515625" style="35" bestFit="1" customWidth="1"/>
    <col min="11265" max="11265" width="5.42578125" style="35" customWidth="1"/>
    <col min="11266" max="11266" width="6.7109375" style="35" customWidth="1"/>
    <col min="11267" max="11267" width="7.42578125" style="35" customWidth="1"/>
    <col min="11268" max="11268" width="7.140625" style="35" customWidth="1"/>
    <col min="11269" max="11269" width="9.28515625" style="35" customWidth="1"/>
    <col min="11270" max="11270" width="10.7109375" style="35" customWidth="1"/>
    <col min="11271" max="11271" width="9.140625" style="35" customWidth="1"/>
    <col min="11272" max="11508" width="9.140625" style="35"/>
    <col min="11509" max="11509" width="4.42578125" style="35" bestFit="1" customWidth="1"/>
    <col min="11510" max="11510" width="11.42578125" style="35" bestFit="1" customWidth="1"/>
    <col min="11511" max="11511" width="9.42578125" style="35" bestFit="1" customWidth="1"/>
    <col min="11512" max="11512" width="6.42578125" style="35" bestFit="1" customWidth="1"/>
    <col min="11513" max="11513" width="7.7109375" style="35" bestFit="1" customWidth="1"/>
    <col min="11514" max="11515" width="6.42578125" style="35" bestFit="1" customWidth="1"/>
    <col min="11516" max="11516" width="10" style="35" bestFit="1" customWidth="1"/>
    <col min="11517" max="11517" width="7.140625" style="35" customWidth="1"/>
    <col min="11518" max="11518" width="6.7109375" style="35" bestFit="1" customWidth="1"/>
    <col min="11519" max="11519" width="5.42578125" style="35" bestFit="1" customWidth="1"/>
    <col min="11520" max="11520" width="6.28515625" style="35" bestFit="1" customWidth="1"/>
    <col min="11521" max="11521" width="5.42578125" style="35" customWidth="1"/>
    <col min="11522" max="11522" width="6.7109375" style="35" customWidth="1"/>
    <col min="11523" max="11523" width="7.42578125" style="35" customWidth="1"/>
    <col min="11524" max="11524" width="7.140625" style="35" customWidth="1"/>
    <col min="11525" max="11525" width="9.28515625" style="35" customWidth="1"/>
    <col min="11526" max="11526" width="10.7109375" style="35" customWidth="1"/>
    <col min="11527" max="11527" width="9.140625" style="35" customWidth="1"/>
    <col min="11528" max="11764" width="9.140625" style="35"/>
    <col min="11765" max="11765" width="4.42578125" style="35" bestFit="1" customWidth="1"/>
    <col min="11766" max="11766" width="11.42578125" style="35" bestFit="1" customWidth="1"/>
    <col min="11767" max="11767" width="9.42578125" style="35" bestFit="1" customWidth="1"/>
    <col min="11768" max="11768" width="6.42578125" style="35" bestFit="1" customWidth="1"/>
    <col min="11769" max="11769" width="7.7109375" style="35" bestFit="1" customWidth="1"/>
    <col min="11770" max="11771" width="6.42578125" style="35" bestFit="1" customWidth="1"/>
    <col min="11772" max="11772" width="10" style="35" bestFit="1" customWidth="1"/>
    <col min="11773" max="11773" width="7.140625" style="35" customWidth="1"/>
    <col min="11774" max="11774" width="6.7109375" style="35" bestFit="1" customWidth="1"/>
    <col min="11775" max="11775" width="5.42578125" style="35" bestFit="1" customWidth="1"/>
    <col min="11776" max="11776" width="6.28515625" style="35" bestFit="1" customWidth="1"/>
    <col min="11777" max="11777" width="5.42578125" style="35" customWidth="1"/>
    <col min="11778" max="11778" width="6.7109375" style="35" customWidth="1"/>
    <col min="11779" max="11779" width="7.42578125" style="35" customWidth="1"/>
    <col min="11780" max="11780" width="7.140625" style="35" customWidth="1"/>
    <col min="11781" max="11781" width="9.28515625" style="35" customWidth="1"/>
    <col min="11782" max="11782" width="10.7109375" style="35" customWidth="1"/>
    <col min="11783" max="11783" width="9.140625" style="35" customWidth="1"/>
    <col min="11784" max="12020" width="9.140625" style="35"/>
    <col min="12021" max="12021" width="4.42578125" style="35" bestFit="1" customWidth="1"/>
    <col min="12022" max="12022" width="11.42578125" style="35" bestFit="1" customWidth="1"/>
    <col min="12023" max="12023" width="9.42578125" style="35" bestFit="1" customWidth="1"/>
    <col min="12024" max="12024" width="6.42578125" style="35" bestFit="1" customWidth="1"/>
    <col min="12025" max="12025" width="7.7109375" style="35" bestFit="1" customWidth="1"/>
    <col min="12026" max="12027" width="6.42578125" style="35" bestFit="1" customWidth="1"/>
    <col min="12028" max="12028" width="10" style="35" bestFit="1" customWidth="1"/>
    <col min="12029" max="12029" width="7.140625" style="35" customWidth="1"/>
    <col min="12030" max="12030" width="6.7109375" style="35" bestFit="1" customWidth="1"/>
    <col min="12031" max="12031" width="5.42578125" style="35" bestFit="1" customWidth="1"/>
    <col min="12032" max="12032" width="6.28515625" style="35" bestFit="1" customWidth="1"/>
    <col min="12033" max="12033" width="5.42578125" style="35" customWidth="1"/>
    <col min="12034" max="12034" width="6.7109375" style="35" customWidth="1"/>
    <col min="12035" max="12035" width="7.42578125" style="35" customWidth="1"/>
    <col min="12036" max="12036" width="7.140625" style="35" customWidth="1"/>
    <col min="12037" max="12037" width="9.28515625" style="35" customWidth="1"/>
    <col min="12038" max="12038" width="10.7109375" style="35" customWidth="1"/>
    <col min="12039" max="12039" width="9.140625" style="35" customWidth="1"/>
    <col min="12040" max="12276" width="9.140625" style="35"/>
    <col min="12277" max="12277" width="4.42578125" style="35" bestFit="1" customWidth="1"/>
    <col min="12278" max="12278" width="11.42578125" style="35" bestFit="1" customWidth="1"/>
    <col min="12279" max="12279" width="9.42578125" style="35" bestFit="1" customWidth="1"/>
    <col min="12280" max="12280" width="6.42578125" style="35" bestFit="1" customWidth="1"/>
    <col min="12281" max="12281" width="7.7109375" style="35" bestFit="1" customWidth="1"/>
    <col min="12282" max="12283" width="6.42578125" style="35" bestFit="1" customWidth="1"/>
    <col min="12284" max="12284" width="10" style="35" bestFit="1" customWidth="1"/>
    <col min="12285" max="12285" width="7.140625" style="35" customWidth="1"/>
    <col min="12286" max="12286" width="6.7109375" style="35" bestFit="1" customWidth="1"/>
    <col min="12287" max="12287" width="5.42578125" style="35" bestFit="1" customWidth="1"/>
    <col min="12288" max="12288" width="6.28515625" style="35" bestFit="1" customWidth="1"/>
    <col min="12289" max="12289" width="5.42578125" style="35" customWidth="1"/>
    <col min="12290" max="12290" width="6.7109375" style="35" customWidth="1"/>
    <col min="12291" max="12291" width="7.42578125" style="35" customWidth="1"/>
    <col min="12292" max="12292" width="7.140625" style="35" customWidth="1"/>
    <col min="12293" max="12293" width="9.28515625" style="35" customWidth="1"/>
    <col min="12294" max="12294" width="10.7109375" style="35" customWidth="1"/>
    <col min="12295" max="12295" width="9.140625" style="35" customWidth="1"/>
    <col min="12296" max="12532" width="9.140625" style="35"/>
    <col min="12533" max="12533" width="4.42578125" style="35" bestFit="1" customWidth="1"/>
    <col min="12534" max="12534" width="11.42578125" style="35" bestFit="1" customWidth="1"/>
    <col min="12535" max="12535" width="9.42578125" style="35" bestFit="1" customWidth="1"/>
    <col min="12536" max="12536" width="6.42578125" style="35" bestFit="1" customWidth="1"/>
    <col min="12537" max="12537" width="7.7109375" style="35" bestFit="1" customWidth="1"/>
    <col min="12538" max="12539" width="6.42578125" style="35" bestFit="1" customWidth="1"/>
    <col min="12540" max="12540" width="10" style="35" bestFit="1" customWidth="1"/>
    <col min="12541" max="12541" width="7.140625" style="35" customWidth="1"/>
    <col min="12542" max="12542" width="6.7109375" style="35" bestFit="1" customWidth="1"/>
    <col min="12543" max="12543" width="5.42578125" style="35" bestFit="1" customWidth="1"/>
    <col min="12544" max="12544" width="6.28515625" style="35" bestFit="1" customWidth="1"/>
    <col min="12545" max="12545" width="5.42578125" style="35" customWidth="1"/>
    <col min="12546" max="12546" width="6.7109375" style="35" customWidth="1"/>
    <col min="12547" max="12547" width="7.42578125" style="35" customWidth="1"/>
    <col min="12548" max="12548" width="7.140625" style="35" customWidth="1"/>
    <col min="12549" max="12549" width="9.28515625" style="35" customWidth="1"/>
    <col min="12550" max="12550" width="10.7109375" style="35" customWidth="1"/>
    <col min="12551" max="12551" width="9.140625" style="35" customWidth="1"/>
    <col min="12552" max="12788" width="9.140625" style="35"/>
    <col min="12789" max="12789" width="4.42578125" style="35" bestFit="1" customWidth="1"/>
    <col min="12790" max="12790" width="11.42578125" style="35" bestFit="1" customWidth="1"/>
    <col min="12791" max="12791" width="9.42578125" style="35" bestFit="1" customWidth="1"/>
    <col min="12792" max="12792" width="6.42578125" style="35" bestFit="1" customWidth="1"/>
    <col min="12793" max="12793" width="7.7109375" style="35" bestFit="1" customWidth="1"/>
    <col min="12794" max="12795" width="6.42578125" style="35" bestFit="1" customWidth="1"/>
    <col min="12796" max="12796" width="10" style="35" bestFit="1" customWidth="1"/>
    <col min="12797" max="12797" width="7.140625" style="35" customWidth="1"/>
    <col min="12798" max="12798" width="6.7109375" style="35" bestFit="1" customWidth="1"/>
    <col min="12799" max="12799" width="5.42578125" style="35" bestFit="1" customWidth="1"/>
    <col min="12800" max="12800" width="6.28515625" style="35" bestFit="1" customWidth="1"/>
    <col min="12801" max="12801" width="5.42578125" style="35" customWidth="1"/>
    <col min="12802" max="12802" width="6.7109375" style="35" customWidth="1"/>
    <col min="12803" max="12803" width="7.42578125" style="35" customWidth="1"/>
    <col min="12804" max="12804" width="7.140625" style="35" customWidth="1"/>
    <col min="12805" max="12805" width="9.28515625" style="35" customWidth="1"/>
    <col min="12806" max="12806" width="10.7109375" style="35" customWidth="1"/>
    <col min="12807" max="12807" width="9.140625" style="35" customWidth="1"/>
    <col min="12808" max="13044" width="9.140625" style="35"/>
    <col min="13045" max="13045" width="4.42578125" style="35" bestFit="1" customWidth="1"/>
    <col min="13046" max="13046" width="11.42578125" style="35" bestFit="1" customWidth="1"/>
    <col min="13047" max="13047" width="9.42578125" style="35" bestFit="1" customWidth="1"/>
    <col min="13048" max="13048" width="6.42578125" style="35" bestFit="1" customWidth="1"/>
    <col min="13049" max="13049" width="7.7109375" style="35" bestFit="1" customWidth="1"/>
    <col min="13050" max="13051" width="6.42578125" style="35" bestFit="1" customWidth="1"/>
    <col min="13052" max="13052" width="10" style="35" bestFit="1" customWidth="1"/>
    <col min="13053" max="13053" width="7.140625" style="35" customWidth="1"/>
    <col min="13054" max="13054" width="6.7109375" style="35" bestFit="1" customWidth="1"/>
    <col min="13055" max="13055" width="5.42578125" style="35" bestFit="1" customWidth="1"/>
    <col min="13056" max="13056" width="6.28515625" style="35" bestFit="1" customWidth="1"/>
    <col min="13057" max="13057" width="5.42578125" style="35" customWidth="1"/>
    <col min="13058" max="13058" width="6.7109375" style="35" customWidth="1"/>
    <col min="13059" max="13059" width="7.42578125" style="35" customWidth="1"/>
    <col min="13060" max="13060" width="7.140625" style="35" customWidth="1"/>
    <col min="13061" max="13061" width="9.28515625" style="35" customWidth="1"/>
    <col min="13062" max="13062" width="10.7109375" style="35" customWidth="1"/>
    <col min="13063" max="13063" width="9.140625" style="35" customWidth="1"/>
    <col min="13064" max="13300" width="9.140625" style="35"/>
    <col min="13301" max="13301" width="4.42578125" style="35" bestFit="1" customWidth="1"/>
    <col min="13302" max="13302" width="11.42578125" style="35" bestFit="1" customWidth="1"/>
    <col min="13303" max="13303" width="9.42578125" style="35" bestFit="1" customWidth="1"/>
    <col min="13304" max="13304" width="6.42578125" style="35" bestFit="1" customWidth="1"/>
    <col min="13305" max="13305" width="7.7109375" style="35" bestFit="1" customWidth="1"/>
    <col min="13306" max="13307" width="6.42578125" style="35" bestFit="1" customWidth="1"/>
    <col min="13308" max="13308" width="10" style="35" bestFit="1" customWidth="1"/>
    <col min="13309" max="13309" width="7.140625" style="35" customWidth="1"/>
    <col min="13310" max="13310" width="6.7109375" style="35" bestFit="1" customWidth="1"/>
    <col min="13311" max="13311" width="5.42578125" style="35" bestFit="1" customWidth="1"/>
    <col min="13312" max="13312" width="6.28515625" style="35" bestFit="1" customWidth="1"/>
    <col min="13313" max="13313" width="5.42578125" style="35" customWidth="1"/>
    <col min="13314" max="13314" width="6.7109375" style="35" customWidth="1"/>
    <col min="13315" max="13315" width="7.42578125" style="35" customWidth="1"/>
    <col min="13316" max="13316" width="7.140625" style="35" customWidth="1"/>
    <col min="13317" max="13317" width="9.28515625" style="35" customWidth="1"/>
    <col min="13318" max="13318" width="10.7109375" style="35" customWidth="1"/>
    <col min="13319" max="13319" width="9.140625" style="35" customWidth="1"/>
    <col min="13320" max="13556" width="9.140625" style="35"/>
    <col min="13557" max="13557" width="4.42578125" style="35" bestFit="1" customWidth="1"/>
    <col min="13558" max="13558" width="11.42578125" style="35" bestFit="1" customWidth="1"/>
    <col min="13559" max="13559" width="9.42578125" style="35" bestFit="1" customWidth="1"/>
    <col min="13560" max="13560" width="6.42578125" style="35" bestFit="1" customWidth="1"/>
    <col min="13561" max="13561" width="7.7109375" style="35" bestFit="1" customWidth="1"/>
    <col min="13562" max="13563" width="6.42578125" style="35" bestFit="1" customWidth="1"/>
    <col min="13564" max="13564" width="10" style="35" bestFit="1" customWidth="1"/>
    <col min="13565" max="13565" width="7.140625" style="35" customWidth="1"/>
    <col min="13566" max="13566" width="6.7109375" style="35" bestFit="1" customWidth="1"/>
    <col min="13567" max="13567" width="5.42578125" style="35" bestFit="1" customWidth="1"/>
    <col min="13568" max="13568" width="6.28515625" style="35" bestFit="1" customWidth="1"/>
    <col min="13569" max="13569" width="5.42578125" style="35" customWidth="1"/>
    <col min="13570" max="13570" width="6.7109375" style="35" customWidth="1"/>
    <col min="13571" max="13571" width="7.42578125" style="35" customWidth="1"/>
    <col min="13572" max="13572" width="7.140625" style="35" customWidth="1"/>
    <col min="13573" max="13573" width="9.28515625" style="35" customWidth="1"/>
    <col min="13574" max="13574" width="10.7109375" style="35" customWidth="1"/>
    <col min="13575" max="13575" width="9.140625" style="35" customWidth="1"/>
    <col min="13576" max="13812" width="9.140625" style="35"/>
    <col min="13813" max="13813" width="4.42578125" style="35" bestFit="1" customWidth="1"/>
    <col min="13814" max="13814" width="11.42578125" style="35" bestFit="1" customWidth="1"/>
    <col min="13815" max="13815" width="9.42578125" style="35" bestFit="1" customWidth="1"/>
    <col min="13816" max="13816" width="6.42578125" style="35" bestFit="1" customWidth="1"/>
    <col min="13817" max="13817" width="7.7109375" style="35" bestFit="1" customWidth="1"/>
    <col min="13818" max="13819" width="6.42578125" style="35" bestFit="1" customWidth="1"/>
    <col min="13820" max="13820" width="10" style="35" bestFit="1" customWidth="1"/>
    <col min="13821" max="13821" width="7.140625" style="35" customWidth="1"/>
    <col min="13822" max="13822" width="6.7109375" style="35" bestFit="1" customWidth="1"/>
    <col min="13823" max="13823" width="5.42578125" style="35" bestFit="1" customWidth="1"/>
    <col min="13824" max="13824" width="6.28515625" style="35" bestFit="1" customWidth="1"/>
    <col min="13825" max="13825" width="5.42578125" style="35" customWidth="1"/>
    <col min="13826" max="13826" width="6.7109375" style="35" customWidth="1"/>
    <col min="13827" max="13827" width="7.42578125" style="35" customWidth="1"/>
    <col min="13828" max="13828" width="7.140625" style="35" customWidth="1"/>
    <col min="13829" max="13829" width="9.28515625" style="35" customWidth="1"/>
    <col min="13830" max="13830" width="10.7109375" style="35" customWidth="1"/>
    <col min="13831" max="13831" width="9.140625" style="35" customWidth="1"/>
    <col min="13832" max="14068" width="9.140625" style="35"/>
    <col min="14069" max="14069" width="4.42578125" style="35" bestFit="1" customWidth="1"/>
    <col min="14070" max="14070" width="11.42578125" style="35" bestFit="1" customWidth="1"/>
    <col min="14071" max="14071" width="9.42578125" style="35" bestFit="1" customWidth="1"/>
    <col min="14072" max="14072" width="6.42578125" style="35" bestFit="1" customWidth="1"/>
    <col min="14073" max="14073" width="7.7109375" style="35" bestFit="1" customWidth="1"/>
    <col min="14074" max="14075" width="6.42578125" style="35" bestFit="1" customWidth="1"/>
    <col min="14076" max="14076" width="10" style="35" bestFit="1" customWidth="1"/>
    <col min="14077" max="14077" width="7.140625" style="35" customWidth="1"/>
    <col min="14078" max="14078" width="6.7109375" style="35" bestFit="1" customWidth="1"/>
    <col min="14079" max="14079" width="5.42578125" style="35" bestFit="1" customWidth="1"/>
    <col min="14080" max="14080" width="6.28515625" style="35" bestFit="1" customWidth="1"/>
    <col min="14081" max="14081" width="5.42578125" style="35" customWidth="1"/>
    <col min="14082" max="14082" width="6.7109375" style="35" customWidth="1"/>
    <col min="14083" max="14083" width="7.42578125" style="35" customWidth="1"/>
    <col min="14084" max="14084" width="7.140625" style="35" customWidth="1"/>
    <col min="14085" max="14085" width="9.28515625" style="35" customWidth="1"/>
    <col min="14086" max="14086" width="10.7109375" style="35" customWidth="1"/>
    <col min="14087" max="14087" width="9.140625" style="35" customWidth="1"/>
    <col min="14088" max="14324" width="9.140625" style="35"/>
    <col min="14325" max="14325" width="4.42578125" style="35" bestFit="1" customWidth="1"/>
    <col min="14326" max="14326" width="11.42578125" style="35" bestFit="1" customWidth="1"/>
    <col min="14327" max="14327" width="9.42578125" style="35" bestFit="1" customWidth="1"/>
    <col min="14328" max="14328" width="6.42578125" style="35" bestFit="1" customWidth="1"/>
    <col min="14329" max="14329" width="7.7109375" style="35" bestFit="1" customWidth="1"/>
    <col min="14330" max="14331" width="6.42578125" style="35" bestFit="1" customWidth="1"/>
    <col min="14332" max="14332" width="10" style="35" bestFit="1" customWidth="1"/>
    <col min="14333" max="14333" width="7.140625" style="35" customWidth="1"/>
    <col min="14334" max="14334" width="6.7109375" style="35" bestFit="1" customWidth="1"/>
    <col min="14335" max="14335" width="5.42578125" style="35" bestFit="1" customWidth="1"/>
    <col min="14336" max="14336" width="6.28515625" style="35" bestFit="1" customWidth="1"/>
    <col min="14337" max="14337" width="5.42578125" style="35" customWidth="1"/>
    <col min="14338" max="14338" width="6.7109375" style="35" customWidth="1"/>
    <col min="14339" max="14339" width="7.42578125" style="35" customWidth="1"/>
    <col min="14340" max="14340" width="7.140625" style="35" customWidth="1"/>
    <col min="14341" max="14341" width="9.28515625" style="35" customWidth="1"/>
    <col min="14342" max="14342" width="10.7109375" style="35" customWidth="1"/>
    <col min="14343" max="14343" width="9.140625" style="35" customWidth="1"/>
    <col min="14344" max="14580" width="9.140625" style="35"/>
    <col min="14581" max="14581" width="4.42578125" style="35" bestFit="1" customWidth="1"/>
    <col min="14582" max="14582" width="11.42578125" style="35" bestFit="1" customWidth="1"/>
    <col min="14583" max="14583" width="9.42578125" style="35" bestFit="1" customWidth="1"/>
    <col min="14584" max="14584" width="6.42578125" style="35" bestFit="1" customWidth="1"/>
    <col min="14585" max="14585" width="7.7109375" style="35" bestFit="1" customWidth="1"/>
    <col min="14586" max="14587" width="6.42578125" style="35" bestFit="1" customWidth="1"/>
    <col min="14588" max="14588" width="10" style="35" bestFit="1" customWidth="1"/>
    <col min="14589" max="14589" width="7.140625" style="35" customWidth="1"/>
    <col min="14590" max="14590" width="6.7109375" style="35" bestFit="1" customWidth="1"/>
    <col min="14591" max="14591" width="5.42578125" style="35" bestFit="1" customWidth="1"/>
    <col min="14592" max="14592" width="6.28515625" style="35" bestFit="1" customWidth="1"/>
    <col min="14593" max="14593" width="5.42578125" style="35" customWidth="1"/>
    <col min="14594" max="14594" width="6.7109375" style="35" customWidth="1"/>
    <col min="14595" max="14595" width="7.42578125" style="35" customWidth="1"/>
    <col min="14596" max="14596" width="7.140625" style="35" customWidth="1"/>
    <col min="14597" max="14597" width="9.28515625" style="35" customWidth="1"/>
    <col min="14598" max="14598" width="10.7109375" style="35" customWidth="1"/>
    <col min="14599" max="14599" width="9.140625" style="35" customWidth="1"/>
    <col min="14600" max="14836" width="9.140625" style="35"/>
    <col min="14837" max="14837" width="4.42578125" style="35" bestFit="1" customWidth="1"/>
    <col min="14838" max="14838" width="11.42578125" style="35" bestFit="1" customWidth="1"/>
    <col min="14839" max="14839" width="9.42578125" style="35" bestFit="1" customWidth="1"/>
    <col min="14840" max="14840" width="6.42578125" style="35" bestFit="1" customWidth="1"/>
    <col min="14841" max="14841" width="7.7109375" style="35" bestFit="1" customWidth="1"/>
    <col min="14842" max="14843" width="6.42578125" style="35" bestFit="1" customWidth="1"/>
    <col min="14844" max="14844" width="10" style="35" bestFit="1" customWidth="1"/>
    <col min="14845" max="14845" width="7.140625" style="35" customWidth="1"/>
    <col min="14846" max="14846" width="6.7109375" style="35" bestFit="1" customWidth="1"/>
    <col min="14847" max="14847" width="5.42578125" style="35" bestFit="1" customWidth="1"/>
    <col min="14848" max="14848" width="6.28515625" style="35" bestFit="1" customWidth="1"/>
    <col min="14849" max="14849" width="5.42578125" style="35" customWidth="1"/>
    <col min="14850" max="14850" width="6.7109375" style="35" customWidth="1"/>
    <col min="14851" max="14851" width="7.42578125" style="35" customWidth="1"/>
    <col min="14852" max="14852" width="7.140625" style="35" customWidth="1"/>
    <col min="14853" max="14853" width="9.28515625" style="35" customWidth="1"/>
    <col min="14854" max="14854" width="10.7109375" style="35" customWidth="1"/>
    <col min="14855" max="14855" width="9.140625" style="35" customWidth="1"/>
    <col min="14856" max="15092" width="9.140625" style="35"/>
    <col min="15093" max="15093" width="4.42578125" style="35" bestFit="1" customWidth="1"/>
    <col min="15094" max="15094" width="11.42578125" style="35" bestFit="1" customWidth="1"/>
    <col min="15095" max="15095" width="9.42578125" style="35" bestFit="1" customWidth="1"/>
    <col min="15096" max="15096" width="6.42578125" style="35" bestFit="1" customWidth="1"/>
    <col min="15097" max="15097" width="7.7109375" style="35" bestFit="1" customWidth="1"/>
    <col min="15098" max="15099" width="6.42578125" style="35" bestFit="1" customWidth="1"/>
    <col min="15100" max="15100" width="10" style="35" bestFit="1" customWidth="1"/>
    <col min="15101" max="15101" width="7.140625" style="35" customWidth="1"/>
    <col min="15102" max="15102" width="6.7109375" style="35" bestFit="1" customWidth="1"/>
    <col min="15103" max="15103" width="5.42578125" style="35" bestFit="1" customWidth="1"/>
    <col min="15104" max="15104" width="6.28515625" style="35" bestFit="1" customWidth="1"/>
    <col min="15105" max="15105" width="5.42578125" style="35" customWidth="1"/>
    <col min="15106" max="15106" width="6.7109375" style="35" customWidth="1"/>
    <col min="15107" max="15107" width="7.42578125" style="35" customWidth="1"/>
    <col min="15108" max="15108" width="7.140625" style="35" customWidth="1"/>
    <col min="15109" max="15109" width="9.28515625" style="35" customWidth="1"/>
    <col min="15110" max="15110" width="10.7109375" style="35" customWidth="1"/>
    <col min="15111" max="15111" width="9.140625" style="35" customWidth="1"/>
    <col min="15112" max="15348" width="9.140625" style="35"/>
    <col min="15349" max="15349" width="4.42578125" style="35" bestFit="1" customWidth="1"/>
    <col min="15350" max="15350" width="11.42578125" style="35" bestFit="1" customWidth="1"/>
    <col min="15351" max="15351" width="9.42578125" style="35" bestFit="1" customWidth="1"/>
    <col min="15352" max="15352" width="6.42578125" style="35" bestFit="1" customWidth="1"/>
    <col min="15353" max="15353" width="7.7109375" style="35" bestFit="1" customWidth="1"/>
    <col min="15354" max="15355" width="6.42578125" style="35" bestFit="1" customWidth="1"/>
    <col min="15356" max="15356" width="10" style="35" bestFit="1" customWidth="1"/>
    <col min="15357" max="15357" width="7.140625" style="35" customWidth="1"/>
    <col min="15358" max="15358" width="6.7109375" style="35" bestFit="1" customWidth="1"/>
    <col min="15359" max="15359" width="5.42578125" style="35" bestFit="1" customWidth="1"/>
    <col min="15360" max="15360" width="6.28515625" style="35" bestFit="1" customWidth="1"/>
    <col min="15361" max="15361" width="5.42578125" style="35" customWidth="1"/>
    <col min="15362" max="15362" width="6.7109375" style="35" customWidth="1"/>
    <col min="15363" max="15363" width="7.42578125" style="35" customWidth="1"/>
    <col min="15364" max="15364" width="7.140625" style="35" customWidth="1"/>
    <col min="15365" max="15365" width="9.28515625" style="35" customWidth="1"/>
    <col min="15366" max="15366" width="10.7109375" style="35" customWidth="1"/>
    <col min="15367" max="15367" width="9.140625" style="35" customWidth="1"/>
    <col min="15368" max="15604" width="9.140625" style="35"/>
    <col min="15605" max="15605" width="4.42578125" style="35" bestFit="1" customWidth="1"/>
    <col min="15606" max="15606" width="11.42578125" style="35" bestFit="1" customWidth="1"/>
    <col min="15607" max="15607" width="9.42578125" style="35" bestFit="1" customWidth="1"/>
    <col min="15608" max="15608" width="6.42578125" style="35" bestFit="1" customWidth="1"/>
    <col min="15609" max="15609" width="7.7109375" style="35" bestFit="1" customWidth="1"/>
    <col min="15610" max="15611" width="6.42578125" style="35" bestFit="1" customWidth="1"/>
    <col min="15612" max="15612" width="10" style="35" bestFit="1" customWidth="1"/>
    <col min="15613" max="15613" width="7.140625" style="35" customWidth="1"/>
    <col min="15614" max="15614" width="6.7109375" style="35" bestFit="1" customWidth="1"/>
    <col min="15615" max="15615" width="5.42578125" style="35" bestFit="1" customWidth="1"/>
    <col min="15616" max="15616" width="6.28515625" style="35" bestFit="1" customWidth="1"/>
    <col min="15617" max="15617" width="5.42578125" style="35" customWidth="1"/>
    <col min="15618" max="15618" width="6.7109375" style="35" customWidth="1"/>
    <col min="15619" max="15619" width="7.42578125" style="35" customWidth="1"/>
    <col min="15620" max="15620" width="7.140625" style="35" customWidth="1"/>
    <col min="15621" max="15621" width="9.28515625" style="35" customWidth="1"/>
    <col min="15622" max="15622" width="10.7109375" style="35" customWidth="1"/>
    <col min="15623" max="15623" width="9.140625" style="35" customWidth="1"/>
    <col min="15624" max="15860" width="9.140625" style="35"/>
    <col min="15861" max="15861" width="4.42578125" style="35" bestFit="1" customWidth="1"/>
    <col min="15862" max="15862" width="11.42578125" style="35" bestFit="1" customWidth="1"/>
    <col min="15863" max="15863" width="9.42578125" style="35" bestFit="1" customWidth="1"/>
    <col min="15864" max="15864" width="6.42578125" style="35" bestFit="1" customWidth="1"/>
    <col min="15865" max="15865" width="7.7109375" style="35" bestFit="1" customWidth="1"/>
    <col min="15866" max="15867" width="6.42578125" style="35" bestFit="1" customWidth="1"/>
    <col min="15868" max="15868" width="10" style="35" bestFit="1" customWidth="1"/>
    <col min="15869" max="15869" width="7.140625" style="35" customWidth="1"/>
    <col min="15870" max="15870" width="6.7109375" style="35" bestFit="1" customWidth="1"/>
    <col min="15871" max="15871" width="5.42578125" style="35" bestFit="1" customWidth="1"/>
    <col min="15872" max="15872" width="6.28515625" style="35" bestFit="1" customWidth="1"/>
    <col min="15873" max="15873" width="5.42578125" style="35" customWidth="1"/>
    <col min="15874" max="15874" width="6.7109375" style="35" customWidth="1"/>
    <col min="15875" max="15875" width="7.42578125" style="35" customWidth="1"/>
    <col min="15876" max="15876" width="7.140625" style="35" customWidth="1"/>
    <col min="15877" max="15877" width="9.28515625" style="35" customWidth="1"/>
    <col min="15878" max="15878" width="10.7109375" style="35" customWidth="1"/>
    <col min="15879" max="15879" width="9.140625" style="35" customWidth="1"/>
    <col min="15880" max="16116" width="9.140625" style="35"/>
    <col min="16117" max="16117" width="4.42578125" style="35" bestFit="1" customWidth="1"/>
    <col min="16118" max="16118" width="11.42578125" style="35" bestFit="1" customWidth="1"/>
    <col min="16119" max="16119" width="9.42578125" style="35" bestFit="1" customWidth="1"/>
    <col min="16120" max="16120" width="6.42578125" style="35" bestFit="1" customWidth="1"/>
    <col min="16121" max="16121" width="7.7109375" style="35" bestFit="1" customWidth="1"/>
    <col min="16122" max="16123" width="6.42578125" style="35" bestFit="1" customWidth="1"/>
    <col min="16124" max="16124" width="10" style="35" bestFit="1" customWidth="1"/>
    <col min="16125" max="16125" width="7.140625" style="35" customWidth="1"/>
    <col min="16126" max="16126" width="6.7109375" style="35" bestFit="1" customWidth="1"/>
    <col min="16127" max="16127" width="5.42578125" style="35" bestFit="1" customWidth="1"/>
    <col min="16128" max="16128" width="6.28515625" style="35" bestFit="1" customWidth="1"/>
    <col min="16129" max="16129" width="5.42578125" style="35" customWidth="1"/>
    <col min="16130" max="16130" width="6.7109375" style="35" customWidth="1"/>
    <col min="16131" max="16131" width="7.42578125" style="35" customWidth="1"/>
    <col min="16132" max="16132" width="7.140625" style="35" customWidth="1"/>
    <col min="16133" max="16133" width="9.28515625" style="35" customWidth="1"/>
    <col min="16134" max="16134" width="10.7109375" style="35" customWidth="1"/>
    <col min="16135" max="16135" width="9.140625" style="35" customWidth="1"/>
    <col min="16136" max="16372" width="9.140625" style="35"/>
    <col min="16373" max="16384" width="9.140625" style="35" customWidth="1"/>
  </cols>
  <sheetData>
    <row r="1" spans="1:21" s="34" customFormat="1" ht="44.1" customHeight="1">
      <c r="A1" s="61" t="s">
        <v>10</v>
      </c>
      <c r="B1" s="36" t="s">
        <v>11</v>
      </c>
      <c r="C1" s="36" t="s">
        <v>12</v>
      </c>
      <c r="D1" s="56" t="s">
        <v>13</v>
      </c>
      <c r="E1" s="53" t="s">
        <v>14</v>
      </c>
      <c r="F1" s="37" t="s">
        <v>15</v>
      </c>
      <c r="G1" s="37" t="s">
        <v>16</v>
      </c>
      <c r="H1" s="36" t="s">
        <v>17</v>
      </c>
      <c r="I1" s="36" t="s">
        <v>18</v>
      </c>
      <c r="J1" s="36" t="s">
        <v>19</v>
      </c>
      <c r="K1" s="36" t="s">
        <v>20</v>
      </c>
      <c r="L1" s="36" t="s">
        <v>21</v>
      </c>
      <c r="M1" s="36" t="s">
        <v>22</v>
      </c>
      <c r="N1" s="58" t="s">
        <v>23</v>
      </c>
      <c r="O1" s="58" t="s">
        <v>24</v>
      </c>
      <c r="P1" s="58" t="s">
        <v>25</v>
      </c>
      <c r="Q1" s="56" t="s">
        <v>26</v>
      </c>
      <c r="R1" s="36" t="s">
        <v>27</v>
      </c>
      <c r="S1" s="36" t="s">
        <v>28</v>
      </c>
      <c r="T1" s="38" t="s">
        <v>29</v>
      </c>
      <c r="U1" s="38" t="s">
        <v>30</v>
      </c>
    </row>
    <row r="2" spans="1:21">
      <c r="A2" s="82">
        <v>2023</v>
      </c>
      <c r="B2" s="35" t="s">
        <v>31</v>
      </c>
      <c r="C2" s="76">
        <v>28781</v>
      </c>
      <c r="D2" s="57">
        <v>23</v>
      </c>
      <c r="E2" s="78">
        <v>45082</v>
      </c>
      <c r="F2" s="35" t="s">
        <v>32</v>
      </c>
      <c r="G2" s="82" t="s">
        <v>33</v>
      </c>
      <c r="H2" s="35" t="s">
        <v>34</v>
      </c>
      <c r="I2" s="82" t="s">
        <v>33</v>
      </c>
      <c r="J2" s="35" t="s">
        <v>35</v>
      </c>
      <c r="K2" s="35" t="s">
        <v>36</v>
      </c>
      <c r="L2" s="35" t="s">
        <v>37</v>
      </c>
      <c r="M2" s="35" t="s">
        <v>38</v>
      </c>
      <c r="O2" s="60">
        <v>3</v>
      </c>
      <c r="P2" s="60">
        <v>3</v>
      </c>
      <c r="Q2" s="57">
        <v>0</v>
      </c>
      <c r="R2" s="35" t="s">
        <v>39</v>
      </c>
      <c r="T2" s="35" t="s">
        <v>40</v>
      </c>
      <c r="U2" s="35" t="s">
        <v>40</v>
      </c>
    </row>
    <row r="3" spans="1:21">
      <c r="A3" s="82">
        <v>2023</v>
      </c>
      <c r="B3" s="35" t="s">
        <v>41</v>
      </c>
      <c r="C3" s="76">
        <v>28782</v>
      </c>
      <c r="D3" s="57">
        <v>23</v>
      </c>
      <c r="E3" s="78">
        <v>45082</v>
      </c>
      <c r="F3" s="35" t="s">
        <v>32</v>
      </c>
      <c r="G3" s="82" t="s">
        <v>33</v>
      </c>
      <c r="H3" s="35" t="s">
        <v>42</v>
      </c>
      <c r="I3" s="82" t="s">
        <v>33</v>
      </c>
      <c r="J3" s="35" t="s">
        <v>35</v>
      </c>
      <c r="K3" s="35" t="s">
        <v>36</v>
      </c>
      <c r="L3" s="35" t="s">
        <v>37</v>
      </c>
      <c r="M3" s="35" t="s">
        <v>38</v>
      </c>
      <c r="O3" s="60">
        <v>4</v>
      </c>
      <c r="P3" s="60">
        <v>4</v>
      </c>
      <c r="Q3" s="57">
        <v>0</v>
      </c>
      <c r="R3" s="35" t="s">
        <v>39</v>
      </c>
      <c r="T3" s="35" t="s">
        <v>40</v>
      </c>
      <c r="U3" s="35" t="s">
        <v>40</v>
      </c>
    </row>
    <row r="4" spans="1:21">
      <c r="A4" s="82">
        <v>2023</v>
      </c>
      <c r="B4" s="35" t="s">
        <v>43</v>
      </c>
      <c r="C4" s="76">
        <v>28783</v>
      </c>
      <c r="D4" s="57">
        <v>23</v>
      </c>
      <c r="E4" s="78">
        <v>45082</v>
      </c>
      <c r="F4" s="35" t="s">
        <v>32</v>
      </c>
      <c r="G4" s="82" t="s">
        <v>33</v>
      </c>
      <c r="H4" s="35" t="s">
        <v>42</v>
      </c>
      <c r="I4" s="82" t="s">
        <v>33</v>
      </c>
      <c r="J4" s="35" t="s">
        <v>35</v>
      </c>
      <c r="K4" s="35" t="s">
        <v>36</v>
      </c>
      <c r="L4" s="35" t="s">
        <v>44</v>
      </c>
      <c r="M4" s="35" t="s">
        <v>38</v>
      </c>
      <c r="O4" s="60">
        <v>1</v>
      </c>
      <c r="P4" s="60">
        <v>1</v>
      </c>
      <c r="Q4" s="57">
        <v>0</v>
      </c>
      <c r="R4" s="35" t="s">
        <v>39</v>
      </c>
      <c r="T4" s="35" t="s">
        <v>45</v>
      </c>
      <c r="U4" s="35" t="s">
        <v>45</v>
      </c>
    </row>
    <row r="5" spans="1:21">
      <c r="A5" s="82">
        <v>2023</v>
      </c>
      <c r="B5" s="35" t="s">
        <v>46</v>
      </c>
      <c r="C5" s="76">
        <v>28784</v>
      </c>
      <c r="D5" s="57">
        <v>23</v>
      </c>
      <c r="E5" s="78">
        <v>45082</v>
      </c>
      <c r="F5" s="35" t="s">
        <v>32</v>
      </c>
      <c r="G5" s="82" t="s">
        <v>47</v>
      </c>
      <c r="H5" s="35" t="s">
        <v>48</v>
      </c>
      <c r="I5" s="82" t="s">
        <v>49</v>
      </c>
      <c r="J5" s="35" t="s">
        <v>35</v>
      </c>
      <c r="K5" s="35" t="s">
        <v>36</v>
      </c>
      <c r="L5" s="35" t="s">
        <v>37</v>
      </c>
      <c r="M5" s="35" t="s">
        <v>38</v>
      </c>
      <c r="O5" s="60">
        <v>1</v>
      </c>
      <c r="P5" s="60">
        <v>1</v>
      </c>
      <c r="Q5" s="57">
        <v>0</v>
      </c>
      <c r="R5" s="35" t="s">
        <v>39</v>
      </c>
      <c r="T5" s="35" t="s">
        <v>50</v>
      </c>
      <c r="U5" s="35" t="s">
        <v>51</v>
      </c>
    </row>
    <row r="6" spans="1:21">
      <c r="A6" s="82">
        <v>2023</v>
      </c>
      <c r="B6" s="35" t="s">
        <v>52</v>
      </c>
      <c r="C6" s="76">
        <v>28785</v>
      </c>
      <c r="D6" s="57">
        <v>23</v>
      </c>
      <c r="E6" s="78">
        <v>45082</v>
      </c>
      <c r="F6" s="35" t="s">
        <v>32</v>
      </c>
      <c r="G6" s="82" t="s">
        <v>47</v>
      </c>
      <c r="H6" s="35" t="s">
        <v>53</v>
      </c>
      <c r="I6" s="82" t="s">
        <v>49</v>
      </c>
      <c r="J6" s="35" t="s">
        <v>35</v>
      </c>
      <c r="K6" s="35" t="s">
        <v>36</v>
      </c>
      <c r="L6" s="35" t="s">
        <v>37</v>
      </c>
      <c r="M6" s="35" t="s">
        <v>38</v>
      </c>
      <c r="O6" s="60">
        <v>1</v>
      </c>
      <c r="P6" s="60">
        <v>1</v>
      </c>
      <c r="Q6" s="57">
        <v>0</v>
      </c>
      <c r="R6" s="35" t="s">
        <v>39</v>
      </c>
      <c r="T6" s="35" t="s">
        <v>50</v>
      </c>
      <c r="U6" s="35" t="s">
        <v>51</v>
      </c>
    </row>
    <row r="7" spans="1:21">
      <c r="A7" s="60">
        <v>2023</v>
      </c>
      <c r="B7" s="35" t="s">
        <v>54</v>
      </c>
      <c r="C7" s="76">
        <v>28786</v>
      </c>
      <c r="D7" s="57">
        <v>23</v>
      </c>
      <c r="E7" s="78">
        <v>45082</v>
      </c>
      <c r="F7" s="35" t="s">
        <v>32</v>
      </c>
      <c r="G7" s="82" t="s">
        <v>47</v>
      </c>
      <c r="H7" s="35" t="s">
        <v>53</v>
      </c>
      <c r="I7" s="82" t="s">
        <v>49</v>
      </c>
      <c r="J7" s="35" t="s">
        <v>35</v>
      </c>
      <c r="K7" s="35" t="s">
        <v>36</v>
      </c>
      <c r="L7" s="35" t="s">
        <v>44</v>
      </c>
      <c r="M7" s="35" t="s">
        <v>38</v>
      </c>
      <c r="O7" s="60">
        <v>2</v>
      </c>
      <c r="P7" s="60">
        <v>2</v>
      </c>
      <c r="Q7" s="57">
        <v>0</v>
      </c>
      <c r="R7" s="35" t="s">
        <v>39</v>
      </c>
      <c r="T7" s="35" t="s">
        <v>55</v>
      </c>
      <c r="U7" s="35" t="s">
        <v>56</v>
      </c>
    </row>
    <row r="8" spans="1:21">
      <c r="A8" s="60">
        <v>2023</v>
      </c>
      <c r="B8" s="35" t="s">
        <v>57</v>
      </c>
      <c r="C8" s="76">
        <v>28787</v>
      </c>
      <c r="D8" s="57">
        <v>23</v>
      </c>
      <c r="E8" s="78">
        <v>45082</v>
      </c>
      <c r="F8" s="35" t="s">
        <v>32</v>
      </c>
      <c r="G8" s="35" t="s">
        <v>47</v>
      </c>
      <c r="H8" s="35" t="s">
        <v>58</v>
      </c>
      <c r="I8" s="82" t="s">
        <v>49</v>
      </c>
      <c r="J8" s="35" t="s">
        <v>59</v>
      </c>
      <c r="K8" s="35" t="s">
        <v>36</v>
      </c>
      <c r="L8" s="35" t="s">
        <v>44</v>
      </c>
      <c r="M8" s="35" t="s">
        <v>38</v>
      </c>
      <c r="N8" s="60">
        <v>2</v>
      </c>
      <c r="P8" s="60">
        <v>2</v>
      </c>
      <c r="Q8" s="57">
        <v>0</v>
      </c>
      <c r="R8" s="35" t="s">
        <v>39</v>
      </c>
      <c r="T8" s="35" t="s">
        <v>55</v>
      </c>
      <c r="U8" s="35" t="s">
        <v>56</v>
      </c>
    </row>
    <row r="9" spans="1:21">
      <c r="A9" s="60">
        <v>2023</v>
      </c>
      <c r="B9" s="35" t="s">
        <v>60</v>
      </c>
      <c r="C9" s="76">
        <v>28788</v>
      </c>
      <c r="D9" s="57">
        <v>23</v>
      </c>
      <c r="E9" s="78">
        <v>45082</v>
      </c>
      <c r="F9" s="35" t="s">
        <v>32</v>
      </c>
      <c r="G9" s="35" t="s">
        <v>47</v>
      </c>
      <c r="H9" s="35" t="s">
        <v>61</v>
      </c>
      <c r="I9" s="82" t="s">
        <v>49</v>
      </c>
      <c r="J9" s="35" t="s">
        <v>35</v>
      </c>
      <c r="K9" s="35" t="s">
        <v>36</v>
      </c>
      <c r="L9" s="35" t="s">
        <v>37</v>
      </c>
      <c r="M9" s="35" t="s">
        <v>38</v>
      </c>
      <c r="O9" s="60">
        <v>3</v>
      </c>
      <c r="P9" s="60">
        <v>3</v>
      </c>
      <c r="Q9" s="57">
        <v>0</v>
      </c>
      <c r="R9" s="35" t="s">
        <v>39</v>
      </c>
      <c r="T9" s="35" t="s">
        <v>50</v>
      </c>
      <c r="U9" s="35" t="s">
        <v>51</v>
      </c>
    </row>
    <row r="10" spans="1:21">
      <c r="A10" s="60">
        <v>2023</v>
      </c>
      <c r="B10" s="35" t="s">
        <v>62</v>
      </c>
      <c r="C10" s="76">
        <v>28789</v>
      </c>
      <c r="D10" s="57">
        <v>23</v>
      </c>
      <c r="E10" s="78">
        <v>45082</v>
      </c>
      <c r="F10" s="35" t="s">
        <v>32</v>
      </c>
      <c r="G10" s="35" t="s">
        <v>47</v>
      </c>
      <c r="H10" s="35" t="s">
        <v>63</v>
      </c>
      <c r="I10" s="35" t="s">
        <v>49</v>
      </c>
      <c r="J10" s="35" t="s">
        <v>59</v>
      </c>
      <c r="K10" s="35" t="s">
        <v>36</v>
      </c>
      <c r="L10" s="35" t="s">
        <v>44</v>
      </c>
      <c r="M10" s="35" t="s">
        <v>38</v>
      </c>
      <c r="N10" s="60">
        <v>3</v>
      </c>
      <c r="P10" s="60">
        <v>3</v>
      </c>
      <c r="Q10" s="57">
        <v>0</v>
      </c>
      <c r="R10" s="35" t="s">
        <v>39</v>
      </c>
      <c r="T10" s="35" t="s">
        <v>55</v>
      </c>
      <c r="U10" s="35" t="s">
        <v>56</v>
      </c>
    </row>
    <row r="11" spans="1:21">
      <c r="A11" s="60">
        <v>2023</v>
      </c>
      <c r="B11" s="35" t="s">
        <v>64</v>
      </c>
      <c r="C11" s="76">
        <v>28790</v>
      </c>
      <c r="D11" s="57">
        <v>23</v>
      </c>
      <c r="E11" s="78">
        <v>45082</v>
      </c>
      <c r="F11" s="35" t="s">
        <v>32</v>
      </c>
      <c r="G11" s="35" t="s">
        <v>47</v>
      </c>
      <c r="H11" s="35" t="s">
        <v>65</v>
      </c>
      <c r="I11" s="35" t="s">
        <v>49</v>
      </c>
      <c r="J11" s="35" t="s">
        <v>35</v>
      </c>
      <c r="K11" s="35" t="s">
        <v>36</v>
      </c>
      <c r="L11" s="35" t="s">
        <v>37</v>
      </c>
      <c r="M11" s="35" t="s">
        <v>38</v>
      </c>
      <c r="O11" s="60">
        <v>2</v>
      </c>
      <c r="P11" s="60">
        <v>2</v>
      </c>
      <c r="Q11" s="57">
        <v>0</v>
      </c>
      <c r="R11" s="35" t="s">
        <v>39</v>
      </c>
      <c r="T11" s="35" t="s">
        <v>50</v>
      </c>
      <c r="U11" s="35" t="s">
        <v>51</v>
      </c>
    </row>
    <row r="12" spans="1:21">
      <c r="A12" s="60">
        <v>2023</v>
      </c>
      <c r="B12" s="35" t="s">
        <v>66</v>
      </c>
      <c r="C12" s="76">
        <v>28791</v>
      </c>
      <c r="D12" s="57">
        <v>23</v>
      </c>
      <c r="E12" s="55">
        <v>45082</v>
      </c>
      <c r="F12" s="35" t="s">
        <v>32</v>
      </c>
      <c r="G12" s="35" t="s">
        <v>47</v>
      </c>
      <c r="H12" s="35" t="s">
        <v>67</v>
      </c>
      <c r="I12" s="35" t="s">
        <v>49</v>
      </c>
      <c r="J12" s="35" t="s">
        <v>59</v>
      </c>
      <c r="K12" s="35" t="s">
        <v>36</v>
      </c>
      <c r="L12" s="35" t="s">
        <v>37</v>
      </c>
      <c r="M12" s="35" t="s">
        <v>38</v>
      </c>
      <c r="N12" s="60">
        <v>2</v>
      </c>
      <c r="P12" s="60">
        <v>2</v>
      </c>
      <c r="Q12" s="57">
        <v>0</v>
      </c>
      <c r="R12" s="35" t="s">
        <v>39</v>
      </c>
      <c r="T12" s="35" t="s">
        <v>50</v>
      </c>
      <c r="U12" s="35" t="s">
        <v>51</v>
      </c>
    </row>
    <row r="13" spans="1:21">
      <c r="A13" s="60">
        <v>2023</v>
      </c>
      <c r="B13" s="35" t="s">
        <v>68</v>
      </c>
      <c r="C13" s="76">
        <v>28792</v>
      </c>
      <c r="D13" s="57">
        <v>23</v>
      </c>
      <c r="E13" s="55">
        <v>45082</v>
      </c>
      <c r="F13" s="35" t="s">
        <v>32</v>
      </c>
      <c r="G13" s="35" t="s">
        <v>47</v>
      </c>
      <c r="H13" s="35" t="s">
        <v>67</v>
      </c>
      <c r="I13" s="35" t="s">
        <v>49</v>
      </c>
      <c r="J13" s="35" t="s">
        <v>59</v>
      </c>
      <c r="K13" s="35" t="s">
        <v>36</v>
      </c>
      <c r="L13" s="35" t="s">
        <v>44</v>
      </c>
      <c r="M13" s="35" t="s">
        <v>38</v>
      </c>
      <c r="N13" s="60">
        <v>1</v>
      </c>
      <c r="P13" s="60">
        <v>1</v>
      </c>
      <c r="Q13" s="57">
        <v>0</v>
      </c>
      <c r="R13" s="35" t="s">
        <v>39</v>
      </c>
      <c r="T13" s="35" t="s">
        <v>55</v>
      </c>
      <c r="U13" s="35" t="s">
        <v>56</v>
      </c>
    </row>
    <row r="14" spans="1:21">
      <c r="A14" s="60">
        <v>2023</v>
      </c>
      <c r="B14" s="35" t="s">
        <v>69</v>
      </c>
      <c r="C14" s="76">
        <v>28793</v>
      </c>
      <c r="D14" s="57">
        <v>23</v>
      </c>
      <c r="E14" s="55">
        <v>45082</v>
      </c>
      <c r="F14" s="35" t="s">
        <v>32</v>
      </c>
      <c r="G14" s="35" t="s">
        <v>47</v>
      </c>
      <c r="H14" s="35" t="s">
        <v>70</v>
      </c>
      <c r="I14" s="35" t="s">
        <v>71</v>
      </c>
      <c r="J14" s="35" t="s">
        <v>35</v>
      </c>
      <c r="K14" s="35" t="s">
        <v>36</v>
      </c>
      <c r="L14" s="35" t="s">
        <v>37</v>
      </c>
      <c r="M14" s="35" t="s">
        <v>38</v>
      </c>
      <c r="O14" s="60">
        <v>1</v>
      </c>
      <c r="P14" s="60">
        <v>1</v>
      </c>
      <c r="Q14" s="57">
        <v>0</v>
      </c>
      <c r="R14" s="35" t="s">
        <v>39</v>
      </c>
      <c r="T14" s="35" t="s">
        <v>50</v>
      </c>
      <c r="U14" s="35" t="s">
        <v>72</v>
      </c>
    </row>
    <row r="15" spans="1:21">
      <c r="A15" s="60">
        <v>2023</v>
      </c>
      <c r="B15" s="35" t="s">
        <v>73</v>
      </c>
      <c r="C15" s="76">
        <v>28794</v>
      </c>
      <c r="D15" s="57">
        <v>23</v>
      </c>
      <c r="E15" s="55">
        <v>45082</v>
      </c>
      <c r="F15" s="35" t="s">
        <v>32</v>
      </c>
      <c r="G15" s="35" t="s">
        <v>47</v>
      </c>
      <c r="H15" s="35" t="s">
        <v>70</v>
      </c>
      <c r="I15" s="82" t="s">
        <v>71</v>
      </c>
      <c r="J15" s="35" t="s">
        <v>35</v>
      </c>
      <c r="K15" s="35" t="s">
        <v>36</v>
      </c>
      <c r="L15" s="35" t="s">
        <v>44</v>
      </c>
      <c r="M15" s="35" t="s">
        <v>38</v>
      </c>
      <c r="O15" s="60">
        <v>1</v>
      </c>
      <c r="P15" s="60">
        <v>1</v>
      </c>
      <c r="Q15" s="57">
        <v>0</v>
      </c>
      <c r="R15" s="35" t="s">
        <v>39</v>
      </c>
      <c r="T15" s="35" t="s">
        <v>55</v>
      </c>
      <c r="U15" s="35" t="s">
        <v>74</v>
      </c>
    </row>
    <row r="16" spans="1:21">
      <c r="A16" s="60">
        <v>2023</v>
      </c>
      <c r="B16" s="35" t="s">
        <v>75</v>
      </c>
      <c r="C16" s="76">
        <v>28795</v>
      </c>
      <c r="D16" s="57">
        <v>23</v>
      </c>
      <c r="E16" s="55">
        <v>45082</v>
      </c>
      <c r="F16" s="35" t="s">
        <v>32</v>
      </c>
      <c r="G16" s="35" t="s">
        <v>47</v>
      </c>
      <c r="H16" s="35" t="s">
        <v>76</v>
      </c>
      <c r="I16" s="82" t="s">
        <v>49</v>
      </c>
      <c r="J16" s="35" t="s">
        <v>35</v>
      </c>
      <c r="K16" s="35" t="s">
        <v>36</v>
      </c>
      <c r="L16" s="35" t="s">
        <v>44</v>
      </c>
      <c r="M16" s="35" t="s">
        <v>38</v>
      </c>
      <c r="O16" s="60">
        <v>1</v>
      </c>
      <c r="P16" s="60">
        <v>1</v>
      </c>
      <c r="Q16" s="57">
        <v>0</v>
      </c>
      <c r="R16" s="35" t="s">
        <v>39</v>
      </c>
      <c r="T16" s="35" t="s">
        <v>55</v>
      </c>
      <c r="U16" s="35" t="s">
        <v>56</v>
      </c>
    </row>
    <row r="17" spans="1:21">
      <c r="A17" s="60">
        <v>2023</v>
      </c>
      <c r="B17" s="75" t="s">
        <v>77</v>
      </c>
      <c r="C17" s="76">
        <v>28796</v>
      </c>
      <c r="D17" s="77">
        <v>23</v>
      </c>
      <c r="E17" s="78">
        <v>45083</v>
      </c>
      <c r="F17" s="79" t="s">
        <v>32</v>
      </c>
      <c r="G17" s="80" t="s">
        <v>33</v>
      </c>
      <c r="H17" s="80" t="s">
        <v>78</v>
      </c>
      <c r="I17" s="80" t="s">
        <v>33</v>
      </c>
      <c r="J17" s="80" t="s">
        <v>35</v>
      </c>
      <c r="K17" s="79" t="s">
        <v>36</v>
      </c>
      <c r="L17" s="35" t="s">
        <v>37</v>
      </c>
      <c r="M17" s="79" t="s">
        <v>38</v>
      </c>
      <c r="N17" s="81"/>
      <c r="O17" s="81">
        <v>21</v>
      </c>
      <c r="P17" s="81">
        <v>21</v>
      </c>
      <c r="Q17" s="57">
        <v>0</v>
      </c>
      <c r="R17" s="35" t="s">
        <v>39</v>
      </c>
      <c r="T17" s="35" t="s">
        <v>40</v>
      </c>
      <c r="U17" s="35" t="s">
        <v>40</v>
      </c>
    </row>
    <row r="18" spans="1:21">
      <c r="A18" s="60">
        <v>2023</v>
      </c>
      <c r="B18" s="75" t="s">
        <v>79</v>
      </c>
      <c r="C18" s="76">
        <v>28797</v>
      </c>
      <c r="D18" s="77">
        <v>23</v>
      </c>
      <c r="E18" s="78">
        <v>45083</v>
      </c>
      <c r="F18" s="79" t="s">
        <v>32</v>
      </c>
      <c r="G18" s="80" t="s">
        <v>33</v>
      </c>
      <c r="H18" s="80" t="s">
        <v>80</v>
      </c>
      <c r="I18" s="80" t="s">
        <v>33</v>
      </c>
      <c r="J18" s="80" t="s">
        <v>35</v>
      </c>
      <c r="K18" s="79" t="s">
        <v>36</v>
      </c>
      <c r="L18" s="35" t="s">
        <v>37</v>
      </c>
      <c r="M18" s="79" t="s">
        <v>38</v>
      </c>
      <c r="N18" s="81"/>
      <c r="O18" s="81">
        <v>50</v>
      </c>
      <c r="P18" s="81">
        <v>50</v>
      </c>
      <c r="Q18" s="57">
        <v>0</v>
      </c>
      <c r="R18" s="35" t="s">
        <v>39</v>
      </c>
      <c r="T18" s="35" t="s">
        <v>40</v>
      </c>
      <c r="U18" s="35" t="s">
        <v>40</v>
      </c>
    </row>
    <row r="19" spans="1:21">
      <c r="A19" s="60">
        <v>2023</v>
      </c>
      <c r="B19" s="75" t="s">
        <v>81</v>
      </c>
      <c r="C19" s="76">
        <v>28798</v>
      </c>
      <c r="D19" s="77">
        <v>23</v>
      </c>
      <c r="E19" s="78">
        <v>45083</v>
      </c>
      <c r="F19" s="79" t="s">
        <v>32</v>
      </c>
      <c r="G19" s="80" t="s">
        <v>33</v>
      </c>
      <c r="H19" s="80" t="s">
        <v>80</v>
      </c>
      <c r="I19" s="80" t="s">
        <v>33</v>
      </c>
      <c r="J19" s="80" t="s">
        <v>35</v>
      </c>
      <c r="K19" s="79" t="s">
        <v>36</v>
      </c>
      <c r="L19" s="35" t="s">
        <v>37</v>
      </c>
      <c r="M19" s="79" t="s">
        <v>38</v>
      </c>
      <c r="N19" s="81"/>
      <c r="O19" s="81">
        <v>47</v>
      </c>
      <c r="P19" s="81">
        <v>47</v>
      </c>
      <c r="Q19" s="57">
        <v>0</v>
      </c>
      <c r="R19" s="35" t="s">
        <v>39</v>
      </c>
      <c r="T19" s="35" t="s">
        <v>40</v>
      </c>
      <c r="U19" s="35" t="s">
        <v>40</v>
      </c>
    </row>
    <row r="20" spans="1:21">
      <c r="A20" s="60">
        <v>2023</v>
      </c>
      <c r="B20" s="75" t="s">
        <v>82</v>
      </c>
      <c r="C20" s="76">
        <v>28799</v>
      </c>
      <c r="D20" s="77">
        <v>23</v>
      </c>
      <c r="E20" s="78">
        <v>45083</v>
      </c>
      <c r="F20" s="79" t="s">
        <v>32</v>
      </c>
      <c r="G20" s="80" t="s">
        <v>33</v>
      </c>
      <c r="H20" s="80" t="s">
        <v>80</v>
      </c>
      <c r="I20" s="80" t="s">
        <v>33</v>
      </c>
      <c r="J20" s="80" t="s">
        <v>35</v>
      </c>
      <c r="K20" s="79" t="s">
        <v>36</v>
      </c>
      <c r="L20" s="35" t="s">
        <v>44</v>
      </c>
      <c r="M20" s="79" t="s">
        <v>38</v>
      </c>
      <c r="N20" s="81"/>
      <c r="O20" s="81">
        <v>4</v>
      </c>
      <c r="P20" s="81">
        <v>4</v>
      </c>
      <c r="Q20" s="57">
        <v>0</v>
      </c>
      <c r="R20" s="35" t="s">
        <v>39</v>
      </c>
      <c r="T20" s="35" t="s">
        <v>45</v>
      </c>
      <c r="U20" s="35" t="s">
        <v>45</v>
      </c>
    </row>
    <row r="21" spans="1:21">
      <c r="A21" s="60">
        <v>2023</v>
      </c>
      <c r="B21" s="75" t="s">
        <v>83</v>
      </c>
      <c r="C21" s="76">
        <v>28800</v>
      </c>
      <c r="D21" s="77">
        <v>23</v>
      </c>
      <c r="E21" s="78">
        <v>45083</v>
      </c>
      <c r="F21" s="79" t="s">
        <v>32</v>
      </c>
      <c r="G21" s="80" t="s">
        <v>33</v>
      </c>
      <c r="H21" s="80" t="s">
        <v>84</v>
      </c>
      <c r="I21" s="80" t="s">
        <v>33</v>
      </c>
      <c r="J21" s="80" t="s">
        <v>35</v>
      </c>
      <c r="K21" s="79" t="s">
        <v>36</v>
      </c>
      <c r="L21" s="35" t="s">
        <v>37</v>
      </c>
      <c r="M21" s="79" t="s">
        <v>38</v>
      </c>
      <c r="N21" s="81"/>
      <c r="O21" s="81">
        <v>2</v>
      </c>
      <c r="P21" s="81">
        <v>2</v>
      </c>
      <c r="Q21" s="57">
        <v>0</v>
      </c>
      <c r="R21" s="35" t="s">
        <v>39</v>
      </c>
      <c r="T21" s="35" t="s">
        <v>40</v>
      </c>
      <c r="U21" s="35" t="s">
        <v>40</v>
      </c>
    </row>
    <row r="22" spans="1:21">
      <c r="A22" s="60">
        <v>2023</v>
      </c>
      <c r="B22" s="75" t="s">
        <v>85</v>
      </c>
      <c r="C22" s="76">
        <v>28801</v>
      </c>
      <c r="D22" s="77">
        <v>23</v>
      </c>
      <c r="E22" s="78">
        <v>45083</v>
      </c>
      <c r="F22" s="79" t="s">
        <v>32</v>
      </c>
      <c r="G22" s="80" t="s">
        <v>47</v>
      </c>
      <c r="H22" s="80" t="s">
        <v>86</v>
      </c>
      <c r="I22" s="80" t="s">
        <v>87</v>
      </c>
      <c r="J22" s="80" t="s">
        <v>35</v>
      </c>
      <c r="K22" s="79" t="s">
        <v>36</v>
      </c>
      <c r="L22" s="35" t="s">
        <v>37</v>
      </c>
      <c r="M22" s="79" t="s">
        <v>38</v>
      </c>
      <c r="N22" s="81"/>
      <c r="O22" s="81">
        <v>2</v>
      </c>
      <c r="P22" s="81">
        <v>2</v>
      </c>
      <c r="Q22" s="57">
        <v>0</v>
      </c>
      <c r="R22" s="35" t="s">
        <v>39</v>
      </c>
      <c r="T22" s="35" t="s">
        <v>50</v>
      </c>
      <c r="U22" s="35" t="s">
        <v>88</v>
      </c>
    </row>
    <row r="23" spans="1:21">
      <c r="A23" s="60">
        <v>2023</v>
      </c>
      <c r="B23" s="35" t="s">
        <v>89</v>
      </c>
      <c r="C23" s="76">
        <v>28802</v>
      </c>
      <c r="D23" s="57">
        <v>23</v>
      </c>
      <c r="E23" s="78">
        <v>45083</v>
      </c>
      <c r="F23" s="35" t="s">
        <v>32</v>
      </c>
      <c r="G23" s="82" t="s">
        <v>47</v>
      </c>
      <c r="H23" s="35" t="s">
        <v>90</v>
      </c>
      <c r="I23" s="82" t="s">
        <v>87</v>
      </c>
      <c r="J23" s="35" t="s">
        <v>35</v>
      </c>
      <c r="K23" s="35" t="s">
        <v>36</v>
      </c>
      <c r="L23" s="82" t="s">
        <v>37</v>
      </c>
      <c r="M23" s="35" t="s">
        <v>38</v>
      </c>
      <c r="O23" s="60">
        <v>5</v>
      </c>
      <c r="P23" s="60">
        <v>5</v>
      </c>
      <c r="Q23" s="57">
        <v>0</v>
      </c>
      <c r="R23" s="35" t="s">
        <v>39</v>
      </c>
      <c r="T23" s="35" t="s">
        <v>50</v>
      </c>
      <c r="U23" s="35" t="s">
        <v>88</v>
      </c>
    </row>
    <row r="24" spans="1:21">
      <c r="A24" s="60">
        <v>2023</v>
      </c>
      <c r="B24" s="35" t="s">
        <v>91</v>
      </c>
      <c r="C24" s="76">
        <v>28803</v>
      </c>
      <c r="D24" s="57">
        <v>23</v>
      </c>
      <c r="E24" s="78">
        <v>45083</v>
      </c>
      <c r="F24" s="35" t="s">
        <v>32</v>
      </c>
      <c r="G24" s="82" t="s">
        <v>47</v>
      </c>
      <c r="H24" s="35" t="s">
        <v>92</v>
      </c>
      <c r="I24" s="82" t="s">
        <v>87</v>
      </c>
      <c r="J24" s="35" t="s">
        <v>35</v>
      </c>
      <c r="K24" s="35" t="s">
        <v>36</v>
      </c>
      <c r="L24" s="82" t="s">
        <v>37</v>
      </c>
      <c r="M24" s="35" t="s">
        <v>38</v>
      </c>
      <c r="O24" s="60">
        <v>2</v>
      </c>
      <c r="P24" s="60">
        <v>2</v>
      </c>
      <c r="Q24" s="57">
        <v>0</v>
      </c>
      <c r="R24" s="35" t="s">
        <v>39</v>
      </c>
      <c r="T24" s="35" t="s">
        <v>50</v>
      </c>
      <c r="U24" s="35" t="s">
        <v>88</v>
      </c>
    </row>
    <row r="25" spans="1:21">
      <c r="A25" s="60">
        <v>2023</v>
      </c>
      <c r="B25" s="35" t="s">
        <v>93</v>
      </c>
      <c r="C25" s="76">
        <v>28804</v>
      </c>
      <c r="D25" s="57">
        <v>23</v>
      </c>
      <c r="E25" s="78">
        <v>45083</v>
      </c>
      <c r="F25" s="35" t="s">
        <v>32</v>
      </c>
      <c r="G25" s="82" t="s">
        <v>47</v>
      </c>
      <c r="H25" s="35" t="s">
        <v>94</v>
      </c>
      <c r="I25" s="82" t="s">
        <v>87</v>
      </c>
      <c r="J25" s="35" t="s">
        <v>35</v>
      </c>
      <c r="K25" s="35" t="s">
        <v>36</v>
      </c>
      <c r="L25" s="82" t="s">
        <v>37</v>
      </c>
      <c r="M25" s="35" t="s">
        <v>38</v>
      </c>
      <c r="O25" s="60">
        <v>2</v>
      </c>
      <c r="P25" s="60">
        <v>2</v>
      </c>
      <c r="Q25" s="57">
        <v>0</v>
      </c>
      <c r="R25" s="35" t="s">
        <v>39</v>
      </c>
      <c r="T25" s="35" t="s">
        <v>50</v>
      </c>
      <c r="U25" s="35" t="s">
        <v>88</v>
      </c>
    </row>
    <row r="26" spans="1:21">
      <c r="A26" s="60">
        <v>2023</v>
      </c>
      <c r="B26" s="35" t="s">
        <v>95</v>
      </c>
      <c r="C26" s="76">
        <v>28805</v>
      </c>
      <c r="D26" s="57">
        <v>23</v>
      </c>
      <c r="E26" s="78">
        <v>45083</v>
      </c>
      <c r="F26" s="35" t="s">
        <v>32</v>
      </c>
      <c r="G26" s="82" t="s">
        <v>47</v>
      </c>
      <c r="H26" s="35" t="s">
        <v>94</v>
      </c>
      <c r="I26" s="82" t="s">
        <v>87</v>
      </c>
      <c r="J26" s="35" t="s">
        <v>35</v>
      </c>
      <c r="K26" s="35" t="s">
        <v>36</v>
      </c>
      <c r="L26" s="82" t="s">
        <v>44</v>
      </c>
      <c r="M26" s="35" t="s">
        <v>38</v>
      </c>
      <c r="O26" s="60">
        <v>1</v>
      </c>
      <c r="P26" s="60">
        <v>1</v>
      </c>
      <c r="Q26" s="57">
        <v>0</v>
      </c>
      <c r="R26" s="35" t="s">
        <v>39</v>
      </c>
      <c r="T26" s="35" t="s">
        <v>55</v>
      </c>
      <c r="U26" s="35" t="s">
        <v>96</v>
      </c>
    </row>
    <row r="27" spans="1:21">
      <c r="A27" s="74">
        <v>2023</v>
      </c>
      <c r="B27" s="35" t="s">
        <v>97</v>
      </c>
      <c r="C27" s="76">
        <v>28806</v>
      </c>
      <c r="D27" s="57">
        <v>23</v>
      </c>
      <c r="E27" s="78">
        <v>45083</v>
      </c>
      <c r="F27" s="35" t="s">
        <v>32</v>
      </c>
      <c r="G27" s="82" t="s">
        <v>47</v>
      </c>
      <c r="H27" s="35" t="s">
        <v>98</v>
      </c>
      <c r="I27" s="82" t="s">
        <v>87</v>
      </c>
      <c r="J27" s="35" t="s">
        <v>35</v>
      </c>
      <c r="K27" s="35" t="s">
        <v>36</v>
      </c>
      <c r="L27" s="82" t="s">
        <v>37</v>
      </c>
      <c r="M27" s="35" t="s">
        <v>38</v>
      </c>
      <c r="O27" s="60">
        <v>6</v>
      </c>
      <c r="P27" s="60">
        <v>6</v>
      </c>
      <c r="Q27" s="57">
        <v>0</v>
      </c>
      <c r="R27" s="35" t="s">
        <v>39</v>
      </c>
      <c r="T27" s="35" t="s">
        <v>50</v>
      </c>
      <c r="U27" s="35" t="s">
        <v>88</v>
      </c>
    </row>
    <row r="28" spans="1:21">
      <c r="A28" s="74">
        <v>2023</v>
      </c>
      <c r="B28" s="82" t="s">
        <v>99</v>
      </c>
      <c r="C28" s="76">
        <v>28807</v>
      </c>
      <c r="D28" s="76">
        <v>23</v>
      </c>
      <c r="E28" s="78">
        <v>45083</v>
      </c>
      <c r="F28" s="82" t="s">
        <v>32</v>
      </c>
      <c r="G28" s="82" t="s">
        <v>47</v>
      </c>
      <c r="H28" s="82" t="s">
        <v>100</v>
      </c>
      <c r="I28" s="35" t="s">
        <v>87</v>
      </c>
      <c r="J28" s="82" t="s">
        <v>35</v>
      </c>
      <c r="K28" s="82" t="s">
        <v>36</v>
      </c>
      <c r="L28" s="82" t="s">
        <v>37</v>
      </c>
      <c r="M28" s="82" t="s">
        <v>38</v>
      </c>
      <c r="N28" s="82"/>
      <c r="O28" s="82">
        <v>8</v>
      </c>
      <c r="P28" s="82">
        <v>8</v>
      </c>
      <c r="Q28" s="57">
        <v>0</v>
      </c>
      <c r="R28" s="35" t="s">
        <v>39</v>
      </c>
      <c r="T28" s="35" t="s">
        <v>50</v>
      </c>
      <c r="U28" s="35" t="s">
        <v>88</v>
      </c>
    </row>
    <row r="29" spans="1:21">
      <c r="A29" s="60">
        <v>2023</v>
      </c>
      <c r="B29" s="82" t="s">
        <v>101</v>
      </c>
      <c r="C29" s="76">
        <v>28808</v>
      </c>
      <c r="D29" s="76">
        <v>23</v>
      </c>
      <c r="E29" s="78">
        <v>45083</v>
      </c>
      <c r="F29" s="82" t="s">
        <v>32</v>
      </c>
      <c r="G29" s="82" t="s">
        <v>47</v>
      </c>
      <c r="H29" s="82" t="s">
        <v>102</v>
      </c>
      <c r="I29" s="35" t="s">
        <v>87</v>
      </c>
      <c r="J29" s="82" t="s">
        <v>35</v>
      </c>
      <c r="K29" s="82" t="s">
        <v>36</v>
      </c>
      <c r="L29" s="82" t="s">
        <v>37</v>
      </c>
      <c r="M29" s="82" t="s">
        <v>38</v>
      </c>
      <c r="N29" s="82"/>
      <c r="O29" s="82">
        <v>1</v>
      </c>
      <c r="P29" s="82">
        <v>1</v>
      </c>
      <c r="Q29" s="57">
        <v>0</v>
      </c>
      <c r="R29" s="35" t="s">
        <v>39</v>
      </c>
      <c r="T29" s="35" t="s">
        <v>50</v>
      </c>
      <c r="U29" s="35" t="s">
        <v>88</v>
      </c>
    </row>
    <row r="30" spans="1:21">
      <c r="A30" s="60">
        <v>2023</v>
      </c>
      <c r="B30" s="82" t="s">
        <v>103</v>
      </c>
      <c r="C30" s="76">
        <v>28809</v>
      </c>
      <c r="D30" s="76">
        <v>23</v>
      </c>
      <c r="E30" s="78">
        <v>45083</v>
      </c>
      <c r="F30" s="82" t="s">
        <v>32</v>
      </c>
      <c r="G30" s="82" t="s">
        <v>47</v>
      </c>
      <c r="H30" s="82" t="s">
        <v>104</v>
      </c>
      <c r="I30" s="35" t="s">
        <v>87</v>
      </c>
      <c r="J30" s="82" t="s">
        <v>35</v>
      </c>
      <c r="K30" s="82" t="s">
        <v>36</v>
      </c>
      <c r="L30" s="82" t="s">
        <v>37</v>
      </c>
      <c r="M30" s="82" t="s">
        <v>38</v>
      </c>
      <c r="N30" s="82"/>
      <c r="O30" s="82">
        <v>14</v>
      </c>
      <c r="P30" s="82">
        <v>14</v>
      </c>
      <c r="Q30" s="57">
        <v>0</v>
      </c>
      <c r="R30" s="35" t="s">
        <v>39</v>
      </c>
      <c r="T30" s="35" t="s">
        <v>50</v>
      </c>
      <c r="U30" s="35" t="s">
        <v>88</v>
      </c>
    </row>
    <row r="31" spans="1:21">
      <c r="A31" s="60">
        <v>2023</v>
      </c>
      <c r="B31" s="82" t="s">
        <v>105</v>
      </c>
      <c r="C31" s="76">
        <v>28810</v>
      </c>
      <c r="D31" s="76">
        <v>23</v>
      </c>
      <c r="E31" s="78">
        <v>45083</v>
      </c>
      <c r="F31" s="82" t="s">
        <v>32</v>
      </c>
      <c r="G31" s="82" t="s">
        <v>47</v>
      </c>
      <c r="H31" s="82" t="s">
        <v>104</v>
      </c>
      <c r="I31" s="35" t="s">
        <v>87</v>
      </c>
      <c r="J31" s="82" t="s">
        <v>35</v>
      </c>
      <c r="K31" s="82" t="s">
        <v>36</v>
      </c>
      <c r="L31" s="82" t="s">
        <v>44</v>
      </c>
      <c r="M31" s="82" t="s">
        <v>38</v>
      </c>
      <c r="N31" s="82"/>
      <c r="O31" s="82">
        <v>1</v>
      </c>
      <c r="P31" s="82">
        <v>1</v>
      </c>
      <c r="Q31" s="57">
        <v>0</v>
      </c>
      <c r="R31" s="35" t="s">
        <v>39</v>
      </c>
      <c r="T31" s="35" t="s">
        <v>55</v>
      </c>
      <c r="U31" s="35" t="s">
        <v>96</v>
      </c>
    </row>
    <row r="32" spans="1:21">
      <c r="A32" s="82">
        <v>2023</v>
      </c>
      <c r="B32" s="82" t="s">
        <v>106</v>
      </c>
      <c r="C32" s="76">
        <v>28811</v>
      </c>
      <c r="D32" s="76">
        <v>23</v>
      </c>
      <c r="E32" s="78">
        <v>45083</v>
      </c>
      <c r="F32" s="82" t="s">
        <v>32</v>
      </c>
      <c r="G32" s="82" t="s">
        <v>47</v>
      </c>
      <c r="H32" s="82" t="s">
        <v>107</v>
      </c>
      <c r="I32" s="35" t="s">
        <v>87</v>
      </c>
      <c r="J32" s="82" t="s">
        <v>59</v>
      </c>
      <c r="K32" s="82" t="s">
        <v>36</v>
      </c>
      <c r="L32" s="82" t="s">
        <v>44</v>
      </c>
      <c r="M32" s="82" t="s">
        <v>38</v>
      </c>
      <c r="N32" s="82">
        <v>11</v>
      </c>
      <c r="O32" s="82"/>
      <c r="P32" s="82">
        <v>11</v>
      </c>
      <c r="Q32" s="57">
        <v>0</v>
      </c>
      <c r="R32" s="35" t="s">
        <v>39</v>
      </c>
      <c r="T32" s="35" t="s">
        <v>55</v>
      </c>
      <c r="U32" s="35" t="s">
        <v>96</v>
      </c>
    </row>
    <row r="33" spans="1:21">
      <c r="A33" s="82">
        <v>2023</v>
      </c>
      <c r="B33" s="82" t="s">
        <v>108</v>
      </c>
      <c r="C33" s="76">
        <v>28812</v>
      </c>
      <c r="D33" s="76">
        <v>23</v>
      </c>
      <c r="E33" s="78">
        <v>45083</v>
      </c>
      <c r="F33" s="82" t="s">
        <v>32</v>
      </c>
      <c r="G33" s="82" t="s">
        <v>47</v>
      </c>
      <c r="H33" s="82" t="s">
        <v>109</v>
      </c>
      <c r="I33" s="35" t="s">
        <v>87</v>
      </c>
      <c r="J33" s="82" t="s">
        <v>35</v>
      </c>
      <c r="K33" s="82" t="s">
        <v>36</v>
      </c>
      <c r="L33" s="82" t="s">
        <v>37</v>
      </c>
      <c r="M33" s="82" t="s">
        <v>38</v>
      </c>
      <c r="N33" s="82"/>
      <c r="O33" s="82">
        <v>5</v>
      </c>
      <c r="P33" s="82">
        <v>5</v>
      </c>
      <c r="Q33" s="57">
        <v>0</v>
      </c>
      <c r="R33" s="35" t="s">
        <v>39</v>
      </c>
      <c r="T33" s="35" t="s">
        <v>50</v>
      </c>
      <c r="U33" s="35" t="s">
        <v>88</v>
      </c>
    </row>
    <row r="34" spans="1:21">
      <c r="A34" s="82">
        <v>2023</v>
      </c>
      <c r="B34" s="82" t="s">
        <v>110</v>
      </c>
      <c r="C34" s="76">
        <v>28813</v>
      </c>
      <c r="D34" s="76">
        <v>23</v>
      </c>
      <c r="E34" s="78">
        <v>45083</v>
      </c>
      <c r="F34" s="82" t="s">
        <v>32</v>
      </c>
      <c r="G34" s="82" t="s">
        <v>47</v>
      </c>
      <c r="H34" s="82" t="s">
        <v>111</v>
      </c>
      <c r="I34" s="35" t="s">
        <v>87</v>
      </c>
      <c r="J34" s="82" t="s">
        <v>35</v>
      </c>
      <c r="K34" s="82" t="s">
        <v>36</v>
      </c>
      <c r="L34" s="82" t="s">
        <v>37</v>
      </c>
      <c r="M34" s="82" t="s">
        <v>38</v>
      </c>
      <c r="N34" s="82"/>
      <c r="O34" s="82">
        <v>2</v>
      </c>
      <c r="P34" s="82">
        <v>2</v>
      </c>
      <c r="Q34" s="57">
        <v>0</v>
      </c>
      <c r="R34" s="35" t="s">
        <v>39</v>
      </c>
      <c r="T34" s="35" t="s">
        <v>50</v>
      </c>
      <c r="U34" s="35" t="s">
        <v>88</v>
      </c>
    </row>
    <row r="35" spans="1:21">
      <c r="A35" s="82">
        <v>2023</v>
      </c>
      <c r="B35" s="82" t="s">
        <v>112</v>
      </c>
      <c r="C35" s="76">
        <v>28814</v>
      </c>
      <c r="D35" s="76">
        <v>23</v>
      </c>
      <c r="E35" s="78">
        <v>45083</v>
      </c>
      <c r="F35" s="82" t="s">
        <v>32</v>
      </c>
      <c r="G35" s="82" t="s">
        <v>47</v>
      </c>
      <c r="H35" s="82" t="s">
        <v>111</v>
      </c>
      <c r="I35" s="35" t="s">
        <v>87</v>
      </c>
      <c r="J35" s="82" t="s">
        <v>35</v>
      </c>
      <c r="K35" s="82" t="s">
        <v>36</v>
      </c>
      <c r="L35" s="82" t="s">
        <v>44</v>
      </c>
      <c r="M35" s="82" t="s">
        <v>38</v>
      </c>
      <c r="N35" s="82"/>
      <c r="O35" s="82">
        <v>2</v>
      </c>
      <c r="P35" s="82">
        <v>2</v>
      </c>
      <c r="Q35" s="57">
        <v>0</v>
      </c>
      <c r="R35" s="35" t="s">
        <v>39</v>
      </c>
      <c r="T35" s="35" t="s">
        <v>55</v>
      </c>
      <c r="U35" s="35" t="s">
        <v>96</v>
      </c>
    </row>
    <row r="36" spans="1:21">
      <c r="A36" s="82">
        <v>2023</v>
      </c>
      <c r="B36" s="82" t="s">
        <v>113</v>
      </c>
      <c r="C36" s="76">
        <v>28815</v>
      </c>
      <c r="D36" s="76">
        <v>23</v>
      </c>
      <c r="E36" s="78">
        <v>45083</v>
      </c>
      <c r="F36" s="82" t="s">
        <v>32</v>
      </c>
      <c r="G36" s="82" t="s">
        <v>47</v>
      </c>
      <c r="H36" s="82" t="s">
        <v>114</v>
      </c>
      <c r="I36" s="35" t="s">
        <v>87</v>
      </c>
      <c r="J36" s="82" t="s">
        <v>35</v>
      </c>
      <c r="K36" s="82" t="s">
        <v>36</v>
      </c>
      <c r="L36" s="82" t="s">
        <v>37</v>
      </c>
      <c r="M36" s="82" t="s">
        <v>38</v>
      </c>
      <c r="N36" s="82"/>
      <c r="O36" s="82">
        <v>7</v>
      </c>
      <c r="P36" s="82">
        <v>7</v>
      </c>
      <c r="Q36" s="57">
        <v>0</v>
      </c>
      <c r="R36" s="35" t="s">
        <v>39</v>
      </c>
      <c r="T36" s="35" t="s">
        <v>50</v>
      </c>
      <c r="U36" s="35" t="s">
        <v>88</v>
      </c>
    </row>
    <row r="37" spans="1:21">
      <c r="A37" s="82">
        <v>2023</v>
      </c>
      <c r="B37" s="82" t="s">
        <v>115</v>
      </c>
      <c r="C37" s="76">
        <v>28816</v>
      </c>
      <c r="D37" s="76">
        <v>23</v>
      </c>
      <c r="E37" s="78">
        <v>45083</v>
      </c>
      <c r="F37" s="82" t="s">
        <v>32</v>
      </c>
      <c r="G37" s="82" t="s">
        <v>47</v>
      </c>
      <c r="H37" s="82" t="s">
        <v>114</v>
      </c>
      <c r="I37" s="35" t="s">
        <v>87</v>
      </c>
      <c r="J37" s="82" t="s">
        <v>35</v>
      </c>
      <c r="K37" s="82" t="s">
        <v>36</v>
      </c>
      <c r="L37" s="82" t="s">
        <v>44</v>
      </c>
      <c r="M37" s="82" t="s">
        <v>38</v>
      </c>
      <c r="N37" s="82"/>
      <c r="O37" s="82">
        <v>3</v>
      </c>
      <c r="P37" s="82">
        <v>3</v>
      </c>
      <c r="Q37" s="57">
        <v>0</v>
      </c>
      <c r="R37" s="35" t="s">
        <v>39</v>
      </c>
      <c r="T37" s="35" t="s">
        <v>55</v>
      </c>
      <c r="U37" s="35" t="s">
        <v>96</v>
      </c>
    </row>
    <row r="38" spans="1:21">
      <c r="A38" s="82">
        <v>2023</v>
      </c>
      <c r="B38" s="82" t="s">
        <v>116</v>
      </c>
      <c r="C38" s="76">
        <v>28817</v>
      </c>
      <c r="D38" s="76">
        <v>23</v>
      </c>
      <c r="E38" s="78">
        <v>45083</v>
      </c>
      <c r="F38" s="82" t="s">
        <v>32</v>
      </c>
      <c r="G38" s="82" t="s">
        <v>47</v>
      </c>
      <c r="H38" s="82" t="s">
        <v>117</v>
      </c>
      <c r="I38" s="35" t="s">
        <v>87</v>
      </c>
      <c r="J38" s="82" t="s">
        <v>35</v>
      </c>
      <c r="K38" s="82" t="s">
        <v>36</v>
      </c>
      <c r="L38" s="82" t="s">
        <v>37</v>
      </c>
      <c r="M38" s="82" t="s">
        <v>38</v>
      </c>
      <c r="N38" s="82"/>
      <c r="O38" s="82">
        <v>6</v>
      </c>
      <c r="P38" s="82">
        <v>6</v>
      </c>
      <c r="Q38" s="57">
        <v>0</v>
      </c>
      <c r="R38" s="35" t="s">
        <v>39</v>
      </c>
      <c r="T38" s="35" t="s">
        <v>50</v>
      </c>
      <c r="U38" s="35" t="s">
        <v>88</v>
      </c>
    </row>
    <row r="39" spans="1:21">
      <c r="A39" s="82">
        <v>2023</v>
      </c>
      <c r="B39" s="82" t="s">
        <v>118</v>
      </c>
      <c r="C39" s="76">
        <v>28818</v>
      </c>
      <c r="D39" s="76">
        <v>23</v>
      </c>
      <c r="E39" s="78">
        <v>45083</v>
      </c>
      <c r="F39" s="82" t="s">
        <v>32</v>
      </c>
      <c r="G39" s="82" t="s">
        <v>47</v>
      </c>
      <c r="H39" s="82" t="s">
        <v>119</v>
      </c>
      <c r="I39" s="35" t="s">
        <v>87</v>
      </c>
      <c r="J39" s="82" t="s">
        <v>35</v>
      </c>
      <c r="K39" s="82" t="s">
        <v>36</v>
      </c>
      <c r="L39" s="82" t="s">
        <v>37</v>
      </c>
      <c r="M39" s="82" t="s">
        <v>38</v>
      </c>
      <c r="N39" s="82"/>
      <c r="O39" s="82">
        <v>7</v>
      </c>
      <c r="P39" s="82">
        <v>7</v>
      </c>
      <c r="Q39" s="57">
        <v>0</v>
      </c>
      <c r="R39" s="35" t="s">
        <v>39</v>
      </c>
      <c r="T39" s="35" t="s">
        <v>50</v>
      </c>
      <c r="U39" s="35" t="s">
        <v>88</v>
      </c>
    </row>
    <row r="40" spans="1:21">
      <c r="A40" s="82">
        <v>2023</v>
      </c>
      <c r="B40" s="82" t="s">
        <v>120</v>
      </c>
      <c r="C40" s="76">
        <v>28819</v>
      </c>
      <c r="D40" s="76">
        <v>23</v>
      </c>
      <c r="E40" s="78">
        <v>45083</v>
      </c>
      <c r="F40" s="82" t="s">
        <v>32</v>
      </c>
      <c r="G40" s="82" t="s">
        <v>47</v>
      </c>
      <c r="H40" s="82" t="s">
        <v>119</v>
      </c>
      <c r="I40" s="35" t="s">
        <v>87</v>
      </c>
      <c r="J40" s="82" t="s">
        <v>35</v>
      </c>
      <c r="K40" s="82" t="s">
        <v>36</v>
      </c>
      <c r="L40" s="82" t="s">
        <v>44</v>
      </c>
      <c r="M40" s="82" t="s">
        <v>38</v>
      </c>
      <c r="N40" s="82"/>
      <c r="O40" s="82">
        <v>2</v>
      </c>
      <c r="P40" s="82">
        <v>2</v>
      </c>
      <c r="Q40" s="57">
        <v>0</v>
      </c>
      <c r="R40" s="35" t="s">
        <v>39</v>
      </c>
      <c r="T40" s="35" t="s">
        <v>55</v>
      </c>
      <c r="U40" s="35" t="s">
        <v>96</v>
      </c>
    </row>
    <row r="41" spans="1:21">
      <c r="A41" s="82">
        <v>2023</v>
      </c>
      <c r="B41" s="82" t="s">
        <v>121</v>
      </c>
      <c r="C41" s="76">
        <v>28820</v>
      </c>
      <c r="D41" s="76">
        <v>23</v>
      </c>
      <c r="E41" s="78">
        <v>45083</v>
      </c>
      <c r="F41" s="82" t="s">
        <v>32</v>
      </c>
      <c r="G41" s="82" t="s">
        <v>47</v>
      </c>
      <c r="H41" s="82" t="s">
        <v>122</v>
      </c>
      <c r="I41" s="35" t="s">
        <v>87</v>
      </c>
      <c r="J41" s="82" t="s">
        <v>59</v>
      </c>
      <c r="K41" s="82" t="s">
        <v>36</v>
      </c>
      <c r="L41" s="82" t="s">
        <v>37</v>
      </c>
      <c r="M41" s="82" t="s">
        <v>38</v>
      </c>
      <c r="N41" s="82">
        <v>1</v>
      </c>
      <c r="O41" s="82"/>
      <c r="P41" s="82">
        <v>1</v>
      </c>
      <c r="Q41" s="57">
        <v>0</v>
      </c>
      <c r="R41" s="35" t="s">
        <v>39</v>
      </c>
      <c r="T41" s="35" t="s">
        <v>50</v>
      </c>
      <c r="U41" s="35" t="s">
        <v>88</v>
      </c>
    </row>
    <row r="42" spans="1:21">
      <c r="A42" s="82">
        <v>2023</v>
      </c>
      <c r="B42" s="82" t="s">
        <v>123</v>
      </c>
      <c r="C42" s="76">
        <v>28821</v>
      </c>
      <c r="D42" s="76">
        <v>23</v>
      </c>
      <c r="E42" s="78">
        <v>45084</v>
      </c>
      <c r="F42" s="82" t="s">
        <v>32</v>
      </c>
      <c r="G42" s="82" t="s">
        <v>47</v>
      </c>
      <c r="H42" s="82" t="s">
        <v>124</v>
      </c>
      <c r="I42" s="35" t="s">
        <v>71</v>
      </c>
      <c r="J42" s="82" t="s">
        <v>35</v>
      </c>
      <c r="K42" s="82" t="s">
        <v>36</v>
      </c>
      <c r="L42" s="82" t="s">
        <v>37</v>
      </c>
      <c r="M42" s="82" t="s">
        <v>38</v>
      </c>
      <c r="N42" s="82"/>
      <c r="O42" s="82">
        <v>10</v>
      </c>
      <c r="P42" s="82">
        <v>10</v>
      </c>
      <c r="Q42" s="57">
        <v>0</v>
      </c>
      <c r="R42" s="35" t="s">
        <v>39</v>
      </c>
      <c r="T42" s="35" t="s">
        <v>50</v>
      </c>
      <c r="U42" s="35" t="s">
        <v>72</v>
      </c>
    </row>
    <row r="43" spans="1:21">
      <c r="A43" s="82">
        <v>2023</v>
      </c>
      <c r="B43" s="82" t="s">
        <v>125</v>
      </c>
      <c r="C43" s="76">
        <v>28822</v>
      </c>
      <c r="D43" s="76">
        <v>23</v>
      </c>
      <c r="E43" s="78">
        <v>45084</v>
      </c>
      <c r="F43" s="82" t="s">
        <v>32</v>
      </c>
      <c r="G43" s="82" t="s">
        <v>47</v>
      </c>
      <c r="H43" s="82" t="s">
        <v>124</v>
      </c>
      <c r="I43" s="35" t="s">
        <v>71</v>
      </c>
      <c r="J43" s="82" t="s">
        <v>35</v>
      </c>
      <c r="K43" s="82" t="s">
        <v>36</v>
      </c>
      <c r="L43" s="82" t="s">
        <v>44</v>
      </c>
      <c r="M43" s="82" t="s">
        <v>38</v>
      </c>
      <c r="N43" s="82"/>
      <c r="O43" s="82">
        <v>4</v>
      </c>
      <c r="P43" s="82">
        <v>4</v>
      </c>
      <c r="Q43" s="57">
        <v>0</v>
      </c>
      <c r="R43" s="35" t="s">
        <v>39</v>
      </c>
      <c r="T43" s="35" t="s">
        <v>55</v>
      </c>
      <c r="U43" s="35" t="s">
        <v>74</v>
      </c>
    </row>
    <row r="44" spans="1:21">
      <c r="A44" s="82">
        <v>2023</v>
      </c>
      <c r="B44" s="82" t="s">
        <v>126</v>
      </c>
      <c r="C44" s="76">
        <v>28823</v>
      </c>
      <c r="D44" s="76">
        <v>23</v>
      </c>
      <c r="E44" s="78">
        <v>45084</v>
      </c>
      <c r="F44" s="82" t="s">
        <v>32</v>
      </c>
      <c r="G44" s="82" t="s">
        <v>127</v>
      </c>
      <c r="H44" s="82" t="s">
        <v>128</v>
      </c>
      <c r="I44" s="35" t="s">
        <v>127</v>
      </c>
      <c r="J44" s="82" t="s">
        <v>35</v>
      </c>
      <c r="K44" s="82" t="s">
        <v>36</v>
      </c>
      <c r="L44" s="82" t="s">
        <v>37</v>
      </c>
      <c r="M44" s="82" t="s">
        <v>38</v>
      </c>
      <c r="N44" s="82"/>
      <c r="O44" s="82">
        <v>16</v>
      </c>
      <c r="P44" s="82">
        <v>16</v>
      </c>
      <c r="Q44" s="57">
        <v>0</v>
      </c>
      <c r="R44" s="35" t="s">
        <v>39</v>
      </c>
      <c r="T44" s="35" t="s">
        <v>129</v>
      </c>
      <c r="U44" s="35" t="s">
        <v>129</v>
      </c>
    </row>
    <row r="45" spans="1:21">
      <c r="A45" s="82">
        <v>2023</v>
      </c>
      <c r="B45" s="82" t="s">
        <v>130</v>
      </c>
      <c r="C45" s="76">
        <v>28824</v>
      </c>
      <c r="D45" s="76">
        <v>23</v>
      </c>
      <c r="E45" s="78">
        <v>45084</v>
      </c>
      <c r="F45" s="82" t="s">
        <v>32</v>
      </c>
      <c r="G45" s="82" t="s">
        <v>127</v>
      </c>
      <c r="H45" s="82" t="s">
        <v>131</v>
      </c>
      <c r="I45" s="35" t="s">
        <v>127</v>
      </c>
      <c r="J45" s="82" t="s">
        <v>35</v>
      </c>
      <c r="K45" s="82" t="s">
        <v>36</v>
      </c>
      <c r="L45" s="82" t="s">
        <v>37</v>
      </c>
      <c r="M45" s="82" t="s">
        <v>38</v>
      </c>
      <c r="N45" s="82"/>
      <c r="O45" s="82">
        <v>9</v>
      </c>
      <c r="P45" s="82">
        <v>9</v>
      </c>
      <c r="Q45" s="57">
        <v>0</v>
      </c>
      <c r="R45" s="35" t="s">
        <v>39</v>
      </c>
      <c r="T45" s="35" t="s">
        <v>129</v>
      </c>
      <c r="U45" s="35" t="s">
        <v>129</v>
      </c>
    </row>
    <row r="46" spans="1:21">
      <c r="A46" s="82">
        <v>2023</v>
      </c>
      <c r="B46" s="82" t="s">
        <v>132</v>
      </c>
      <c r="C46" s="76">
        <v>28825</v>
      </c>
      <c r="D46" s="76">
        <v>23</v>
      </c>
      <c r="E46" s="78">
        <v>45084</v>
      </c>
      <c r="F46" s="82" t="s">
        <v>32</v>
      </c>
      <c r="G46" s="82" t="s">
        <v>127</v>
      </c>
      <c r="H46" s="82" t="s">
        <v>133</v>
      </c>
      <c r="I46" s="35" t="s">
        <v>127</v>
      </c>
      <c r="J46" s="82" t="s">
        <v>35</v>
      </c>
      <c r="K46" s="82" t="s">
        <v>36</v>
      </c>
      <c r="L46" s="82" t="s">
        <v>37</v>
      </c>
      <c r="M46" s="82" t="s">
        <v>38</v>
      </c>
      <c r="N46" s="82"/>
      <c r="O46" s="82">
        <v>19</v>
      </c>
      <c r="P46" s="82">
        <v>19</v>
      </c>
      <c r="Q46" s="57">
        <v>0</v>
      </c>
      <c r="R46" s="35" t="s">
        <v>39</v>
      </c>
      <c r="T46" s="35" t="s">
        <v>129</v>
      </c>
      <c r="U46" s="35" t="s">
        <v>129</v>
      </c>
    </row>
    <row r="47" spans="1:21">
      <c r="A47" s="82">
        <v>2023</v>
      </c>
      <c r="B47" s="82" t="s">
        <v>134</v>
      </c>
      <c r="C47" s="76">
        <v>28826</v>
      </c>
      <c r="D47" s="76">
        <v>23</v>
      </c>
      <c r="E47" s="78">
        <v>45084</v>
      </c>
      <c r="F47" s="82" t="s">
        <v>32</v>
      </c>
      <c r="G47" s="82" t="s">
        <v>127</v>
      </c>
      <c r="H47" s="82" t="s">
        <v>135</v>
      </c>
      <c r="I47" s="35" t="s">
        <v>127</v>
      </c>
      <c r="J47" s="82" t="s">
        <v>35</v>
      </c>
      <c r="K47" s="82" t="s">
        <v>36</v>
      </c>
      <c r="L47" s="82" t="s">
        <v>37</v>
      </c>
      <c r="M47" s="82" t="s">
        <v>38</v>
      </c>
      <c r="N47" s="82"/>
      <c r="O47" s="82">
        <v>3</v>
      </c>
      <c r="P47" s="82">
        <v>3</v>
      </c>
      <c r="Q47" s="57">
        <v>0</v>
      </c>
      <c r="R47" s="35" t="s">
        <v>39</v>
      </c>
      <c r="T47" s="35" t="s">
        <v>129</v>
      </c>
      <c r="U47" s="35" t="s">
        <v>129</v>
      </c>
    </row>
    <row r="48" spans="1:21">
      <c r="A48" s="82">
        <v>2023</v>
      </c>
      <c r="B48" s="82" t="s">
        <v>136</v>
      </c>
      <c r="C48" s="76">
        <v>28827</v>
      </c>
      <c r="D48" s="76">
        <v>23</v>
      </c>
      <c r="E48" s="78">
        <v>45084</v>
      </c>
      <c r="F48" s="82" t="s">
        <v>32</v>
      </c>
      <c r="G48" s="82" t="s">
        <v>33</v>
      </c>
      <c r="H48" s="82" t="s">
        <v>137</v>
      </c>
      <c r="I48" s="35" t="s">
        <v>33</v>
      </c>
      <c r="J48" s="82" t="s">
        <v>35</v>
      </c>
      <c r="K48" s="82" t="s">
        <v>36</v>
      </c>
      <c r="L48" s="82" t="s">
        <v>37</v>
      </c>
      <c r="M48" s="82" t="s">
        <v>38</v>
      </c>
      <c r="N48" s="82"/>
      <c r="O48" s="82">
        <v>25</v>
      </c>
      <c r="P48" s="82">
        <v>25</v>
      </c>
      <c r="Q48" s="57">
        <v>0</v>
      </c>
      <c r="R48" s="35" t="s">
        <v>39</v>
      </c>
      <c r="T48" s="35" t="s">
        <v>40</v>
      </c>
      <c r="U48" s="35" t="s">
        <v>40</v>
      </c>
    </row>
    <row r="49" spans="1:21">
      <c r="A49" s="82">
        <v>2023</v>
      </c>
      <c r="B49" s="82" t="s">
        <v>138</v>
      </c>
      <c r="C49" s="76">
        <v>28828</v>
      </c>
      <c r="D49" s="76">
        <v>23</v>
      </c>
      <c r="E49" s="78">
        <v>45084</v>
      </c>
      <c r="F49" s="82" t="s">
        <v>32</v>
      </c>
      <c r="G49" s="82" t="s">
        <v>47</v>
      </c>
      <c r="H49" s="82" t="s">
        <v>139</v>
      </c>
      <c r="I49" s="35" t="s">
        <v>71</v>
      </c>
      <c r="J49" s="82" t="s">
        <v>35</v>
      </c>
      <c r="K49" s="82" t="s">
        <v>36</v>
      </c>
      <c r="L49" s="82" t="s">
        <v>37</v>
      </c>
      <c r="M49" s="82" t="s">
        <v>38</v>
      </c>
      <c r="N49" s="82"/>
      <c r="O49" s="82">
        <v>1</v>
      </c>
      <c r="P49" s="82">
        <v>1</v>
      </c>
      <c r="Q49" s="57">
        <v>0</v>
      </c>
      <c r="R49" s="35" t="s">
        <v>39</v>
      </c>
      <c r="T49" s="35" t="s">
        <v>50</v>
      </c>
      <c r="U49" s="35" t="s">
        <v>72</v>
      </c>
    </row>
    <row r="50" spans="1:21">
      <c r="A50" s="82">
        <v>2023</v>
      </c>
      <c r="B50" s="82" t="s">
        <v>140</v>
      </c>
      <c r="C50" s="76">
        <v>28829</v>
      </c>
      <c r="D50" s="76">
        <v>23</v>
      </c>
      <c r="E50" s="78">
        <v>45084</v>
      </c>
      <c r="F50" s="82" t="s">
        <v>32</v>
      </c>
      <c r="G50" s="82" t="s">
        <v>47</v>
      </c>
      <c r="H50" s="82" t="s">
        <v>139</v>
      </c>
      <c r="I50" s="35" t="s">
        <v>71</v>
      </c>
      <c r="J50" s="82" t="s">
        <v>35</v>
      </c>
      <c r="K50" s="82" t="s">
        <v>36</v>
      </c>
      <c r="L50" s="82" t="s">
        <v>44</v>
      </c>
      <c r="M50" s="82" t="s">
        <v>38</v>
      </c>
      <c r="N50" s="82"/>
      <c r="O50" s="82">
        <v>1</v>
      </c>
      <c r="P50" s="82">
        <v>1</v>
      </c>
      <c r="Q50" s="57">
        <v>0</v>
      </c>
      <c r="R50" s="35" t="s">
        <v>39</v>
      </c>
      <c r="T50" s="35" t="s">
        <v>55</v>
      </c>
      <c r="U50" s="35" t="s">
        <v>74</v>
      </c>
    </row>
    <row r="51" spans="1:21">
      <c r="A51" s="83">
        <v>2023</v>
      </c>
      <c r="B51" s="82" t="s">
        <v>141</v>
      </c>
      <c r="C51" s="76">
        <v>28830</v>
      </c>
      <c r="D51" s="76">
        <v>23</v>
      </c>
      <c r="E51" s="78">
        <v>45084</v>
      </c>
      <c r="F51" s="82" t="s">
        <v>32</v>
      </c>
      <c r="G51" s="82" t="s">
        <v>47</v>
      </c>
      <c r="H51" s="82" t="s">
        <v>142</v>
      </c>
      <c r="I51" s="35" t="s">
        <v>71</v>
      </c>
      <c r="J51" s="82" t="s">
        <v>35</v>
      </c>
      <c r="K51" s="82" t="s">
        <v>36</v>
      </c>
      <c r="L51" s="82" t="s">
        <v>37</v>
      </c>
      <c r="M51" s="82" t="s">
        <v>38</v>
      </c>
      <c r="N51" s="82"/>
      <c r="O51" s="82">
        <v>16</v>
      </c>
      <c r="P51" s="82">
        <v>16</v>
      </c>
      <c r="Q51" s="57">
        <v>0</v>
      </c>
      <c r="R51" s="35" t="s">
        <v>39</v>
      </c>
      <c r="T51" s="35" t="s">
        <v>50</v>
      </c>
      <c r="U51" s="35" t="s">
        <v>72</v>
      </c>
    </row>
    <row r="52" spans="1:21">
      <c r="A52" s="83">
        <v>2023</v>
      </c>
      <c r="B52" s="82" t="s">
        <v>143</v>
      </c>
      <c r="C52" s="76">
        <v>28831</v>
      </c>
      <c r="D52" s="76">
        <v>23</v>
      </c>
      <c r="E52" s="78">
        <v>45084</v>
      </c>
      <c r="F52" s="82" t="s">
        <v>32</v>
      </c>
      <c r="G52" s="82" t="s">
        <v>47</v>
      </c>
      <c r="H52" s="82" t="s">
        <v>142</v>
      </c>
      <c r="I52" s="35" t="s">
        <v>71</v>
      </c>
      <c r="J52" s="82" t="s">
        <v>35</v>
      </c>
      <c r="K52" s="82" t="s">
        <v>36</v>
      </c>
      <c r="L52" s="82" t="s">
        <v>44</v>
      </c>
      <c r="M52" s="82" t="s">
        <v>38</v>
      </c>
      <c r="N52" s="82"/>
      <c r="O52" s="82">
        <v>3</v>
      </c>
      <c r="P52" s="82">
        <v>3</v>
      </c>
      <c r="Q52" s="57">
        <v>0</v>
      </c>
      <c r="R52" s="35" t="s">
        <v>39</v>
      </c>
      <c r="T52" s="35" t="s">
        <v>55</v>
      </c>
      <c r="U52" s="35" t="s">
        <v>74</v>
      </c>
    </row>
    <row r="53" spans="1:21">
      <c r="A53" s="83">
        <v>2023</v>
      </c>
      <c r="B53" s="82" t="s">
        <v>144</v>
      </c>
      <c r="C53" s="76">
        <v>28832</v>
      </c>
      <c r="D53" s="76">
        <v>23</v>
      </c>
      <c r="E53" s="78">
        <v>45084</v>
      </c>
      <c r="F53" s="82" t="s">
        <v>32</v>
      </c>
      <c r="G53" s="82" t="s">
        <v>47</v>
      </c>
      <c r="H53" s="82" t="s">
        <v>145</v>
      </c>
      <c r="I53" s="35" t="s">
        <v>71</v>
      </c>
      <c r="J53" s="82" t="s">
        <v>35</v>
      </c>
      <c r="K53" s="82" t="s">
        <v>36</v>
      </c>
      <c r="L53" s="82" t="s">
        <v>37</v>
      </c>
      <c r="M53" s="82" t="s">
        <v>38</v>
      </c>
      <c r="N53" s="82"/>
      <c r="O53" s="82">
        <v>3</v>
      </c>
      <c r="P53" s="82">
        <v>3</v>
      </c>
      <c r="Q53" s="57">
        <v>0</v>
      </c>
      <c r="R53" s="35" t="s">
        <v>39</v>
      </c>
      <c r="T53" s="35" t="s">
        <v>50</v>
      </c>
      <c r="U53" s="35" t="s">
        <v>72</v>
      </c>
    </row>
    <row r="54" spans="1:21">
      <c r="A54" s="83">
        <v>2023</v>
      </c>
      <c r="B54" s="82" t="s">
        <v>146</v>
      </c>
      <c r="C54" s="76">
        <v>28833</v>
      </c>
      <c r="D54" s="76">
        <v>23</v>
      </c>
      <c r="E54" s="78">
        <v>45084</v>
      </c>
      <c r="F54" s="82" t="s">
        <v>32</v>
      </c>
      <c r="G54" s="82" t="s">
        <v>47</v>
      </c>
      <c r="H54" s="82" t="s">
        <v>145</v>
      </c>
      <c r="I54" s="35" t="s">
        <v>71</v>
      </c>
      <c r="J54" s="82" t="s">
        <v>35</v>
      </c>
      <c r="K54" s="82" t="s">
        <v>36</v>
      </c>
      <c r="L54" s="82" t="s">
        <v>44</v>
      </c>
      <c r="M54" s="82" t="s">
        <v>38</v>
      </c>
      <c r="N54" s="82"/>
      <c r="O54" s="82">
        <v>2</v>
      </c>
      <c r="P54" s="82">
        <v>2</v>
      </c>
      <c r="Q54" s="57">
        <v>0</v>
      </c>
      <c r="R54" s="35" t="s">
        <v>39</v>
      </c>
      <c r="T54" s="35" t="s">
        <v>55</v>
      </c>
      <c r="U54" s="35" t="s">
        <v>74</v>
      </c>
    </row>
    <row r="55" spans="1:21">
      <c r="A55" s="83">
        <v>2023</v>
      </c>
      <c r="B55" s="82" t="s">
        <v>147</v>
      </c>
      <c r="C55" s="76">
        <v>28834</v>
      </c>
      <c r="D55" s="76">
        <v>23</v>
      </c>
      <c r="E55" s="78">
        <v>45084</v>
      </c>
      <c r="F55" s="82" t="s">
        <v>32</v>
      </c>
      <c r="G55" s="82" t="s">
        <v>47</v>
      </c>
      <c r="H55" s="82" t="s">
        <v>148</v>
      </c>
      <c r="I55" s="35" t="s">
        <v>71</v>
      </c>
      <c r="J55" s="82" t="s">
        <v>35</v>
      </c>
      <c r="K55" s="82" t="s">
        <v>36</v>
      </c>
      <c r="L55" s="82" t="s">
        <v>37</v>
      </c>
      <c r="M55" s="82" t="s">
        <v>38</v>
      </c>
      <c r="N55" s="82"/>
      <c r="O55" s="82">
        <v>2</v>
      </c>
      <c r="P55" s="82">
        <v>2</v>
      </c>
      <c r="Q55" s="57">
        <v>0</v>
      </c>
      <c r="R55" s="35" t="s">
        <v>39</v>
      </c>
      <c r="T55" s="35" t="s">
        <v>50</v>
      </c>
      <c r="U55" s="35" t="s">
        <v>72</v>
      </c>
    </row>
    <row r="56" spans="1:21">
      <c r="A56" s="83">
        <v>2023</v>
      </c>
      <c r="B56" s="82" t="s">
        <v>149</v>
      </c>
      <c r="C56" s="76">
        <v>28835</v>
      </c>
      <c r="D56" s="76">
        <v>23</v>
      </c>
      <c r="E56" s="78">
        <v>45084</v>
      </c>
      <c r="F56" s="82" t="s">
        <v>32</v>
      </c>
      <c r="G56" s="82" t="s">
        <v>47</v>
      </c>
      <c r="H56" s="82" t="s">
        <v>148</v>
      </c>
      <c r="I56" s="35" t="s">
        <v>71</v>
      </c>
      <c r="J56" s="82" t="s">
        <v>35</v>
      </c>
      <c r="K56" s="82" t="s">
        <v>36</v>
      </c>
      <c r="L56" s="82" t="s">
        <v>44</v>
      </c>
      <c r="M56" s="82" t="s">
        <v>38</v>
      </c>
      <c r="N56" s="82"/>
      <c r="O56" s="82">
        <v>1</v>
      </c>
      <c r="P56" s="82">
        <v>1</v>
      </c>
      <c r="Q56" s="57">
        <v>0</v>
      </c>
      <c r="R56" s="35" t="s">
        <v>39</v>
      </c>
      <c r="T56" s="35" t="s">
        <v>55</v>
      </c>
      <c r="U56" s="35" t="s">
        <v>74</v>
      </c>
    </row>
    <row r="57" spans="1:21">
      <c r="A57" s="63">
        <v>2023</v>
      </c>
      <c r="B57" s="82" t="s">
        <v>150</v>
      </c>
      <c r="C57" s="76">
        <v>28836</v>
      </c>
      <c r="D57" s="76">
        <v>23</v>
      </c>
      <c r="E57" s="78">
        <v>45084</v>
      </c>
      <c r="F57" s="82" t="s">
        <v>32</v>
      </c>
      <c r="G57" s="82" t="s">
        <v>127</v>
      </c>
      <c r="H57" s="82" t="s">
        <v>151</v>
      </c>
      <c r="I57" s="35" t="s">
        <v>127</v>
      </c>
      <c r="J57" s="82" t="s">
        <v>35</v>
      </c>
      <c r="K57" s="82" t="s">
        <v>36</v>
      </c>
      <c r="L57" s="82" t="s">
        <v>37</v>
      </c>
      <c r="M57" s="82" t="s">
        <v>38</v>
      </c>
      <c r="N57" s="82"/>
      <c r="O57" s="82">
        <v>17</v>
      </c>
      <c r="P57" s="82">
        <v>17</v>
      </c>
      <c r="Q57" s="57">
        <v>0</v>
      </c>
      <c r="R57" s="35" t="s">
        <v>39</v>
      </c>
      <c r="T57" s="35" t="s">
        <v>129</v>
      </c>
      <c r="U57" s="35" t="s">
        <v>129</v>
      </c>
    </row>
    <row r="58" spans="1:21">
      <c r="A58" s="63">
        <v>2023</v>
      </c>
      <c r="B58" s="82" t="s">
        <v>152</v>
      </c>
      <c r="C58" s="76">
        <v>28837</v>
      </c>
      <c r="D58" s="76">
        <v>23</v>
      </c>
      <c r="E58" s="78">
        <v>45084</v>
      </c>
      <c r="F58" s="82" t="s">
        <v>32</v>
      </c>
      <c r="G58" s="82" t="s">
        <v>47</v>
      </c>
      <c r="H58" s="82" t="s">
        <v>153</v>
      </c>
      <c r="I58" s="35" t="s">
        <v>71</v>
      </c>
      <c r="J58" s="82" t="s">
        <v>59</v>
      </c>
      <c r="K58" s="82" t="s">
        <v>36</v>
      </c>
      <c r="L58" s="82" t="s">
        <v>44</v>
      </c>
      <c r="M58" s="82" t="s">
        <v>38</v>
      </c>
      <c r="N58" s="82">
        <v>1</v>
      </c>
      <c r="O58" s="82"/>
      <c r="P58" s="82">
        <v>1</v>
      </c>
      <c r="Q58" s="57">
        <v>0</v>
      </c>
      <c r="R58" s="35" t="s">
        <v>39</v>
      </c>
      <c r="T58" s="35" t="s">
        <v>55</v>
      </c>
      <c r="U58" s="35" t="s">
        <v>74</v>
      </c>
    </row>
    <row r="59" spans="1:21">
      <c r="A59" s="63">
        <v>2023</v>
      </c>
      <c r="B59" s="82" t="s">
        <v>154</v>
      </c>
      <c r="C59" s="76">
        <v>28838</v>
      </c>
      <c r="D59" s="76">
        <v>23</v>
      </c>
      <c r="E59" s="78">
        <v>45084</v>
      </c>
      <c r="F59" s="82" t="s">
        <v>32</v>
      </c>
      <c r="G59" s="82" t="s">
        <v>47</v>
      </c>
      <c r="H59" s="82" t="s">
        <v>155</v>
      </c>
      <c r="I59" s="35" t="s">
        <v>71</v>
      </c>
      <c r="J59" s="82" t="s">
        <v>35</v>
      </c>
      <c r="K59" s="82" t="s">
        <v>36</v>
      </c>
      <c r="L59" s="82" t="s">
        <v>37</v>
      </c>
      <c r="M59" s="82" t="s">
        <v>38</v>
      </c>
      <c r="N59" s="82"/>
      <c r="O59" s="82">
        <v>5</v>
      </c>
      <c r="P59" s="82">
        <v>5</v>
      </c>
      <c r="Q59" s="57">
        <v>0</v>
      </c>
      <c r="R59" s="35" t="s">
        <v>39</v>
      </c>
      <c r="T59" s="35" t="s">
        <v>50</v>
      </c>
      <c r="U59" s="35" t="s">
        <v>72</v>
      </c>
    </row>
    <row r="60" spans="1:21">
      <c r="A60" s="63">
        <v>2023</v>
      </c>
      <c r="B60" s="82" t="s">
        <v>156</v>
      </c>
      <c r="C60" s="76">
        <v>28839</v>
      </c>
      <c r="D60" s="76">
        <v>23</v>
      </c>
      <c r="E60" s="78">
        <v>45084</v>
      </c>
      <c r="F60" s="82" t="s">
        <v>32</v>
      </c>
      <c r="G60" s="82" t="s">
        <v>47</v>
      </c>
      <c r="H60" s="82" t="s">
        <v>155</v>
      </c>
      <c r="I60" s="35" t="s">
        <v>71</v>
      </c>
      <c r="J60" s="82" t="s">
        <v>35</v>
      </c>
      <c r="K60" s="82" t="s">
        <v>36</v>
      </c>
      <c r="L60" s="82" t="s">
        <v>44</v>
      </c>
      <c r="M60" s="82" t="s">
        <v>38</v>
      </c>
      <c r="N60" s="82"/>
      <c r="O60" s="82">
        <v>4</v>
      </c>
      <c r="P60" s="82">
        <v>4</v>
      </c>
      <c r="Q60" s="57">
        <v>0</v>
      </c>
      <c r="R60" s="35" t="s">
        <v>39</v>
      </c>
      <c r="T60" s="35" t="s">
        <v>55</v>
      </c>
      <c r="U60" s="35" t="s">
        <v>74</v>
      </c>
    </row>
    <row r="61" spans="1:21">
      <c r="A61" s="63">
        <v>2023</v>
      </c>
      <c r="B61" s="82" t="s">
        <v>157</v>
      </c>
      <c r="C61" s="76">
        <v>28840</v>
      </c>
      <c r="D61" s="76">
        <v>23</v>
      </c>
      <c r="E61" s="78">
        <v>45084</v>
      </c>
      <c r="F61" s="82" t="s">
        <v>32</v>
      </c>
      <c r="G61" s="82" t="s">
        <v>47</v>
      </c>
      <c r="H61" s="82" t="s">
        <v>158</v>
      </c>
      <c r="I61" s="82" t="s">
        <v>71</v>
      </c>
      <c r="J61" s="82" t="s">
        <v>59</v>
      </c>
      <c r="K61" s="82" t="s">
        <v>36</v>
      </c>
      <c r="L61" s="82" t="s">
        <v>44</v>
      </c>
      <c r="M61" s="82" t="s">
        <v>38</v>
      </c>
      <c r="N61" s="82">
        <v>1</v>
      </c>
      <c r="O61" s="82"/>
      <c r="P61" s="82">
        <v>1</v>
      </c>
      <c r="Q61" s="57">
        <v>0</v>
      </c>
      <c r="R61" s="35" t="s">
        <v>39</v>
      </c>
      <c r="T61" s="35" t="s">
        <v>55</v>
      </c>
      <c r="U61" s="35" t="s">
        <v>74</v>
      </c>
    </row>
    <row r="62" spans="1:21">
      <c r="A62" s="63">
        <v>2023</v>
      </c>
      <c r="B62" s="82" t="s">
        <v>159</v>
      </c>
      <c r="C62" s="76">
        <v>28841</v>
      </c>
      <c r="D62" s="76">
        <v>23</v>
      </c>
      <c r="E62" s="78">
        <v>45084</v>
      </c>
      <c r="F62" s="82" t="s">
        <v>32</v>
      </c>
      <c r="G62" s="82" t="s">
        <v>47</v>
      </c>
      <c r="H62" s="82" t="s">
        <v>160</v>
      </c>
      <c r="I62" s="82" t="s">
        <v>161</v>
      </c>
      <c r="J62" s="82" t="s">
        <v>35</v>
      </c>
      <c r="K62" s="82" t="s">
        <v>36</v>
      </c>
      <c r="L62" s="82" t="s">
        <v>37</v>
      </c>
      <c r="M62" s="82" t="s">
        <v>38</v>
      </c>
      <c r="N62" s="82"/>
      <c r="O62" s="82">
        <v>1</v>
      </c>
      <c r="P62" s="82">
        <v>1</v>
      </c>
      <c r="Q62" s="57">
        <v>0</v>
      </c>
      <c r="R62" s="35" t="s">
        <v>39</v>
      </c>
      <c r="T62" s="35" t="s">
        <v>50</v>
      </c>
      <c r="U62" s="35" t="s">
        <v>162</v>
      </c>
    </row>
    <row r="63" spans="1:21">
      <c r="A63" s="63">
        <v>2023</v>
      </c>
      <c r="B63" s="82" t="s">
        <v>163</v>
      </c>
      <c r="C63" s="76">
        <v>28842</v>
      </c>
      <c r="D63" s="76">
        <v>23</v>
      </c>
      <c r="E63" s="78">
        <v>45084</v>
      </c>
      <c r="F63" s="82" t="s">
        <v>32</v>
      </c>
      <c r="G63" s="82" t="s">
        <v>47</v>
      </c>
      <c r="H63" s="82" t="s">
        <v>164</v>
      </c>
      <c r="I63" s="82" t="s">
        <v>71</v>
      </c>
      <c r="J63" s="82" t="s">
        <v>35</v>
      </c>
      <c r="K63" s="82" t="s">
        <v>36</v>
      </c>
      <c r="L63" s="82" t="s">
        <v>37</v>
      </c>
      <c r="M63" s="82" t="s">
        <v>38</v>
      </c>
      <c r="N63" s="82"/>
      <c r="O63" s="82">
        <v>1</v>
      </c>
      <c r="P63" s="82">
        <v>1</v>
      </c>
      <c r="Q63" s="57">
        <v>0</v>
      </c>
      <c r="R63" s="35" t="s">
        <v>39</v>
      </c>
      <c r="T63" s="35" t="s">
        <v>50</v>
      </c>
      <c r="U63" s="35" t="s">
        <v>72</v>
      </c>
    </row>
    <row r="64" spans="1:21">
      <c r="A64" s="63">
        <v>2023</v>
      </c>
      <c r="B64" s="82" t="s">
        <v>165</v>
      </c>
      <c r="C64" s="76">
        <v>28843</v>
      </c>
      <c r="D64" s="76">
        <v>23</v>
      </c>
      <c r="E64" s="78">
        <v>45085</v>
      </c>
      <c r="F64" s="82" t="s">
        <v>32</v>
      </c>
      <c r="G64" s="82" t="s">
        <v>47</v>
      </c>
      <c r="H64" s="82" t="s">
        <v>166</v>
      </c>
      <c r="I64" s="82" t="s">
        <v>161</v>
      </c>
      <c r="J64" s="82" t="s">
        <v>35</v>
      </c>
      <c r="K64" s="82" t="s">
        <v>36</v>
      </c>
      <c r="L64" s="82" t="s">
        <v>37</v>
      </c>
      <c r="M64" s="82" t="s">
        <v>38</v>
      </c>
      <c r="N64" s="82"/>
      <c r="O64" s="82">
        <v>5</v>
      </c>
      <c r="P64" s="82">
        <v>5</v>
      </c>
      <c r="Q64" s="57">
        <v>0</v>
      </c>
      <c r="R64" s="35" t="s">
        <v>39</v>
      </c>
      <c r="T64" s="35" t="s">
        <v>50</v>
      </c>
      <c r="U64" s="35" t="s">
        <v>162</v>
      </c>
    </row>
    <row r="65" spans="1:21">
      <c r="A65" s="63">
        <v>2023</v>
      </c>
      <c r="B65" s="82" t="s">
        <v>167</v>
      </c>
      <c r="C65" s="76">
        <v>28844</v>
      </c>
      <c r="D65" s="76">
        <v>23</v>
      </c>
      <c r="E65" s="78">
        <v>45085</v>
      </c>
      <c r="F65" s="82" t="s">
        <v>32</v>
      </c>
      <c r="G65" s="82" t="s">
        <v>47</v>
      </c>
      <c r="H65" s="82" t="s">
        <v>166</v>
      </c>
      <c r="I65" s="82" t="s">
        <v>161</v>
      </c>
      <c r="J65" s="82" t="s">
        <v>35</v>
      </c>
      <c r="K65" s="82" t="s">
        <v>36</v>
      </c>
      <c r="L65" s="82" t="s">
        <v>44</v>
      </c>
      <c r="M65" s="82" t="s">
        <v>38</v>
      </c>
      <c r="N65" s="82"/>
      <c r="O65" s="82">
        <v>3</v>
      </c>
      <c r="P65" s="82">
        <v>3</v>
      </c>
      <c r="Q65" s="57">
        <v>0</v>
      </c>
      <c r="R65" s="35" t="s">
        <v>39</v>
      </c>
      <c r="T65" s="35" t="s">
        <v>55</v>
      </c>
      <c r="U65" s="35" t="s">
        <v>168</v>
      </c>
    </row>
    <row r="66" spans="1:21">
      <c r="A66" s="63">
        <v>2023</v>
      </c>
      <c r="B66" s="82" t="s">
        <v>169</v>
      </c>
      <c r="C66" s="76">
        <v>28845</v>
      </c>
      <c r="D66" s="76">
        <v>23</v>
      </c>
      <c r="E66" s="78">
        <v>45085</v>
      </c>
      <c r="F66" s="82" t="s">
        <v>32</v>
      </c>
      <c r="G66" s="82" t="s">
        <v>47</v>
      </c>
      <c r="H66" s="82" t="s">
        <v>170</v>
      </c>
      <c r="I66" s="35" t="s">
        <v>87</v>
      </c>
      <c r="J66" s="82" t="s">
        <v>35</v>
      </c>
      <c r="K66" s="82" t="s">
        <v>36</v>
      </c>
      <c r="L66" s="82" t="s">
        <v>37</v>
      </c>
      <c r="M66" s="82" t="s">
        <v>38</v>
      </c>
      <c r="N66" s="82"/>
      <c r="O66" s="82">
        <v>5</v>
      </c>
      <c r="P66" s="82">
        <v>5</v>
      </c>
      <c r="Q66" s="57">
        <v>0</v>
      </c>
      <c r="R66" s="35" t="s">
        <v>39</v>
      </c>
      <c r="T66" s="35" t="s">
        <v>50</v>
      </c>
      <c r="U66" s="35" t="s">
        <v>88</v>
      </c>
    </row>
    <row r="67" spans="1:21">
      <c r="A67" s="63">
        <v>2023</v>
      </c>
      <c r="B67" s="82" t="s">
        <v>171</v>
      </c>
      <c r="C67" s="76">
        <v>28846</v>
      </c>
      <c r="D67" s="76">
        <v>23</v>
      </c>
      <c r="E67" s="78">
        <v>45085</v>
      </c>
      <c r="F67" s="82" t="s">
        <v>32</v>
      </c>
      <c r="G67" s="82" t="s">
        <v>47</v>
      </c>
      <c r="H67" s="82" t="s">
        <v>170</v>
      </c>
      <c r="I67" s="35" t="s">
        <v>87</v>
      </c>
      <c r="J67" s="82" t="s">
        <v>35</v>
      </c>
      <c r="K67" s="82" t="s">
        <v>36</v>
      </c>
      <c r="L67" s="82" t="s">
        <v>44</v>
      </c>
      <c r="M67" s="82" t="s">
        <v>38</v>
      </c>
      <c r="N67" s="82"/>
      <c r="O67" s="82">
        <v>1</v>
      </c>
      <c r="P67" s="82">
        <v>1</v>
      </c>
      <c r="Q67" s="57">
        <v>0</v>
      </c>
      <c r="R67" s="35" t="s">
        <v>39</v>
      </c>
      <c r="T67" s="35" t="s">
        <v>55</v>
      </c>
      <c r="U67" s="35" t="s">
        <v>96</v>
      </c>
    </row>
    <row r="68" spans="1:21">
      <c r="A68" s="63">
        <v>2023</v>
      </c>
      <c r="B68" s="82" t="s">
        <v>172</v>
      </c>
      <c r="C68" s="76">
        <v>28847</v>
      </c>
      <c r="D68" s="76">
        <v>23</v>
      </c>
      <c r="E68" s="78">
        <v>45085</v>
      </c>
      <c r="F68" s="82" t="s">
        <v>32</v>
      </c>
      <c r="G68" s="82" t="s">
        <v>47</v>
      </c>
      <c r="H68" s="82" t="s">
        <v>173</v>
      </c>
      <c r="I68" s="35" t="s">
        <v>87</v>
      </c>
      <c r="J68" s="82" t="s">
        <v>35</v>
      </c>
      <c r="K68" s="82" t="s">
        <v>36</v>
      </c>
      <c r="L68" s="82" t="s">
        <v>37</v>
      </c>
      <c r="M68" s="82" t="s">
        <v>38</v>
      </c>
      <c r="N68" s="82"/>
      <c r="O68" s="82">
        <v>1</v>
      </c>
      <c r="P68" s="82">
        <v>1</v>
      </c>
      <c r="Q68" s="57">
        <v>0</v>
      </c>
      <c r="R68" s="35" t="s">
        <v>39</v>
      </c>
      <c r="T68" s="35" t="s">
        <v>50</v>
      </c>
      <c r="U68" s="35" t="s">
        <v>88</v>
      </c>
    </row>
    <row r="69" spans="1:21">
      <c r="A69" s="63">
        <v>2023</v>
      </c>
      <c r="B69" s="82" t="s">
        <v>174</v>
      </c>
      <c r="C69" s="76">
        <v>28848</v>
      </c>
      <c r="D69" s="76">
        <v>23</v>
      </c>
      <c r="E69" s="78">
        <v>45085</v>
      </c>
      <c r="F69" s="82" t="s">
        <v>32</v>
      </c>
      <c r="G69" s="82" t="s">
        <v>47</v>
      </c>
      <c r="H69" s="82" t="s">
        <v>173</v>
      </c>
      <c r="I69" s="35" t="s">
        <v>87</v>
      </c>
      <c r="J69" s="82" t="s">
        <v>35</v>
      </c>
      <c r="K69" s="82" t="s">
        <v>36</v>
      </c>
      <c r="L69" s="82" t="s">
        <v>44</v>
      </c>
      <c r="M69" s="82" t="s">
        <v>38</v>
      </c>
      <c r="N69" s="82"/>
      <c r="O69" s="82">
        <v>2</v>
      </c>
      <c r="P69" s="82">
        <v>2</v>
      </c>
      <c r="Q69" s="57">
        <v>0</v>
      </c>
      <c r="R69" s="35" t="s">
        <v>39</v>
      </c>
      <c r="T69" s="35" t="s">
        <v>55</v>
      </c>
      <c r="U69" s="35" t="s">
        <v>96</v>
      </c>
    </row>
    <row r="70" spans="1:21">
      <c r="A70" s="63">
        <v>2023</v>
      </c>
      <c r="B70" s="82" t="s">
        <v>175</v>
      </c>
      <c r="C70" s="76">
        <v>28849</v>
      </c>
      <c r="D70" s="76">
        <v>23</v>
      </c>
      <c r="E70" s="78">
        <v>45085</v>
      </c>
      <c r="F70" s="82" t="s">
        <v>32</v>
      </c>
      <c r="G70" s="82" t="s">
        <v>47</v>
      </c>
      <c r="H70" s="82" t="s">
        <v>176</v>
      </c>
      <c r="I70" s="35" t="s">
        <v>161</v>
      </c>
      <c r="J70" s="82" t="s">
        <v>35</v>
      </c>
      <c r="K70" s="82" t="s">
        <v>36</v>
      </c>
      <c r="L70" s="82" t="s">
        <v>37</v>
      </c>
      <c r="M70" s="82" t="s">
        <v>38</v>
      </c>
      <c r="N70" s="82"/>
      <c r="O70" s="82">
        <v>2</v>
      </c>
      <c r="P70" s="82">
        <v>2</v>
      </c>
      <c r="Q70" s="57">
        <v>0</v>
      </c>
      <c r="R70" s="35" t="s">
        <v>39</v>
      </c>
      <c r="T70" s="35" t="s">
        <v>50</v>
      </c>
      <c r="U70" s="35" t="s">
        <v>162</v>
      </c>
    </row>
    <row r="71" spans="1:21">
      <c r="A71" s="60">
        <v>2023</v>
      </c>
      <c r="B71" s="82" t="s">
        <v>177</v>
      </c>
      <c r="C71" s="76">
        <v>28850</v>
      </c>
      <c r="D71" s="76">
        <v>23</v>
      </c>
      <c r="E71" s="78">
        <v>45085</v>
      </c>
      <c r="F71" s="82" t="s">
        <v>32</v>
      </c>
      <c r="G71" s="82" t="s">
        <v>47</v>
      </c>
      <c r="H71" s="82" t="s">
        <v>176</v>
      </c>
      <c r="I71" s="82" t="s">
        <v>161</v>
      </c>
      <c r="J71" s="82" t="s">
        <v>35</v>
      </c>
      <c r="K71" s="82" t="s">
        <v>36</v>
      </c>
      <c r="L71" s="82" t="s">
        <v>44</v>
      </c>
      <c r="M71" s="82" t="s">
        <v>38</v>
      </c>
      <c r="N71" s="82"/>
      <c r="O71" s="82">
        <v>5</v>
      </c>
      <c r="P71" s="82">
        <v>5</v>
      </c>
      <c r="Q71" s="57">
        <v>0</v>
      </c>
      <c r="R71" s="35" t="s">
        <v>39</v>
      </c>
      <c r="T71" s="35" t="s">
        <v>55</v>
      </c>
      <c r="U71" s="35" t="s">
        <v>168</v>
      </c>
    </row>
    <row r="72" spans="1:21">
      <c r="A72" s="60">
        <v>2023</v>
      </c>
      <c r="B72" s="82" t="s">
        <v>178</v>
      </c>
      <c r="C72" s="76">
        <v>28851</v>
      </c>
      <c r="D72" s="76">
        <v>23</v>
      </c>
      <c r="E72" s="78">
        <v>45085</v>
      </c>
      <c r="F72" s="82" t="s">
        <v>32</v>
      </c>
      <c r="G72" s="82" t="s">
        <v>47</v>
      </c>
      <c r="H72" s="82" t="s">
        <v>179</v>
      </c>
      <c r="I72" s="82" t="s">
        <v>161</v>
      </c>
      <c r="J72" s="82" t="s">
        <v>35</v>
      </c>
      <c r="K72" s="82" t="s">
        <v>36</v>
      </c>
      <c r="L72" s="82" t="s">
        <v>37</v>
      </c>
      <c r="M72" s="82" t="s">
        <v>38</v>
      </c>
      <c r="N72" s="82"/>
      <c r="O72" s="82">
        <v>14</v>
      </c>
      <c r="P72" s="82">
        <v>14</v>
      </c>
      <c r="Q72" s="57">
        <v>0</v>
      </c>
      <c r="R72" s="35" t="s">
        <v>39</v>
      </c>
      <c r="T72" s="35" t="s">
        <v>50</v>
      </c>
      <c r="U72" s="35" t="s">
        <v>162</v>
      </c>
    </row>
    <row r="73" spans="1:21">
      <c r="A73" s="60">
        <v>2023</v>
      </c>
      <c r="B73" s="82" t="s">
        <v>180</v>
      </c>
      <c r="C73" s="76">
        <v>28852</v>
      </c>
      <c r="D73" s="76">
        <v>23</v>
      </c>
      <c r="E73" s="78">
        <v>45085</v>
      </c>
      <c r="F73" s="82" t="s">
        <v>32</v>
      </c>
      <c r="G73" s="82" t="s">
        <v>47</v>
      </c>
      <c r="H73" s="82" t="s">
        <v>179</v>
      </c>
      <c r="I73" s="82" t="s">
        <v>161</v>
      </c>
      <c r="J73" s="82" t="s">
        <v>35</v>
      </c>
      <c r="K73" s="82" t="s">
        <v>36</v>
      </c>
      <c r="L73" s="82" t="s">
        <v>44</v>
      </c>
      <c r="M73" s="82" t="s">
        <v>38</v>
      </c>
      <c r="N73" s="82"/>
      <c r="O73" s="82">
        <v>5</v>
      </c>
      <c r="P73" s="82">
        <v>5</v>
      </c>
      <c r="Q73" s="57">
        <v>0</v>
      </c>
      <c r="R73" s="35" t="s">
        <v>39</v>
      </c>
      <c r="T73" s="35" t="s">
        <v>55</v>
      </c>
      <c r="U73" s="35" t="s">
        <v>168</v>
      </c>
    </row>
    <row r="74" spans="1:21">
      <c r="A74" s="60">
        <v>2023</v>
      </c>
      <c r="B74" s="82" t="s">
        <v>181</v>
      </c>
      <c r="C74" s="76">
        <v>28853</v>
      </c>
      <c r="D74" s="76">
        <v>23</v>
      </c>
      <c r="E74" s="78">
        <v>45085</v>
      </c>
      <c r="F74" s="82" t="s">
        <v>32</v>
      </c>
      <c r="G74" s="82" t="s">
        <v>47</v>
      </c>
      <c r="H74" s="82" t="s">
        <v>182</v>
      </c>
      <c r="I74" s="35" t="s">
        <v>161</v>
      </c>
      <c r="J74" s="82" t="s">
        <v>59</v>
      </c>
      <c r="K74" s="82" t="s">
        <v>36</v>
      </c>
      <c r="L74" s="82" t="s">
        <v>44</v>
      </c>
      <c r="M74" s="82" t="s">
        <v>38</v>
      </c>
      <c r="N74" s="82">
        <v>2</v>
      </c>
      <c r="O74" s="82"/>
      <c r="P74" s="82">
        <v>2</v>
      </c>
      <c r="Q74" s="57">
        <v>0</v>
      </c>
      <c r="R74" s="35" t="s">
        <v>39</v>
      </c>
      <c r="T74" s="35" t="s">
        <v>55</v>
      </c>
      <c r="U74" s="35" t="s">
        <v>168</v>
      </c>
    </row>
    <row r="75" spans="1:21">
      <c r="A75" s="60">
        <v>2023</v>
      </c>
      <c r="B75" s="82" t="s">
        <v>183</v>
      </c>
      <c r="C75" s="76">
        <v>28854</v>
      </c>
      <c r="D75" s="76">
        <v>23</v>
      </c>
      <c r="E75" s="78">
        <v>45085</v>
      </c>
      <c r="F75" s="82" t="s">
        <v>32</v>
      </c>
      <c r="G75" s="82" t="s">
        <v>47</v>
      </c>
      <c r="H75" s="82" t="s">
        <v>184</v>
      </c>
      <c r="I75" s="35" t="s">
        <v>161</v>
      </c>
      <c r="J75" s="82" t="s">
        <v>35</v>
      </c>
      <c r="K75" s="82" t="s">
        <v>36</v>
      </c>
      <c r="L75" s="82" t="s">
        <v>37</v>
      </c>
      <c r="M75" s="82" t="s">
        <v>38</v>
      </c>
      <c r="N75" s="82"/>
      <c r="O75" s="82">
        <v>1</v>
      </c>
      <c r="P75" s="82">
        <v>1</v>
      </c>
      <c r="Q75" s="57">
        <v>0</v>
      </c>
      <c r="R75" s="35" t="s">
        <v>39</v>
      </c>
      <c r="T75" s="35" t="s">
        <v>50</v>
      </c>
      <c r="U75" s="35" t="s">
        <v>162</v>
      </c>
    </row>
    <row r="76" spans="1:21">
      <c r="A76" s="60">
        <v>2023</v>
      </c>
      <c r="B76" s="82" t="s">
        <v>185</v>
      </c>
      <c r="C76" s="76">
        <v>28855</v>
      </c>
      <c r="D76" s="76">
        <v>23</v>
      </c>
      <c r="E76" s="78">
        <v>45085</v>
      </c>
      <c r="F76" s="82" t="s">
        <v>32</v>
      </c>
      <c r="G76" s="82" t="s">
        <v>47</v>
      </c>
      <c r="H76" s="82" t="s">
        <v>184</v>
      </c>
      <c r="I76" s="35" t="s">
        <v>161</v>
      </c>
      <c r="J76" s="82" t="s">
        <v>35</v>
      </c>
      <c r="K76" s="82" t="s">
        <v>36</v>
      </c>
      <c r="L76" s="82" t="s">
        <v>44</v>
      </c>
      <c r="M76" s="82" t="s">
        <v>38</v>
      </c>
      <c r="N76" s="82"/>
      <c r="O76" s="82">
        <v>1</v>
      </c>
      <c r="P76" s="82">
        <v>1</v>
      </c>
      <c r="Q76" s="57">
        <v>0</v>
      </c>
      <c r="R76" s="35" t="s">
        <v>39</v>
      </c>
      <c r="T76" s="35" t="s">
        <v>55</v>
      </c>
      <c r="U76" s="35" t="s">
        <v>168</v>
      </c>
    </row>
    <row r="77" spans="1:21">
      <c r="A77" s="60">
        <v>2023</v>
      </c>
      <c r="B77" s="35" t="s">
        <v>186</v>
      </c>
      <c r="C77" s="76">
        <v>28856</v>
      </c>
      <c r="D77" s="57">
        <v>23</v>
      </c>
      <c r="E77" s="78">
        <v>45085</v>
      </c>
      <c r="F77" s="35" t="s">
        <v>32</v>
      </c>
      <c r="G77" s="82" t="s">
        <v>47</v>
      </c>
      <c r="H77" s="35" t="s">
        <v>187</v>
      </c>
      <c r="I77" s="35" t="s">
        <v>161</v>
      </c>
      <c r="J77" s="35" t="s">
        <v>35</v>
      </c>
      <c r="K77" s="35" t="s">
        <v>36</v>
      </c>
      <c r="L77" s="35" t="s">
        <v>37</v>
      </c>
      <c r="M77" s="35" t="s">
        <v>38</v>
      </c>
      <c r="O77" s="60">
        <v>8</v>
      </c>
      <c r="P77" s="60">
        <v>8</v>
      </c>
      <c r="Q77" s="57">
        <v>0</v>
      </c>
      <c r="R77" s="35" t="s">
        <v>39</v>
      </c>
      <c r="T77" s="35" t="s">
        <v>50</v>
      </c>
      <c r="U77" s="35" t="s">
        <v>162</v>
      </c>
    </row>
    <row r="78" spans="1:21">
      <c r="A78" s="60">
        <v>2023</v>
      </c>
      <c r="B78" s="35" t="s">
        <v>188</v>
      </c>
      <c r="C78" s="76">
        <v>28857</v>
      </c>
      <c r="D78" s="57">
        <v>23</v>
      </c>
      <c r="E78" s="78">
        <v>45085</v>
      </c>
      <c r="F78" s="35" t="s">
        <v>32</v>
      </c>
      <c r="G78" s="82" t="s">
        <v>47</v>
      </c>
      <c r="H78" s="35" t="s">
        <v>187</v>
      </c>
      <c r="I78" s="35" t="s">
        <v>161</v>
      </c>
      <c r="J78" s="35" t="s">
        <v>35</v>
      </c>
      <c r="K78" s="35" t="s">
        <v>36</v>
      </c>
      <c r="L78" s="35" t="s">
        <v>44</v>
      </c>
      <c r="M78" s="35" t="s">
        <v>38</v>
      </c>
      <c r="O78" s="60">
        <v>1</v>
      </c>
      <c r="P78" s="60">
        <v>1</v>
      </c>
      <c r="Q78" s="57">
        <v>0</v>
      </c>
      <c r="R78" s="35" t="s">
        <v>39</v>
      </c>
      <c r="T78" s="35" t="s">
        <v>55</v>
      </c>
      <c r="U78" s="35" t="s">
        <v>168</v>
      </c>
    </row>
    <row r="79" spans="1:21">
      <c r="A79" s="60">
        <v>2023</v>
      </c>
      <c r="B79" s="35" t="s">
        <v>189</v>
      </c>
      <c r="C79" s="76">
        <v>28858</v>
      </c>
      <c r="D79" s="57">
        <v>23</v>
      </c>
      <c r="E79" s="78">
        <v>45085</v>
      </c>
      <c r="F79" s="35" t="s">
        <v>32</v>
      </c>
      <c r="G79" s="82" t="s">
        <v>47</v>
      </c>
      <c r="H79" s="35" t="s">
        <v>190</v>
      </c>
      <c r="I79" s="35" t="s">
        <v>161</v>
      </c>
      <c r="J79" s="35" t="s">
        <v>35</v>
      </c>
      <c r="K79" s="35" t="s">
        <v>36</v>
      </c>
      <c r="L79" s="35" t="s">
        <v>37</v>
      </c>
      <c r="M79" s="35" t="s">
        <v>38</v>
      </c>
      <c r="O79" s="60">
        <v>18</v>
      </c>
      <c r="P79" s="60">
        <v>18</v>
      </c>
      <c r="Q79" s="57">
        <v>0</v>
      </c>
      <c r="R79" s="35" t="s">
        <v>39</v>
      </c>
      <c r="T79" s="35" t="s">
        <v>50</v>
      </c>
      <c r="U79" s="35" t="s">
        <v>162</v>
      </c>
    </row>
    <row r="80" spans="1:21">
      <c r="A80" s="60"/>
      <c r="C80" s="76"/>
      <c r="E80" s="78"/>
      <c r="G80" s="82"/>
      <c r="I80" s="82"/>
      <c r="Q80" s="57"/>
    </row>
    <row r="81" spans="1:17">
      <c r="A81" s="60"/>
      <c r="C81" s="76"/>
      <c r="E81" s="78"/>
      <c r="G81" s="82"/>
      <c r="I81" s="82"/>
      <c r="Q81" s="57"/>
    </row>
    <row r="82" spans="1:17">
      <c r="A82" s="60"/>
      <c r="C82" s="76"/>
      <c r="E82" s="78"/>
      <c r="G82" s="82"/>
      <c r="I82" s="82"/>
      <c r="Q82" s="57"/>
    </row>
    <row r="83" spans="1:17">
      <c r="A83" s="60"/>
      <c r="C83" s="76"/>
      <c r="E83" s="78"/>
      <c r="G83" s="82"/>
      <c r="I83" s="82"/>
      <c r="Q83" s="57"/>
    </row>
    <row r="84" spans="1:17">
      <c r="A84" s="60"/>
      <c r="C84" s="76"/>
      <c r="E84" s="78"/>
      <c r="G84" s="82"/>
      <c r="I84" s="82"/>
      <c r="Q84" s="57"/>
    </row>
    <row r="85" spans="1:17">
      <c r="A85" s="60"/>
      <c r="C85" s="76"/>
      <c r="E85" s="78"/>
      <c r="G85" s="82"/>
      <c r="I85" s="82"/>
      <c r="Q85" s="57"/>
    </row>
    <row r="86" spans="1:17">
      <c r="A86" s="60"/>
      <c r="C86" s="76"/>
      <c r="E86" s="78"/>
      <c r="G86" s="82"/>
      <c r="I86" s="82"/>
      <c r="Q86" s="57"/>
    </row>
    <row r="87" spans="1:17">
      <c r="A87" s="60"/>
      <c r="C87" s="76"/>
      <c r="E87" s="78"/>
      <c r="G87" s="82"/>
      <c r="I87" s="82"/>
      <c r="Q87" s="57"/>
    </row>
    <row r="88" spans="1:17">
      <c r="A88" s="60"/>
      <c r="C88" s="76"/>
      <c r="E88" s="78"/>
      <c r="G88" s="82"/>
      <c r="I88" s="82"/>
      <c r="Q88" s="57"/>
    </row>
    <row r="89" spans="1:17">
      <c r="A89" s="60"/>
      <c r="C89" s="76"/>
      <c r="E89" s="78"/>
      <c r="G89" s="82"/>
      <c r="I89" s="82"/>
      <c r="Q89" s="57"/>
    </row>
    <row r="90" spans="1:17">
      <c r="A90" s="60"/>
      <c r="C90" s="76"/>
      <c r="E90" s="78"/>
      <c r="G90" s="82"/>
      <c r="I90" s="82"/>
      <c r="Q90" s="57"/>
    </row>
    <row r="91" spans="1:17">
      <c r="A91" s="60"/>
      <c r="C91" s="76"/>
      <c r="E91" s="78"/>
      <c r="G91" s="82"/>
      <c r="I91" s="82"/>
      <c r="Q91" s="57"/>
    </row>
    <row r="92" spans="1:17">
      <c r="A92" s="60"/>
      <c r="C92" s="76"/>
      <c r="E92" s="78"/>
      <c r="G92" s="82"/>
      <c r="I92" s="82"/>
      <c r="Q92" s="57"/>
    </row>
    <row r="93" spans="1:17">
      <c r="A93" s="60"/>
      <c r="C93" s="76"/>
      <c r="E93" s="78"/>
      <c r="G93" s="82"/>
      <c r="I93" s="82"/>
      <c r="Q93" s="57"/>
    </row>
    <row r="94" spans="1:17">
      <c r="A94" s="60"/>
      <c r="C94" s="76"/>
      <c r="E94" s="78"/>
      <c r="G94" s="82"/>
      <c r="I94" s="82"/>
      <c r="Q94" s="57"/>
    </row>
    <row r="95" spans="1:17">
      <c r="A95" s="60"/>
      <c r="C95" s="76"/>
      <c r="E95" s="78"/>
      <c r="G95" s="82"/>
      <c r="I95" s="82"/>
      <c r="L95" s="82"/>
      <c r="Q95" s="57"/>
    </row>
    <row r="96" spans="1:17">
      <c r="A96" s="60"/>
      <c r="C96" s="76"/>
      <c r="E96" s="78"/>
      <c r="G96" s="82"/>
      <c r="I96" s="82"/>
      <c r="Q96" s="57"/>
    </row>
    <row r="97" spans="1:17">
      <c r="A97" s="60"/>
      <c r="C97" s="76"/>
      <c r="E97" s="78"/>
      <c r="G97" s="82"/>
      <c r="I97" s="82"/>
      <c r="Q97" s="57"/>
    </row>
    <row r="98" spans="1:17">
      <c r="A98" s="60"/>
      <c r="C98" s="76"/>
      <c r="E98" s="78"/>
      <c r="G98" s="82"/>
      <c r="I98" s="82"/>
      <c r="Q98" s="57"/>
    </row>
    <row r="99" spans="1:17">
      <c r="A99" s="60"/>
      <c r="C99" s="76"/>
      <c r="E99" s="78"/>
      <c r="G99" s="82"/>
      <c r="I99" s="82"/>
      <c r="Q99" s="57"/>
    </row>
    <row r="100" spans="1:17">
      <c r="A100" s="60"/>
      <c r="C100" s="76"/>
      <c r="E100" s="78"/>
      <c r="G100" s="82"/>
      <c r="I100" s="82"/>
      <c r="Q100" s="57"/>
    </row>
    <row r="101" spans="1:17">
      <c r="A101" s="60"/>
      <c r="C101" s="76"/>
      <c r="E101" s="78"/>
      <c r="G101" s="82"/>
      <c r="I101" s="82"/>
      <c r="Q101" s="57"/>
    </row>
    <row r="102" spans="1:17">
      <c r="A102" s="74"/>
      <c r="C102" s="76"/>
      <c r="E102" s="78"/>
      <c r="G102" s="82"/>
      <c r="I102" s="82"/>
      <c r="Q102" s="57"/>
    </row>
    <row r="103" spans="1:17">
      <c r="A103" s="74"/>
      <c r="C103" s="76"/>
      <c r="E103" s="78"/>
      <c r="G103" s="82"/>
      <c r="I103" s="82"/>
      <c r="Q103" s="57"/>
    </row>
    <row r="104" spans="1:17">
      <c r="A104" s="74"/>
      <c r="C104" s="76"/>
      <c r="E104" s="78"/>
      <c r="G104" s="82"/>
      <c r="I104" s="82"/>
      <c r="Q104" s="57"/>
    </row>
    <row r="105" spans="1:17">
      <c r="A105" s="74"/>
      <c r="C105" s="76"/>
      <c r="E105" s="78"/>
      <c r="G105" s="82"/>
      <c r="I105" s="82"/>
      <c r="Q105" s="57"/>
    </row>
    <row r="106" spans="1:17">
      <c r="A106" s="60"/>
      <c r="C106" s="76"/>
      <c r="E106" s="78"/>
      <c r="G106" s="82"/>
      <c r="I106" s="82"/>
      <c r="Q106" s="57"/>
    </row>
    <row r="107" spans="1:17">
      <c r="A107" s="60"/>
      <c r="C107" s="76"/>
      <c r="E107" s="78"/>
      <c r="G107" s="82"/>
      <c r="I107" s="82"/>
      <c r="Q107" s="57"/>
    </row>
    <row r="108" spans="1:17">
      <c r="A108" s="82"/>
      <c r="C108" s="76"/>
      <c r="E108" s="78"/>
      <c r="G108" s="82"/>
      <c r="I108" s="82"/>
      <c r="Q108" s="57"/>
    </row>
    <row r="109" spans="1:17">
      <c r="A109" s="82"/>
      <c r="C109" s="76"/>
      <c r="E109" s="78"/>
      <c r="G109" s="82"/>
      <c r="I109" s="82"/>
      <c r="Q109" s="57"/>
    </row>
    <row r="110" spans="1:17">
      <c r="A110" s="82"/>
      <c r="C110" s="76"/>
      <c r="E110" s="78"/>
      <c r="G110" s="82"/>
      <c r="I110" s="82"/>
      <c r="Q110" s="57"/>
    </row>
    <row r="111" spans="1:17">
      <c r="A111" s="82"/>
      <c r="C111" s="76"/>
      <c r="E111" s="78"/>
      <c r="G111" s="82"/>
      <c r="I111" s="82"/>
      <c r="Q111" s="57"/>
    </row>
    <row r="112" spans="1:17">
      <c r="A112" s="82"/>
      <c r="C112" s="76"/>
      <c r="E112" s="78"/>
      <c r="G112" s="82"/>
      <c r="I112" s="82"/>
      <c r="Q112" s="57"/>
    </row>
    <row r="113" spans="1:17">
      <c r="A113" s="82"/>
      <c r="C113" s="76"/>
      <c r="E113" s="78"/>
      <c r="G113" s="82"/>
      <c r="I113" s="82"/>
      <c r="Q113" s="57"/>
    </row>
    <row r="114" spans="1:17">
      <c r="A114" s="82"/>
      <c r="C114" s="76"/>
      <c r="E114" s="78"/>
      <c r="G114" s="82"/>
      <c r="I114" s="82"/>
      <c r="Q114" s="57"/>
    </row>
    <row r="115" spans="1:17">
      <c r="A115" s="82"/>
      <c r="C115" s="76"/>
      <c r="E115" s="78"/>
      <c r="G115" s="82"/>
      <c r="I115" s="82"/>
      <c r="Q115" s="57"/>
    </row>
    <row r="116" spans="1:17">
      <c r="A116" s="82"/>
      <c r="C116" s="76"/>
      <c r="E116" s="78"/>
      <c r="G116" s="82"/>
      <c r="I116" s="82"/>
      <c r="Q116" s="57"/>
    </row>
    <row r="117" spans="1:17">
      <c r="A117" s="82"/>
      <c r="C117" s="76"/>
      <c r="E117" s="78"/>
      <c r="G117" s="82"/>
      <c r="I117" s="82"/>
      <c r="Q117" s="57"/>
    </row>
    <row r="118" spans="1:17">
      <c r="A118" s="82"/>
      <c r="C118" s="76"/>
      <c r="E118" s="78"/>
      <c r="G118" s="82"/>
      <c r="I118" s="82"/>
      <c r="Q118" s="57"/>
    </row>
    <row r="119" spans="1:17">
      <c r="A119" s="82"/>
      <c r="C119" s="76"/>
      <c r="E119" s="78"/>
      <c r="G119" s="82"/>
      <c r="I119" s="82"/>
      <c r="Q119" s="57"/>
    </row>
    <row r="120" spans="1:17">
      <c r="A120" s="60"/>
      <c r="C120" s="76"/>
      <c r="E120" s="78"/>
      <c r="G120" s="82"/>
      <c r="I120" s="82"/>
      <c r="Q120" s="57"/>
    </row>
    <row r="121" spans="1:17">
      <c r="A121" s="60"/>
      <c r="C121" s="76"/>
      <c r="E121" s="78"/>
      <c r="G121" s="82"/>
      <c r="I121" s="82"/>
      <c r="Q121" s="57"/>
    </row>
    <row r="122" spans="1:17">
      <c r="A122" s="60"/>
      <c r="C122" s="76"/>
      <c r="E122" s="78"/>
      <c r="G122" s="82"/>
      <c r="I122" s="82"/>
      <c r="Q122" s="57"/>
    </row>
    <row r="123" spans="1:17">
      <c r="A123" s="60"/>
      <c r="C123" s="76"/>
      <c r="E123" s="78"/>
      <c r="G123" s="82"/>
      <c r="I123" s="82"/>
      <c r="Q123" s="57"/>
    </row>
    <row r="124" spans="1:17">
      <c r="A124" s="60"/>
      <c r="C124" s="76"/>
      <c r="E124" s="78"/>
      <c r="G124" s="82"/>
      <c r="I124" s="82"/>
      <c r="Q124" s="57"/>
    </row>
    <row r="125" spans="1:17">
      <c r="A125" s="60"/>
      <c r="C125" s="76"/>
      <c r="E125" s="78"/>
      <c r="G125" s="82"/>
      <c r="I125" s="82"/>
      <c r="Q125" s="57"/>
    </row>
    <row r="126" spans="1:17">
      <c r="A126" s="60"/>
      <c r="C126" s="76"/>
      <c r="E126" s="78"/>
      <c r="G126" s="82"/>
      <c r="I126" s="82"/>
      <c r="Q126" s="57"/>
    </row>
    <row r="127" spans="1:17">
      <c r="A127" s="60"/>
      <c r="C127" s="76"/>
      <c r="E127" s="78"/>
      <c r="G127" s="82"/>
      <c r="Q127" s="57"/>
    </row>
    <row r="128" spans="1:17">
      <c r="A128" s="60"/>
      <c r="C128" s="76"/>
      <c r="E128" s="78"/>
      <c r="G128" s="82"/>
      <c r="Q128" s="57"/>
    </row>
    <row r="129" spans="1:17">
      <c r="A129" s="60"/>
      <c r="C129" s="76"/>
      <c r="E129" s="78"/>
      <c r="G129" s="82"/>
      <c r="Q129" s="57"/>
    </row>
    <row r="130" spans="1:17">
      <c r="A130" s="60"/>
      <c r="C130" s="76"/>
      <c r="E130" s="78"/>
      <c r="G130" s="82"/>
      <c r="Q130" s="57"/>
    </row>
    <row r="131" spans="1:17">
      <c r="A131" s="60"/>
      <c r="C131" s="76"/>
      <c r="E131" s="78"/>
      <c r="G131" s="82"/>
      <c r="Q131" s="57"/>
    </row>
    <row r="132" spans="1:17">
      <c r="A132" s="60"/>
      <c r="C132" s="76"/>
      <c r="E132" s="78"/>
      <c r="G132" s="82"/>
      <c r="I132" s="82"/>
      <c r="Q132" s="57"/>
    </row>
    <row r="133" spans="1:17">
      <c r="A133" s="60"/>
      <c r="C133" s="76"/>
      <c r="E133" s="78"/>
      <c r="G133" s="82"/>
      <c r="I133" s="82"/>
      <c r="Q133" s="57"/>
    </row>
    <row r="134" spans="1:17">
      <c r="A134" s="60"/>
      <c r="C134" s="76"/>
      <c r="E134" s="78"/>
      <c r="G134" s="82"/>
      <c r="I134" s="82"/>
      <c r="Q134" s="57"/>
    </row>
    <row r="135" spans="1:17">
      <c r="A135" s="60"/>
      <c r="C135" s="76"/>
      <c r="E135" s="78"/>
      <c r="G135" s="82"/>
      <c r="I135" s="82"/>
      <c r="Q135" s="57"/>
    </row>
    <row r="136" spans="1:17">
      <c r="A136" s="60"/>
      <c r="C136" s="76"/>
      <c r="E136" s="78"/>
      <c r="G136" s="82"/>
      <c r="I136" s="82"/>
      <c r="Q136" s="57"/>
    </row>
    <row r="137" spans="1:17">
      <c r="A137" s="60"/>
      <c r="C137" s="76"/>
      <c r="E137" s="78"/>
      <c r="Q137" s="57"/>
    </row>
    <row r="138" spans="1:17">
      <c r="A138" s="60"/>
      <c r="C138" s="76"/>
      <c r="E138" s="78"/>
      <c r="Q138" s="57"/>
    </row>
    <row r="139" spans="1:17">
      <c r="A139" s="60"/>
      <c r="C139" s="76"/>
      <c r="E139" s="78"/>
      <c r="Q139" s="57"/>
    </row>
    <row r="140" spans="1:17">
      <c r="A140" s="60"/>
      <c r="C140" s="76"/>
      <c r="E140" s="78"/>
      <c r="Q140" s="57"/>
    </row>
    <row r="141" spans="1:17">
      <c r="A141" s="60"/>
      <c r="C141" s="76"/>
      <c r="Q141" s="57"/>
    </row>
    <row r="142" spans="1:17">
      <c r="A142" s="60"/>
      <c r="C142" s="76"/>
      <c r="Q142" s="57"/>
    </row>
    <row r="143" spans="1:17">
      <c r="A143" s="60"/>
      <c r="C143" s="76"/>
      <c r="Q143" s="57"/>
    </row>
    <row r="144" spans="1:17">
      <c r="A144" s="60"/>
      <c r="C144" s="76"/>
      <c r="Q144" s="57"/>
    </row>
    <row r="145" spans="1:17">
      <c r="A145" s="60"/>
      <c r="C145" s="76"/>
      <c r="Q145" s="57"/>
    </row>
    <row r="146" spans="1:17">
      <c r="A146" s="60"/>
      <c r="C146" s="76"/>
      <c r="Q146" s="57"/>
    </row>
    <row r="147" spans="1:17">
      <c r="A147" s="60"/>
      <c r="C147" s="76"/>
      <c r="Q147" s="57"/>
    </row>
    <row r="148" spans="1:17">
      <c r="A148" s="60"/>
      <c r="C148" s="76"/>
      <c r="Q148" s="57"/>
    </row>
    <row r="149" spans="1:17">
      <c r="A149" s="60"/>
      <c r="C149" s="76"/>
      <c r="Q149" s="57"/>
    </row>
    <row r="150" spans="1:17">
      <c r="A150" s="60"/>
      <c r="C150" s="76"/>
      <c r="Q150" s="57"/>
    </row>
    <row r="151" spans="1:17">
      <c r="A151" s="60"/>
      <c r="C151" s="76"/>
      <c r="Q151" s="57"/>
    </row>
    <row r="152" spans="1:17">
      <c r="A152" s="60"/>
      <c r="C152" s="76"/>
      <c r="Q152" s="57"/>
    </row>
    <row r="153" spans="1:17">
      <c r="A153" s="60"/>
      <c r="C153" s="76"/>
      <c r="Q153" s="57"/>
    </row>
    <row r="154" spans="1:17">
      <c r="A154" s="60"/>
      <c r="C154" s="76"/>
      <c r="Q154" s="57"/>
    </row>
    <row r="155" spans="1:17">
      <c r="A155" s="60"/>
      <c r="C155" s="76"/>
      <c r="Q155" s="57"/>
    </row>
    <row r="156" spans="1:17">
      <c r="A156" s="60"/>
      <c r="C156" s="76"/>
      <c r="Q156" s="57"/>
    </row>
    <row r="157" spans="1:17">
      <c r="A157" s="82"/>
      <c r="C157" s="76"/>
      <c r="Q157" s="57"/>
    </row>
    <row r="158" spans="1:17">
      <c r="A158" s="82"/>
      <c r="C158" s="76"/>
      <c r="Q158" s="57"/>
    </row>
    <row r="159" spans="1:17">
      <c r="A159" s="82"/>
      <c r="C159" s="76"/>
      <c r="I159" s="82"/>
      <c r="Q159" s="57"/>
    </row>
    <row r="160" spans="1:17">
      <c r="A160" s="82"/>
      <c r="C160" s="76"/>
      <c r="I160" s="82"/>
      <c r="Q160" s="57"/>
    </row>
    <row r="161" spans="1:17">
      <c r="A161" s="60"/>
      <c r="C161" s="76"/>
      <c r="Q161" s="57"/>
    </row>
    <row r="162" spans="1:17">
      <c r="A162" s="60"/>
      <c r="C162" s="76"/>
      <c r="Q162" s="57"/>
    </row>
    <row r="163" spans="1:17">
      <c r="A163" s="60"/>
      <c r="C163" s="76"/>
      <c r="Q163" s="57"/>
    </row>
    <row r="164" spans="1:17">
      <c r="A164" s="82"/>
      <c r="C164" s="76"/>
      <c r="Q164" s="57"/>
    </row>
    <row r="165" spans="1:17">
      <c r="A165" s="82"/>
      <c r="C165" s="76"/>
      <c r="Q165" s="57"/>
    </row>
    <row r="166" spans="1:17">
      <c r="A166" s="82"/>
      <c r="C166" s="76"/>
      <c r="Q166" s="57"/>
    </row>
    <row r="167" spans="1:17">
      <c r="A167" s="60"/>
      <c r="C167" s="76"/>
      <c r="Q167" s="57"/>
    </row>
    <row r="168" spans="1:17">
      <c r="A168" s="60"/>
      <c r="C168" s="76"/>
      <c r="Q168" s="57"/>
    </row>
    <row r="169" spans="1:17">
      <c r="A169" s="60"/>
      <c r="C169" s="76"/>
      <c r="Q169" s="57"/>
    </row>
    <row r="170" spans="1:17">
      <c r="A170" s="60"/>
      <c r="C170" s="76"/>
      <c r="Q170" s="57"/>
    </row>
    <row r="171" spans="1:17">
      <c r="A171" s="60"/>
      <c r="C171" s="76"/>
      <c r="Q171" s="57"/>
    </row>
    <row r="172" spans="1:17">
      <c r="A172" s="60"/>
      <c r="C172" s="76"/>
      <c r="Q172" s="57"/>
    </row>
    <row r="173" spans="1:17">
      <c r="A173" s="60"/>
      <c r="C173" s="76"/>
      <c r="Q173" s="57"/>
    </row>
    <row r="174" spans="1:17">
      <c r="A174" s="60"/>
      <c r="C174" s="76"/>
      <c r="Q174" s="57"/>
    </row>
    <row r="175" spans="1:17">
      <c r="A175" s="60"/>
      <c r="C175" s="76"/>
      <c r="Q175" s="57"/>
    </row>
    <row r="176" spans="1:17">
      <c r="A176" s="60"/>
      <c r="C176" s="76"/>
      <c r="Q176" s="57"/>
    </row>
    <row r="177" spans="1:17">
      <c r="A177" s="60"/>
      <c r="C177" s="76"/>
      <c r="Q177" s="57"/>
    </row>
    <row r="178" spans="1:17">
      <c r="A178" s="60"/>
      <c r="C178" s="76"/>
      <c r="Q178" s="57"/>
    </row>
    <row r="179" spans="1:17">
      <c r="A179" s="60"/>
      <c r="C179" s="76"/>
      <c r="Q179" s="57"/>
    </row>
    <row r="180" spans="1:17">
      <c r="A180" s="60"/>
      <c r="C180" s="76"/>
      <c r="Q180" s="57"/>
    </row>
    <row r="181" spans="1:17">
      <c r="A181" s="60"/>
      <c r="C181" s="76"/>
      <c r="Q181" s="57"/>
    </row>
    <row r="182" spans="1:17">
      <c r="A182" s="60"/>
      <c r="C182" s="76"/>
      <c r="Q182" s="57"/>
    </row>
    <row r="183" spans="1:17">
      <c r="A183" s="60"/>
      <c r="C183" s="76"/>
      <c r="Q183" s="57"/>
    </row>
    <row r="184" spans="1:17">
      <c r="A184" s="60"/>
      <c r="C184" s="76"/>
      <c r="Q184" s="57"/>
    </row>
    <row r="185" spans="1:17">
      <c r="A185" s="60"/>
      <c r="C185" s="76"/>
      <c r="Q185" s="57"/>
    </row>
    <row r="186" spans="1:17">
      <c r="A186" s="60"/>
      <c r="C186" s="76"/>
      <c r="Q186" s="57"/>
    </row>
    <row r="187" spans="1:17">
      <c r="A187" s="60"/>
      <c r="C187" s="76"/>
      <c r="Q187" s="57"/>
    </row>
    <row r="188" spans="1:17">
      <c r="A188" s="60"/>
      <c r="C188" s="82"/>
      <c r="Q188" s="57"/>
    </row>
    <row r="189" spans="1:17">
      <c r="A189" s="60"/>
      <c r="C189" s="82"/>
      <c r="Q189" s="57"/>
    </row>
    <row r="190" spans="1:17">
      <c r="A190" s="60"/>
      <c r="C190" s="82"/>
      <c r="Q190" s="57"/>
    </row>
    <row r="191" spans="1:17">
      <c r="A191" s="60"/>
      <c r="C191" s="82"/>
      <c r="Q191" s="57"/>
    </row>
    <row r="192" spans="1:17">
      <c r="A192" s="60"/>
      <c r="C192" s="82"/>
      <c r="Q192" s="57"/>
    </row>
    <row r="193" spans="1:17">
      <c r="A193" s="60"/>
      <c r="C193" s="82"/>
      <c r="Q193" s="57"/>
    </row>
    <row r="194" spans="1:17">
      <c r="A194" s="60"/>
      <c r="C194" s="82"/>
      <c r="Q194" s="57"/>
    </row>
    <row r="195" spans="1:17">
      <c r="A195" s="60"/>
      <c r="C195" s="82"/>
      <c r="Q195" s="57"/>
    </row>
    <row r="196" spans="1:17">
      <c r="A196" s="60"/>
      <c r="C196" s="82"/>
      <c r="Q196" s="57"/>
    </row>
    <row r="197" spans="1:17">
      <c r="A197" s="60"/>
      <c r="C197" s="82"/>
      <c r="Q197" s="57"/>
    </row>
    <row r="198" spans="1:17">
      <c r="A198" s="60"/>
      <c r="C198" s="82"/>
      <c r="Q198" s="57"/>
    </row>
    <row r="199" spans="1:17">
      <c r="A199" s="60"/>
      <c r="C199" s="76"/>
      <c r="Q199" s="57"/>
    </row>
    <row r="200" spans="1:17">
      <c r="A200" s="60"/>
      <c r="C200" s="76"/>
      <c r="Q200" s="57"/>
    </row>
    <row r="201" spans="1:17">
      <c r="A201" s="60"/>
      <c r="C201" s="76"/>
      <c r="Q201" s="57"/>
    </row>
    <row r="202" spans="1:17">
      <c r="A202" s="60"/>
      <c r="C202" s="76"/>
      <c r="Q202" s="57"/>
    </row>
    <row r="203" spans="1:17">
      <c r="A203" s="60"/>
      <c r="C203" s="76"/>
      <c r="Q203" s="57"/>
    </row>
    <row r="204" spans="1:17">
      <c r="A204" s="60"/>
      <c r="C204" s="82"/>
      <c r="Q204" s="57"/>
    </row>
    <row r="205" spans="1:17">
      <c r="A205" s="60"/>
      <c r="C205" s="82"/>
      <c r="Q205" s="57"/>
    </row>
    <row r="206" spans="1:17">
      <c r="C206" s="82"/>
      <c r="Q206" s="57"/>
    </row>
    <row r="207" spans="1:17">
      <c r="C207" s="82"/>
      <c r="Q207" s="57"/>
    </row>
    <row r="208" spans="1:17">
      <c r="C208" s="82"/>
      <c r="Q208" s="57"/>
    </row>
    <row r="209" spans="3:17">
      <c r="C209" s="82"/>
      <c r="Q209" s="57"/>
    </row>
    <row r="210" spans="3:17">
      <c r="C210" s="82"/>
      <c r="Q210" s="57"/>
    </row>
    <row r="211" spans="3:17">
      <c r="C211" s="82"/>
      <c r="Q211" s="57"/>
    </row>
    <row r="212" spans="3:17">
      <c r="C212" s="82"/>
      <c r="Q212" s="57"/>
    </row>
    <row r="213" spans="3:17">
      <c r="C213" s="82"/>
      <c r="Q213" s="57"/>
    </row>
    <row r="214" spans="3:17">
      <c r="C214" s="82"/>
      <c r="Q214" s="57"/>
    </row>
    <row r="215" spans="3:17">
      <c r="C215" s="82"/>
      <c r="Q215" s="57"/>
    </row>
    <row r="216" spans="3:17">
      <c r="C216" s="82"/>
      <c r="Q216" s="57"/>
    </row>
    <row r="217" spans="3:17">
      <c r="C217" s="82"/>
      <c r="Q217" s="57"/>
    </row>
    <row r="218" spans="3:17">
      <c r="C218" s="82"/>
      <c r="Q218" s="57"/>
    </row>
    <row r="219" spans="3:17">
      <c r="C219" s="82"/>
      <c r="Q219" s="57"/>
    </row>
    <row r="220" spans="3:17">
      <c r="C220" s="82"/>
      <c r="Q220" s="57"/>
    </row>
    <row r="221" spans="3:17">
      <c r="C221" s="82"/>
      <c r="Q221" s="57"/>
    </row>
    <row r="222" spans="3:17">
      <c r="C222" s="82"/>
      <c r="Q222" s="57"/>
    </row>
    <row r="223" spans="3:17">
      <c r="C223" s="82"/>
      <c r="Q223" s="57"/>
    </row>
    <row r="224" spans="3:17">
      <c r="C224" s="82"/>
      <c r="Q224" s="57"/>
    </row>
    <row r="225" spans="3:17">
      <c r="C225" s="82"/>
      <c r="Q225" s="57"/>
    </row>
    <row r="226" spans="3:17">
      <c r="C226" s="82"/>
      <c r="Q226" s="57"/>
    </row>
    <row r="227" spans="3:17">
      <c r="C227" s="82"/>
      <c r="Q227" s="57"/>
    </row>
    <row r="228" spans="3:17">
      <c r="C228" s="82"/>
      <c r="Q228" s="57"/>
    </row>
    <row r="229" spans="3:17">
      <c r="C229" s="82"/>
      <c r="Q229" s="57"/>
    </row>
    <row r="230" spans="3:17">
      <c r="C230" s="82"/>
      <c r="Q230" s="57"/>
    </row>
    <row r="231" spans="3:17">
      <c r="C231" s="82"/>
      <c r="Q231" s="57"/>
    </row>
    <row r="232" spans="3:17">
      <c r="C232" s="82"/>
      <c r="Q232" s="57"/>
    </row>
    <row r="233" spans="3:17">
      <c r="C233" s="82"/>
      <c r="Q233" s="57"/>
    </row>
    <row r="234" spans="3:17">
      <c r="C234" s="82"/>
      <c r="Q234" s="57"/>
    </row>
    <row r="235" spans="3:17">
      <c r="C235" s="82"/>
      <c r="Q235" s="57"/>
    </row>
    <row r="236" spans="3:17">
      <c r="C236" s="82"/>
      <c r="Q236" s="57"/>
    </row>
    <row r="237" spans="3:17">
      <c r="C237" s="82"/>
      <c r="Q237" s="57"/>
    </row>
    <row r="238" spans="3:17">
      <c r="C238" s="82"/>
      <c r="Q238" s="57"/>
    </row>
    <row r="239" spans="3:17">
      <c r="C239" s="82"/>
      <c r="Q239" s="57"/>
    </row>
    <row r="240" spans="3:17">
      <c r="C240" s="82"/>
      <c r="Q240" s="57"/>
    </row>
    <row r="241" spans="1:21">
      <c r="C241" s="82"/>
      <c r="Q241" s="57"/>
    </row>
    <row r="242" spans="1:21">
      <c r="C242" s="82"/>
      <c r="Q242" s="57"/>
    </row>
    <row r="243" spans="1:21">
      <c r="C243" s="82"/>
      <c r="Q243" s="57"/>
    </row>
    <row r="244" spans="1:21">
      <c r="A244" s="62"/>
      <c r="B244" s="48"/>
      <c r="C244" s="49"/>
      <c r="D244" s="50"/>
      <c r="E244" s="54"/>
      <c r="F244" s="48"/>
      <c r="G244" s="48"/>
      <c r="H244" s="48"/>
      <c r="I244" s="48"/>
      <c r="J244" s="48"/>
      <c r="K244" s="48"/>
      <c r="L244" s="48"/>
      <c r="M244" s="48"/>
      <c r="N244" s="59"/>
      <c r="O244" s="59"/>
      <c r="P244" s="59"/>
      <c r="Q244" s="50"/>
      <c r="R244" s="48"/>
      <c r="S244" s="48"/>
      <c r="T244" s="48"/>
      <c r="U244" s="48"/>
    </row>
    <row r="245" spans="1:21">
      <c r="A245" s="62"/>
      <c r="B245" s="48"/>
      <c r="C245" s="49"/>
      <c r="D245" s="50"/>
      <c r="E245" s="54"/>
      <c r="F245" s="48"/>
      <c r="G245" s="48"/>
      <c r="H245" s="48"/>
      <c r="I245" s="48"/>
      <c r="J245" s="48"/>
      <c r="K245" s="48"/>
      <c r="L245" s="48"/>
      <c r="M245" s="48"/>
      <c r="N245" s="59"/>
      <c r="O245" s="59"/>
      <c r="P245" s="59"/>
      <c r="Q245" s="50"/>
      <c r="R245" s="48"/>
      <c r="S245" s="48"/>
      <c r="T245" s="48"/>
      <c r="U245" s="48"/>
    </row>
  </sheetData>
  <sortState xmlns:xlrd2="http://schemas.microsoft.com/office/spreadsheetml/2017/richdata2" ref="A2:U113">
    <sortCondition ref="B2:B11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6F28C-390A-4F87-930F-E7DFC1E0A600}">
  <dimension ref="A1:J4"/>
  <sheetViews>
    <sheetView workbookViewId="0"/>
  </sheetViews>
  <sheetFormatPr defaultRowHeight="15"/>
  <cols>
    <col min="1" max="1" width="8.140625" bestFit="1" customWidth="1"/>
    <col min="2" max="2" width="13.5703125" bestFit="1" customWidth="1"/>
    <col min="3" max="3" width="11.28515625" bestFit="1" customWidth="1"/>
    <col min="4" max="4" width="11.42578125" bestFit="1" customWidth="1"/>
    <col min="5" max="5" width="5.5703125" bestFit="1" customWidth="1"/>
    <col min="6" max="6" width="16.42578125" bestFit="1" customWidth="1"/>
    <col min="7" max="7" width="10.28515625" bestFit="1" customWidth="1"/>
    <col min="8" max="8" width="10.5703125" bestFit="1" customWidth="1"/>
    <col min="9" max="9" width="14.28515625" bestFit="1" customWidth="1"/>
    <col min="10" max="10" width="15.5703125" bestFit="1" customWidth="1"/>
  </cols>
  <sheetData>
    <row r="1" spans="1:10">
      <c r="A1" s="47" t="s">
        <v>16</v>
      </c>
      <c r="B1" s="47" t="s">
        <v>191</v>
      </c>
      <c r="C1" s="47" t="s">
        <v>192</v>
      </c>
      <c r="D1" s="47" t="s">
        <v>193</v>
      </c>
      <c r="E1" s="47" t="s">
        <v>194</v>
      </c>
      <c r="F1" s="47" t="s">
        <v>195</v>
      </c>
      <c r="G1" s="47" t="s">
        <v>196</v>
      </c>
      <c r="H1" s="47" t="s">
        <v>197</v>
      </c>
      <c r="I1" s="47" t="s">
        <v>198</v>
      </c>
      <c r="J1" s="47" t="s">
        <v>199</v>
      </c>
    </row>
    <row r="2" spans="1:10">
      <c r="A2" t="s">
        <v>127</v>
      </c>
      <c r="B2" s="30">
        <v>0</v>
      </c>
      <c r="C2" s="30">
        <v>0</v>
      </c>
      <c r="D2" s="30">
        <v>41.608720564216895</v>
      </c>
      <c r="E2" s="70">
        <v>1000</v>
      </c>
      <c r="F2" s="71" t="s">
        <v>200</v>
      </c>
      <c r="G2" s="71" t="s">
        <v>201</v>
      </c>
      <c r="H2">
        <v>5</v>
      </c>
      <c r="I2">
        <v>0</v>
      </c>
      <c r="J2">
        <v>64</v>
      </c>
    </row>
    <row r="3" spans="1:10">
      <c r="A3" t="s">
        <v>47</v>
      </c>
      <c r="B3" s="30">
        <v>0</v>
      </c>
      <c r="C3" s="30">
        <v>0</v>
      </c>
      <c r="D3" s="30">
        <v>15.106433591851982</v>
      </c>
      <c r="E3" s="70">
        <v>1000</v>
      </c>
      <c r="F3" s="71" t="s">
        <v>200</v>
      </c>
      <c r="G3" s="71" t="s">
        <v>201</v>
      </c>
      <c r="H3">
        <v>64</v>
      </c>
      <c r="I3">
        <v>0</v>
      </c>
      <c r="J3">
        <v>238</v>
      </c>
    </row>
    <row r="4" spans="1:10">
      <c r="A4" t="s">
        <v>33</v>
      </c>
      <c r="B4" s="30">
        <v>0</v>
      </c>
      <c r="C4" s="30">
        <v>0</v>
      </c>
      <c r="D4" s="30">
        <v>17.368794006565288</v>
      </c>
      <c r="E4" s="70">
        <v>1000</v>
      </c>
      <c r="F4" s="71" t="s">
        <v>200</v>
      </c>
      <c r="G4" s="71" t="s">
        <v>201</v>
      </c>
      <c r="H4">
        <v>9</v>
      </c>
      <c r="I4">
        <v>0</v>
      </c>
      <c r="J4">
        <v>157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6E7CB3-254F-4EE5-92B6-7D54E84EC8A7}">
  <dimension ref="A1:J7"/>
  <sheetViews>
    <sheetView workbookViewId="0"/>
  </sheetViews>
  <sheetFormatPr defaultRowHeight="15"/>
  <cols>
    <col min="1" max="1" width="5.42578125" bestFit="1" customWidth="1"/>
    <col min="2" max="2" width="13.5703125" bestFit="1" customWidth="1"/>
    <col min="3" max="3" width="11.28515625" bestFit="1" customWidth="1"/>
    <col min="4" max="4" width="11.42578125" bestFit="1" customWidth="1"/>
    <col min="5" max="5" width="5.5703125" bestFit="1" customWidth="1"/>
    <col min="6" max="6" width="16.42578125" bestFit="1" customWidth="1"/>
    <col min="7" max="7" width="10.28515625" bestFit="1" customWidth="1"/>
    <col min="8" max="8" width="10.5703125" bestFit="1" customWidth="1"/>
    <col min="9" max="9" width="14.28515625" bestFit="1" customWidth="1"/>
    <col min="10" max="10" width="15.5703125" bestFit="1" customWidth="1"/>
  </cols>
  <sheetData>
    <row r="1" spans="1:10">
      <c r="A1" s="47" t="s">
        <v>18</v>
      </c>
      <c r="B1" s="47" t="s">
        <v>191</v>
      </c>
      <c r="C1" s="47" t="s">
        <v>192</v>
      </c>
      <c r="D1" s="47" t="s">
        <v>193</v>
      </c>
      <c r="E1" s="47" t="s">
        <v>194</v>
      </c>
      <c r="F1" s="47" t="s">
        <v>195</v>
      </c>
      <c r="G1" s="47" t="s">
        <v>196</v>
      </c>
      <c r="H1" s="47" t="s">
        <v>197</v>
      </c>
      <c r="I1" s="47" t="s">
        <v>198</v>
      </c>
      <c r="J1" s="47" t="s">
        <v>199</v>
      </c>
    </row>
    <row r="2" spans="1:10">
      <c r="A2" t="s">
        <v>127</v>
      </c>
      <c r="B2" s="30">
        <v>0</v>
      </c>
      <c r="C2" s="30">
        <v>0</v>
      </c>
      <c r="D2" s="30">
        <v>41.608720564216895</v>
      </c>
      <c r="E2" s="70">
        <v>1000</v>
      </c>
      <c r="F2" s="71" t="s">
        <v>200</v>
      </c>
      <c r="G2" s="71" t="s">
        <v>201</v>
      </c>
      <c r="H2">
        <v>5</v>
      </c>
      <c r="I2">
        <v>0</v>
      </c>
      <c r="J2">
        <v>64</v>
      </c>
    </row>
    <row r="3" spans="1:10">
      <c r="A3" t="s">
        <v>33</v>
      </c>
      <c r="B3" s="30">
        <v>0</v>
      </c>
      <c r="C3" s="30">
        <v>0</v>
      </c>
      <c r="D3" s="30">
        <v>17.368794006565288</v>
      </c>
      <c r="E3" s="70">
        <v>1000</v>
      </c>
      <c r="F3" s="71" t="s">
        <v>200</v>
      </c>
      <c r="G3" s="71" t="s">
        <v>201</v>
      </c>
      <c r="H3">
        <v>9</v>
      </c>
      <c r="I3">
        <v>0</v>
      </c>
      <c r="J3">
        <v>157</v>
      </c>
    </row>
    <row r="4" spans="1:10">
      <c r="A4" t="s">
        <v>49</v>
      </c>
      <c r="B4" s="30">
        <v>0</v>
      </c>
      <c r="C4" s="30">
        <v>0</v>
      </c>
      <c r="D4" s="30">
        <v>161.74114393045667</v>
      </c>
      <c r="E4" s="70">
        <v>1000</v>
      </c>
      <c r="F4" s="71" t="s">
        <v>200</v>
      </c>
      <c r="G4" s="71" t="s">
        <v>201</v>
      </c>
      <c r="H4">
        <v>10</v>
      </c>
      <c r="I4">
        <v>0</v>
      </c>
      <c r="J4">
        <v>18</v>
      </c>
    </row>
    <row r="5" spans="1:10">
      <c r="A5" t="s">
        <v>71</v>
      </c>
      <c r="B5" s="30">
        <v>0</v>
      </c>
      <c r="C5" s="30">
        <v>0</v>
      </c>
      <c r="D5" s="30">
        <v>53.091612977330087</v>
      </c>
      <c r="E5" s="70">
        <v>1000</v>
      </c>
      <c r="F5" s="71" t="s">
        <v>200</v>
      </c>
      <c r="G5" s="71" t="s">
        <v>201</v>
      </c>
      <c r="H5">
        <v>17</v>
      </c>
      <c r="I5">
        <v>0</v>
      </c>
      <c r="J5">
        <v>57</v>
      </c>
    </row>
    <row r="6" spans="1:10">
      <c r="A6" t="s">
        <v>87</v>
      </c>
      <c r="B6" s="30">
        <v>0</v>
      </c>
      <c r="C6" s="30">
        <v>0</v>
      </c>
      <c r="D6" s="30">
        <v>34.462772916386292</v>
      </c>
      <c r="E6" s="70">
        <v>1000</v>
      </c>
      <c r="F6" s="71" t="s">
        <v>200</v>
      </c>
      <c r="G6" s="71" t="s">
        <v>201</v>
      </c>
      <c r="H6">
        <v>24</v>
      </c>
      <c r="I6">
        <v>0</v>
      </c>
      <c r="J6">
        <v>97</v>
      </c>
    </row>
    <row r="7" spans="1:10">
      <c r="A7" t="s">
        <v>161</v>
      </c>
      <c r="B7" s="30">
        <v>0</v>
      </c>
      <c r="C7" s="30">
        <v>0</v>
      </c>
      <c r="D7" s="30">
        <v>44.862937854328237</v>
      </c>
      <c r="E7" s="70">
        <v>1000</v>
      </c>
      <c r="F7" s="71" t="s">
        <v>200</v>
      </c>
      <c r="G7" s="71" t="s">
        <v>201</v>
      </c>
      <c r="H7">
        <v>13</v>
      </c>
      <c r="I7">
        <v>0</v>
      </c>
      <c r="J7">
        <v>66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49865-A534-471B-8CD6-37FE2ACE14B2}">
  <dimension ref="A1:J9"/>
  <sheetViews>
    <sheetView workbookViewId="0">
      <selection activeCell="A2" sqref="A2:B9"/>
    </sheetView>
  </sheetViews>
  <sheetFormatPr defaultRowHeight="15"/>
  <cols>
    <col min="1" max="1" width="9" bestFit="1" customWidth="1"/>
    <col min="2" max="2" width="13.5703125" bestFit="1" customWidth="1"/>
    <col min="3" max="3" width="11.28515625" bestFit="1" customWidth="1"/>
    <col min="4" max="4" width="11.42578125" bestFit="1" customWidth="1"/>
    <col min="5" max="5" width="5.5703125" bestFit="1" customWidth="1"/>
    <col min="6" max="6" width="16.42578125" bestFit="1" customWidth="1"/>
    <col min="7" max="7" width="10.28515625" bestFit="1" customWidth="1"/>
    <col min="8" max="8" width="10.5703125" bestFit="1" customWidth="1"/>
    <col min="9" max="9" width="14.28515625" bestFit="1" customWidth="1"/>
    <col min="10" max="10" width="15.5703125" bestFit="1" customWidth="1"/>
  </cols>
  <sheetData>
    <row r="1" spans="1:10">
      <c r="A1" s="47" t="s">
        <v>30</v>
      </c>
      <c r="B1" s="47" t="s">
        <v>191</v>
      </c>
      <c r="C1" s="47" t="s">
        <v>192</v>
      </c>
      <c r="D1" s="47" t="s">
        <v>193</v>
      </c>
      <c r="E1" s="47" t="s">
        <v>194</v>
      </c>
      <c r="F1" s="47" t="s">
        <v>195</v>
      </c>
      <c r="G1" s="47" t="s">
        <v>196</v>
      </c>
      <c r="H1" s="47" t="s">
        <v>197</v>
      </c>
      <c r="I1" s="47" t="s">
        <v>198</v>
      </c>
      <c r="J1" s="47" t="s">
        <v>199</v>
      </c>
    </row>
    <row r="2" spans="1:10">
      <c r="A2" t="s">
        <v>56</v>
      </c>
      <c r="B2" s="30">
        <v>0</v>
      </c>
      <c r="C2" s="30">
        <v>0</v>
      </c>
      <c r="D2" s="30">
        <v>263.30673271975996</v>
      </c>
      <c r="E2" s="70">
        <v>1000</v>
      </c>
      <c r="F2" s="71" t="s">
        <v>200</v>
      </c>
      <c r="G2" s="71" t="s">
        <v>201</v>
      </c>
      <c r="H2">
        <v>5</v>
      </c>
      <c r="I2">
        <v>0</v>
      </c>
      <c r="J2">
        <v>9</v>
      </c>
    </row>
    <row r="3" spans="1:10">
      <c r="A3" t="s">
        <v>51</v>
      </c>
      <c r="B3" s="30">
        <v>0</v>
      </c>
      <c r="C3" s="30">
        <v>0</v>
      </c>
      <c r="D3" s="30">
        <v>263.30673271975991</v>
      </c>
      <c r="E3" s="70">
        <v>1000</v>
      </c>
      <c r="F3" s="71" t="s">
        <v>200</v>
      </c>
      <c r="G3" s="71" t="s">
        <v>201</v>
      </c>
      <c r="H3">
        <v>5</v>
      </c>
      <c r="I3">
        <v>0</v>
      </c>
      <c r="J3">
        <v>9</v>
      </c>
    </row>
    <row r="4" spans="1:10">
      <c r="A4" t="s">
        <v>74</v>
      </c>
      <c r="B4" s="30">
        <v>0</v>
      </c>
      <c r="C4" s="30">
        <v>0</v>
      </c>
      <c r="D4" s="30">
        <v>154.83160588987872</v>
      </c>
      <c r="E4" s="70">
        <v>1000</v>
      </c>
      <c r="F4" s="71" t="s">
        <v>200</v>
      </c>
      <c r="G4" s="71" t="s">
        <v>201</v>
      </c>
      <c r="H4">
        <v>9</v>
      </c>
      <c r="I4">
        <v>0</v>
      </c>
      <c r="J4">
        <v>18</v>
      </c>
    </row>
    <row r="5" spans="1:10">
      <c r="A5" t="s">
        <v>72</v>
      </c>
      <c r="B5" s="30">
        <v>0</v>
      </c>
      <c r="C5" s="30">
        <v>0</v>
      </c>
      <c r="D5" s="30">
        <v>66.733600647486469</v>
      </c>
      <c r="E5" s="70">
        <v>1000</v>
      </c>
      <c r="F5" s="71" t="s">
        <v>200</v>
      </c>
      <c r="G5" s="71" t="s">
        <v>201</v>
      </c>
      <c r="H5">
        <v>8</v>
      </c>
      <c r="I5">
        <v>0</v>
      </c>
      <c r="J5">
        <v>39</v>
      </c>
    </row>
    <row r="6" spans="1:10">
      <c r="A6" t="s">
        <v>96</v>
      </c>
      <c r="B6" s="30">
        <v>0</v>
      </c>
      <c r="C6" s="30">
        <v>0</v>
      </c>
      <c r="D6" s="30">
        <v>110.15054108820758</v>
      </c>
      <c r="E6" s="70">
        <v>1000</v>
      </c>
      <c r="F6" s="71" t="s">
        <v>200</v>
      </c>
      <c r="G6" s="71" t="s">
        <v>201</v>
      </c>
      <c r="H6">
        <v>8</v>
      </c>
      <c r="I6">
        <v>0</v>
      </c>
      <c r="J6">
        <v>23</v>
      </c>
    </row>
    <row r="7" spans="1:10">
      <c r="A7" t="s">
        <v>88</v>
      </c>
      <c r="B7" s="30">
        <v>0</v>
      </c>
      <c r="C7" s="30">
        <v>0</v>
      </c>
      <c r="D7" s="30">
        <v>43.346276703050066</v>
      </c>
      <c r="E7" s="70">
        <v>1000</v>
      </c>
      <c r="F7" s="71" t="s">
        <v>200</v>
      </c>
      <c r="G7" s="71" t="s">
        <v>201</v>
      </c>
      <c r="H7">
        <v>16</v>
      </c>
      <c r="I7">
        <v>0</v>
      </c>
      <c r="J7">
        <v>74</v>
      </c>
    </row>
    <row r="8" spans="1:10">
      <c r="A8" t="s">
        <v>168</v>
      </c>
      <c r="B8" s="30">
        <v>0</v>
      </c>
      <c r="C8" s="30">
        <v>0</v>
      </c>
      <c r="D8" s="30">
        <v>150.99312837231247</v>
      </c>
      <c r="E8" s="70">
        <v>1000</v>
      </c>
      <c r="F8" s="71" t="s">
        <v>200</v>
      </c>
      <c r="G8" s="71" t="s">
        <v>201</v>
      </c>
      <c r="H8">
        <v>6</v>
      </c>
      <c r="I8">
        <v>0</v>
      </c>
      <c r="J8">
        <v>17</v>
      </c>
    </row>
    <row r="9" spans="1:10">
      <c r="A9" t="s">
        <v>162</v>
      </c>
      <c r="B9" s="30">
        <v>0</v>
      </c>
      <c r="C9" s="30">
        <v>0</v>
      </c>
      <c r="D9" s="30">
        <v>53.521017901188713</v>
      </c>
      <c r="E9" s="70">
        <v>1000</v>
      </c>
      <c r="F9" s="71" t="s">
        <v>200</v>
      </c>
      <c r="G9" s="71" t="s">
        <v>201</v>
      </c>
      <c r="H9">
        <v>7</v>
      </c>
      <c r="I9">
        <v>0</v>
      </c>
      <c r="J9">
        <v>49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76AF5A-7D60-4049-8FF2-7DCE7E481D4D}">
  <dimension ref="A1:J6"/>
  <sheetViews>
    <sheetView workbookViewId="0">
      <selection activeCell="A2" sqref="A2:B6"/>
    </sheetView>
  </sheetViews>
  <sheetFormatPr defaultRowHeight="15"/>
  <cols>
    <col min="1" max="1" width="8" bestFit="1" customWidth="1"/>
    <col min="2" max="2" width="13.5703125" bestFit="1" customWidth="1"/>
    <col min="3" max="3" width="11.28515625" bestFit="1" customWidth="1"/>
    <col min="4" max="4" width="11.42578125" bestFit="1" customWidth="1"/>
    <col min="5" max="5" width="5.5703125" bestFit="1" customWidth="1"/>
    <col min="6" max="6" width="16.42578125" bestFit="1" customWidth="1"/>
    <col min="7" max="7" width="10.28515625" bestFit="1" customWidth="1"/>
    <col min="8" max="8" width="10.5703125" bestFit="1" customWidth="1"/>
    <col min="9" max="9" width="14.28515625" bestFit="1" customWidth="1"/>
    <col min="10" max="10" width="15.5703125" bestFit="1" customWidth="1"/>
  </cols>
  <sheetData>
    <row r="1" spans="1:10">
      <c r="A1" s="47" t="s">
        <v>29</v>
      </c>
      <c r="B1" s="47" t="s">
        <v>191</v>
      </c>
      <c r="C1" s="47" t="s">
        <v>192</v>
      </c>
      <c r="D1" s="47" t="s">
        <v>193</v>
      </c>
      <c r="E1" s="47" t="s">
        <v>194</v>
      </c>
      <c r="F1" s="47" t="s">
        <v>195</v>
      </c>
      <c r="G1" s="47" t="s">
        <v>196</v>
      </c>
      <c r="H1" s="47" t="s">
        <v>197</v>
      </c>
      <c r="I1" s="47" t="s">
        <v>198</v>
      </c>
      <c r="J1" s="47" t="s">
        <v>199</v>
      </c>
    </row>
    <row r="2" spans="1:10">
      <c r="A2" t="s">
        <v>129</v>
      </c>
      <c r="B2" s="30">
        <v>0</v>
      </c>
      <c r="C2" s="30">
        <v>0</v>
      </c>
      <c r="D2" s="30">
        <v>41.608720564216895</v>
      </c>
      <c r="E2" s="70">
        <v>1000</v>
      </c>
      <c r="F2" s="71" t="s">
        <v>200</v>
      </c>
      <c r="G2" s="71" t="s">
        <v>201</v>
      </c>
      <c r="H2">
        <v>5</v>
      </c>
      <c r="I2">
        <v>0</v>
      </c>
      <c r="J2">
        <v>64</v>
      </c>
    </row>
    <row r="3" spans="1:10">
      <c r="A3" t="s">
        <v>55</v>
      </c>
      <c r="B3" s="30">
        <v>0</v>
      </c>
      <c r="C3" s="30">
        <v>0</v>
      </c>
      <c r="D3" s="30">
        <v>50.232772742022306</v>
      </c>
      <c r="E3" s="70">
        <v>1000</v>
      </c>
      <c r="F3" s="71" t="s">
        <v>200</v>
      </c>
      <c r="G3" s="71" t="s">
        <v>201</v>
      </c>
      <c r="H3">
        <v>28</v>
      </c>
      <c r="I3">
        <v>0</v>
      </c>
      <c r="J3">
        <v>67</v>
      </c>
    </row>
    <row r="4" spans="1:10">
      <c r="A4" t="s">
        <v>50</v>
      </c>
      <c r="B4" s="30">
        <v>0</v>
      </c>
      <c r="C4" s="30">
        <v>0</v>
      </c>
      <c r="D4" s="30">
        <v>20.254990524460453</v>
      </c>
      <c r="E4" s="70">
        <v>1000</v>
      </c>
      <c r="F4" s="71" t="s">
        <v>200</v>
      </c>
      <c r="G4" s="71" t="s">
        <v>201</v>
      </c>
      <c r="H4">
        <v>36</v>
      </c>
      <c r="I4">
        <v>0</v>
      </c>
      <c r="J4">
        <v>171</v>
      </c>
    </row>
    <row r="5" spans="1:10">
      <c r="A5" t="s">
        <v>45</v>
      </c>
      <c r="B5" s="30">
        <v>0</v>
      </c>
      <c r="C5" s="30">
        <v>0</v>
      </c>
      <c r="D5" s="30">
        <v>319.25698597711522</v>
      </c>
      <c r="E5" s="70">
        <v>1000</v>
      </c>
      <c r="F5" s="71" t="s">
        <v>200</v>
      </c>
      <c r="G5" s="71" t="s">
        <v>201</v>
      </c>
      <c r="H5">
        <v>2</v>
      </c>
      <c r="I5">
        <v>0</v>
      </c>
      <c r="J5">
        <v>5</v>
      </c>
    </row>
    <row r="6" spans="1:10">
      <c r="A6" t="s">
        <v>40</v>
      </c>
      <c r="B6" s="30">
        <v>0</v>
      </c>
      <c r="C6" s="30">
        <v>0</v>
      </c>
      <c r="D6" s="30">
        <v>17.632145271942548</v>
      </c>
      <c r="E6" s="70">
        <v>1000</v>
      </c>
      <c r="F6" s="71" t="s">
        <v>200</v>
      </c>
      <c r="G6" s="71" t="s">
        <v>201</v>
      </c>
      <c r="H6">
        <v>7</v>
      </c>
      <c r="I6">
        <v>0</v>
      </c>
      <c r="J6">
        <v>152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AB232"/>
  <sheetViews>
    <sheetView zoomScale="60" zoomScaleNormal="60" workbookViewId="0">
      <selection activeCell="C57" sqref="C57"/>
    </sheetView>
  </sheetViews>
  <sheetFormatPr defaultColWidth="8.85546875" defaultRowHeight="15"/>
  <cols>
    <col min="2" max="2" width="12.42578125" style="64" customWidth="1"/>
    <col min="3" max="3" width="12.7109375" customWidth="1"/>
    <col min="4" max="4" width="47.42578125" customWidth="1"/>
    <col min="5" max="5" width="9.42578125" customWidth="1"/>
    <col min="6" max="6" width="17.140625" customWidth="1"/>
    <col min="7" max="7" width="11.42578125" bestFit="1" customWidth="1"/>
    <col min="8" max="8" width="17" bestFit="1" customWidth="1"/>
    <col min="9" max="9" width="14.42578125" customWidth="1"/>
    <col min="10" max="10" width="17.140625" customWidth="1"/>
    <col min="11" max="11" width="16.85546875" customWidth="1"/>
    <col min="16" max="16" width="13.28515625" customWidth="1"/>
    <col min="17" max="17" width="14" customWidth="1"/>
  </cols>
  <sheetData>
    <row r="1" spans="1:28">
      <c r="A1" s="66" t="s">
        <v>13</v>
      </c>
      <c r="B1" s="67" t="s">
        <v>14</v>
      </c>
      <c r="C1" s="39" t="s">
        <v>202</v>
      </c>
      <c r="D1" s="39" t="s">
        <v>203</v>
      </c>
      <c r="E1" s="39" t="s">
        <v>18</v>
      </c>
      <c r="F1" s="39" t="s">
        <v>204</v>
      </c>
      <c r="G1" s="39" t="s">
        <v>205</v>
      </c>
      <c r="H1" s="39" t="s">
        <v>206</v>
      </c>
      <c r="I1" s="39" t="s">
        <v>207</v>
      </c>
      <c r="J1" s="66" t="s">
        <v>208</v>
      </c>
      <c r="K1" s="66" t="s">
        <v>209</v>
      </c>
    </row>
    <row r="2" spans="1:28" s="51" customFormat="1">
      <c r="A2">
        <v>23</v>
      </c>
      <c r="B2" s="84">
        <v>45084</v>
      </c>
      <c r="C2" t="s">
        <v>210</v>
      </c>
      <c r="D2" t="s">
        <v>211</v>
      </c>
      <c r="E2" t="s">
        <v>161</v>
      </c>
      <c r="F2" t="s">
        <v>212</v>
      </c>
      <c r="G2">
        <v>5</v>
      </c>
      <c r="H2" t="s">
        <v>213</v>
      </c>
      <c r="I2" t="s">
        <v>166</v>
      </c>
      <c r="J2">
        <f>IF(F2="Culex tarsalis",G2,0)</f>
        <v>5</v>
      </c>
      <c r="K2">
        <f>IF(F2="Culex pipiens",G2,0)</f>
        <v>0</v>
      </c>
      <c r="L2"/>
      <c r="M2"/>
      <c r="N2"/>
      <c r="O2"/>
      <c r="P2"/>
      <c r="Q2"/>
      <c r="R2"/>
      <c r="S2"/>
      <c r="T2"/>
      <c r="U2"/>
      <c r="V2"/>
      <c r="W2"/>
      <c r="X2"/>
      <c r="Y2"/>
      <c r="Z2"/>
      <c r="AA2"/>
      <c r="AB2"/>
    </row>
    <row r="3" spans="1:28">
      <c r="A3">
        <v>23</v>
      </c>
      <c r="B3" s="84">
        <v>45084</v>
      </c>
      <c r="C3" t="s">
        <v>210</v>
      </c>
      <c r="D3" t="s">
        <v>211</v>
      </c>
      <c r="E3" t="s">
        <v>161</v>
      </c>
      <c r="F3" t="s">
        <v>214</v>
      </c>
      <c r="G3">
        <v>3</v>
      </c>
      <c r="H3" t="s">
        <v>213</v>
      </c>
      <c r="I3" t="s">
        <v>166</v>
      </c>
      <c r="J3">
        <f>IF(F3="Culex tarsalis",G3,0)</f>
        <v>0</v>
      </c>
      <c r="K3">
        <f>IF(F3="Culex pipiens",G3,0)</f>
        <v>3</v>
      </c>
    </row>
    <row r="4" spans="1:28">
      <c r="A4">
        <v>23</v>
      </c>
      <c r="B4" s="69">
        <v>45082</v>
      </c>
      <c r="C4" t="s">
        <v>210</v>
      </c>
      <c r="D4" t="s">
        <v>215</v>
      </c>
      <c r="E4" t="s">
        <v>87</v>
      </c>
      <c r="F4" t="s">
        <v>212</v>
      </c>
      <c r="G4">
        <v>6</v>
      </c>
      <c r="H4" t="s">
        <v>213</v>
      </c>
      <c r="I4" t="s">
        <v>98</v>
      </c>
      <c r="J4">
        <f>IF(F4="Culex tarsalis",G4,0)</f>
        <v>6</v>
      </c>
      <c r="K4">
        <f>IF(F4="Culex pipiens",G4,0)</f>
        <v>0</v>
      </c>
    </row>
    <row r="5" spans="1:28">
      <c r="A5">
        <v>23</v>
      </c>
      <c r="B5" s="69">
        <v>45083</v>
      </c>
      <c r="C5" t="s">
        <v>210</v>
      </c>
      <c r="D5" t="s">
        <v>216</v>
      </c>
      <c r="E5" t="s">
        <v>71</v>
      </c>
      <c r="F5" t="s">
        <v>212</v>
      </c>
      <c r="G5">
        <v>5</v>
      </c>
      <c r="H5" t="s">
        <v>213</v>
      </c>
      <c r="I5" t="s">
        <v>155</v>
      </c>
      <c r="J5">
        <f>IF(F5="Culex tarsalis",G5,0)</f>
        <v>5</v>
      </c>
      <c r="K5">
        <f>IF(F5="Culex pipiens",G5,0)</f>
        <v>0</v>
      </c>
    </row>
    <row r="6" spans="1:28">
      <c r="A6">
        <v>23</v>
      </c>
      <c r="B6" s="69">
        <v>45083</v>
      </c>
      <c r="C6" t="s">
        <v>210</v>
      </c>
      <c r="D6" t="s">
        <v>216</v>
      </c>
      <c r="E6" t="s">
        <v>71</v>
      </c>
      <c r="F6" t="s">
        <v>214</v>
      </c>
      <c r="G6">
        <v>4</v>
      </c>
      <c r="H6" t="s">
        <v>213</v>
      </c>
      <c r="I6" t="s">
        <v>155</v>
      </c>
      <c r="J6">
        <f>IF(F6="Culex tarsalis",G6,0)</f>
        <v>0</v>
      </c>
      <c r="K6">
        <f>IF(F6="Culex pipiens",G6,0)</f>
        <v>4</v>
      </c>
    </row>
    <row r="7" spans="1:28">
      <c r="A7">
        <v>23</v>
      </c>
      <c r="B7" s="69">
        <v>45081</v>
      </c>
      <c r="C7" t="s">
        <v>210</v>
      </c>
      <c r="D7" t="s">
        <v>217</v>
      </c>
      <c r="E7" t="s">
        <v>49</v>
      </c>
      <c r="F7" t="s">
        <v>212</v>
      </c>
      <c r="G7">
        <v>3</v>
      </c>
      <c r="H7" t="s">
        <v>213</v>
      </c>
      <c r="I7" t="s">
        <v>61</v>
      </c>
      <c r="J7">
        <f>IF(F7="Culex tarsalis",G7,0)</f>
        <v>3</v>
      </c>
      <c r="K7">
        <f>IF(F7="Culex pipiens",G7,0)</f>
        <v>0</v>
      </c>
    </row>
    <row r="8" spans="1:28">
      <c r="A8">
        <v>23</v>
      </c>
      <c r="B8" s="69">
        <v>45083</v>
      </c>
      <c r="C8" t="s">
        <v>210</v>
      </c>
      <c r="D8" t="s">
        <v>218</v>
      </c>
      <c r="E8" t="s">
        <v>71</v>
      </c>
      <c r="F8" t="s">
        <v>212</v>
      </c>
      <c r="G8">
        <v>1</v>
      </c>
      <c r="H8" t="s">
        <v>213</v>
      </c>
      <c r="I8" t="s">
        <v>164</v>
      </c>
      <c r="J8">
        <f>IF(F8="Culex tarsalis",G8,0)</f>
        <v>1</v>
      </c>
      <c r="K8">
        <f>IF(F8="Culex pipiens",G8,0)</f>
        <v>0</v>
      </c>
    </row>
    <row r="9" spans="1:28">
      <c r="A9">
        <v>23</v>
      </c>
      <c r="B9" s="69">
        <v>45081</v>
      </c>
      <c r="C9" t="s">
        <v>210</v>
      </c>
      <c r="D9" t="s">
        <v>219</v>
      </c>
      <c r="E9" t="s">
        <v>49</v>
      </c>
      <c r="F9" t="s">
        <v>214</v>
      </c>
      <c r="G9">
        <v>1</v>
      </c>
      <c r="H9" t="s">
        <v>213</v>
      </c>
      <c r="I9" t="s">
        <v>76</v>
      </c>
      <c r="J9">
        <f>IF(F9="Culex tarsalis",G9,0)</f>
        <v>0</v>
      </c>
      <c r="K9">
        <f>IF(F9="Culex pipiens",G9,0)</f>
        <v>1</v>
      </c>
    </row>
    <row r="10" spans="1:28" s="51" customFormat="1">
      <c r="A10">
        <v>23</v>
      </c>
      <c r="B10" s="69">
        <v>45082</v>
      </c>
      <c r="C10" t="s">
        <v>210</v>
      </c>
      <c r="D10" t="s">
        <v>220</v>
      </c>
      <c r="E10" t="s">
        <v>87</v>
      </c>
      <c r="F10" t="s">
        <v>212</v>
      </c>
      <c r="G10">
        <v>1</v>
      </c>
      <c r="H10" t="s">
        <v>213</v>
      </c>
      <c r="I10" t="s">
        <v>102</v>
      </c>
      <c r="J10">
        <f>IF(F10="Culex tarsalis",G10,0)</f>
        <v>1</v>
      </c>
      <c r="K10">
        <f>IF(F10="Culex pipiens",G10,0)</f>
        <v>0</v>
      </c>
      <c r="L10"/>
      <c r="M10"/>
      <c r="N10"/>
      <c r="O10"/>
      <c r="P10"/>
      <c r="Q10"/>
      <c r="R10"/>
      <c r="S10"/>
      <c r="T10"/>
      <c r="U10"/>
      <c r="V10"/>
      <c r="W10"/>
      <c r="X10"/>
      <c r="Y10"/>
      <c r="Z10"/>
      <c r="AA10"/>
      <c r="AB10"/>
    </row>
    <row r="11" spans="1:28">
      <c r="A11">
        <v>23</v>
      </c>
      <c r="B11" s="69">
        <v>45082</v>
      </c>
      <c r="C11" t="s">
        <v>210</v>
      </c>
      <c r="D11" t="s">
        <v>221</v>
      </c>
      <c r="E11" t="s">
        <v>87</v>
      </c>
      <c r="F11" t="s">
        <v>212</v>
      </c>
      <c r="G11">
        <v>2</v>
      </c>
      <c r="H11" t="s">
        <v>213</v>
      </c>
      <c r="I11" t="s">
        <v>92</v>
      </c>
      <c r="J11">
        <f>IF(F11="Culex tarsalis",G11,0)</f>
        <v>2</v>
      </c>
      <c r="K11">
        <f>IF(F11="Culex pipiens",G11,0)</f>
        <v>0</v>
      </c>
    </row>
    <row r="12" spans="1:28">
      <c r="A12">
        <v>23</v>
      </c>
      <c r="B12" s="84">
        <v>45084</v>
      </c>
      <c r="C12" t="s">
        <v>210</v>
      </c>
      <c r="D12" t="s">
        <v>222</v>
      </c>
      <c r="E12" t="s">
        <v>87</v>
      </c>
      <c r="F12" t="s">
        <v>212</v>
      </c>
      <c r="G12">
        <v>1</v>
      </c>
      <c r="H12" t="s">
        <v>213</v>
      </c>
      <c r="I12" t="s">
        <v>173</v>
      </c>
      <c r="J12">
        <f>IF(F12="Culex tarsalis",G12,0)</f>
        <v>1</v>
      </c>
      <c r="K12">
        <f>IF(F12="Culex pipiens",G12,0)</f>
        <v>0</v>
      </c>
    </row>
    <row r="13" spans="1:28">
      <c r="A13">
        <v>23</v>
      </c>
      <c r="B13" s="84">
        <v>45084</v>
      </c>
      <c r="C13" t="s">
        <v>210</v>
      </c>
      <c r="D13" t="s">
        <v>222</v>
      </c>
      <c r="E13" t="s">
        <v>87</v>
      </c>
      <c r="F13" t="s">
        <v>214</v>
      </c>
      <c r="G13">
        <v>2</v>
      </c>
      <c r="H13" t="s">
        <v>213</v>
      </c>
      <c r="I13" t="s">
        <v>173</v>
      </c>
      <c r="J13">
        <f>IF(F13="Culex tarsalis",G13,0)</f>
        <v>0</v>
      </c>
      <c r="K13">
        <f>IF(F13="Culex pipiens",G13,0)</f>
        <v>2</v>
      </c>
    </row>
    <row r="14" spans="1:28" s="51" customFormat="1">
      <c r="A14">
        <v>23</v>
      </c>
      <c r="B14" s="69">
        <v>45082</v>
      </c>
      <c r="C14" t="s">
        <v>210</v>
      </c>
      <c r="D14" t="s">
        <v>223</v>
      </c>
      <c r="E14" t="s">
        <v>87</v>
      </c>
      <c r="F14" t="s">
        <v>214</v>
      </c>
      <c r="G14">
        <v>2</v>
      </c>
      <c r="H14" t="s">
        <v>213</v>
      </c>
      <c r="I14" t="s">
        <v>119</v>
      </c>
      <c r="J14">
        <f>IF(F14="Culex tarsalis",G14,0)</f>
        <v>0</v>
      </c>
      <c r="K14">
        <f>IF(F14="Culex pipiens",G14,0)</f>
        <v>2</v>
      </c>
      <c r="L14"/>
      <c r="M14"/>
      <c r="N14"/>
      <c r="O14"/>
      <c r="P14"/>
      <c r="Q14"/>
      <c r="R14"/>
      <c r="S14"/>
      <c r="T14"/>
      <c r="U14"/>
      <c r="V14"/>
      <c r="W14"/>
      <c r="X14"/>
      <c r="Y14"/>
      <c r="Z14"/>
      <c r="AA14"/>
      <c r="AB14"/>
    </row>
    <row r="15" spans="1:28" s="51" customFormat="1">
      <c r="A15">
        <v>23</v>
      </c>
      <c r="B15" s="69">
        <v>45082</v>
      </c>
      <c r="C15" t="s">
        <v>210</v>
      </c>
      <c r="D15" t="s">
        <v>223</v>
      </c>
      <c r="E15" t="s">
        <v>87</v>
      </c>
      <c r="F15" t="s">
        <v>212</v>
      </c>
      <c r="G15">
        <v>7</v>
      </c>
      <c r="H15" t="s">
        <v>213</v>
      </c>
      <c r="I15" t="s">
        <v>119</v>
      </c>
      <c r="J15">
        <f>IF(F15="Culex tarsalis",G15,0)</f>
        <v>7</v>
      </c>
      <c r="K15">
        <f>IF(F15="Culex pipiens",G15,0)</f>
        <v>0</v>
      </c>
      <c r="L15"/>
      <c r="M15"/>
      <c r="N15"/>
      <c r="O15"/>
      <c r="P15"/>
      <c r="Q15"/>
      <c r="R15"/>
      <c r="S15"/>
      <c r="T15"/>
      <c r="U15"/>
      <c r="V15"/>
      <c r="W15"/>
      <c r="X15"/>
      <c r="Y15"/>
      <c r="Z15"/>
      <c r="AA15"/>
      <c r="AB15"/>
    </row>
    <row r="16" spans="1:28">
      <c r="A16">
        <v>23</v>
      </c>
      <c r="B16" s="69">
        <v>45081</v>
      </c>
      <c r="C16" t="s">
        <v>210</v>
      </c>
      <c r="D16" t="s">
        <v>224</v>
      </c>
      <c r="E16" t="s">
        <v>49</v>
      </c>
      <c r="F16" t="s">
        <v>212</v>
      </c>
      <c r="G16">
        <v>2</v>
      </c>
      <c r="H16" t="s">
        <v>213</v>
      </c>
      <c r="I16" t="s">
        <v>65</v>
      </c>
      <c r="J16">
        <f>IF(F16="Culex tarsalis",G16,0)</f>
        <v>2</v>
      </c>
      <c r="K16">
        <f>IF(F16="Culex pipiens",G16,0)</f>
        <v>0</v>
      </c>
    </row>
    <row r="17" spans="1:25">
      <c r="A17">
        <v>23</v>
      </c>
      <c r="B17" s="69">
        <v>45081</v>
      </c>
      <c r="C17" t="s">
        <v>210</v>
      </c>
      <c r="D17" t="s">
        <v>225</v>
      </c>
      <c r="E17" t="s">
        <v>71</v>
      </c>
      <c r="F17" t="s">
        <v>212</v>
      </c>
      <c r="G17">
        <v>1</v>
      </c>
      <c r="H17" t="s">
        <v>213</v>
      </c>
      <c r="I17" t="s">
        <v>226</v>
      </c>
      <c r="J17">
        <f>IF(F17="Culex tarsalis",G17,0)</f>
        <v>1</v>
      </c>
      <c r="K17">
        <f>IF(F17="Culex pipiens",G17,0)</f>
        <v>0</v>
      </c>
    </row>
    <row r="18" spans="1:25">
      <c r="A18">
        <v>23</v>
      </c>
      <c r="B18" s="69">
        <v>45081</v>
      </c>
      <c r="C18" t="s">
        <v>210</v>
      </c>
      <c r="D18" t="s">
        <v>225</v>
      </c>
      <c r="E18" t="s">
        <v>71</v>
      </c>
      <c r="F18" t="s">
        <v>214</v>
      </c>
      <c r="G18">
        <v>1</v>
      </c>
      <c r="H18" t="s">
        <v>213</v>
      </c>
      <c r="I18" t="s">
        <v>226</v>
      </c>
      <c r="J18">
        <f>IF(F18="Culex tarsalis",G18,0)</f>
        <v>0</v>
      </c>
      <c r="K18">
        <f>IF(F18="Culex pipiens",G18,0)</f>
        <v>1</v>
      </c>
    </row>
    <row r="19" spans="1:25">
      <c r="A19">
        <v>23</v>
      </c>
      <c r="B19" s="84">
        <v>45084</v>
      </c>
      <c r="C19" t="s">
        <v>210</v>
      </c>
      <c r="D19" t="s">
        <v>227</v>
      </c>
      <c r="E19" t="s">
        <v>161</v>
      </c>
      <c r="F19" t="s">
        <v>212</v>
      </c>
      <c r="G19">
        <v>18</v>
      </c>
      <c r="H19" t="s">
        <v>213</v>
      </c>
      <c r="I19" t="s">
        <v>190</v>
      </c>
      <c r="J19">
        <f>IF(F19="Culex tarsalis",G19,0)</f>
        <v>18</v>
      </c>
      <c r="K19">
        <f>IF(F19="Culex pipiens",G19,0)</f>
        <v>0</v>
      </c>
    </row>
    <row r="20" spans="1:25">
      <c r="A20">
        <v>23</v>
      </c>
      <c r="B20" s="69">
        <v>45082</v>
      </c>
      <c r="C20" t="s">
        <v>210</v>
      </c>
      <c r="D20" t="s">
        <v>228</v>
      </c>
      <c r="E20" t="s">
        <v>87</v>
      </c>
      <c r="F20" t="s">
        <v>212</v>
      </c>
      <c r="G20">
        <v>2</v>
      </c>
      <c r="H20" t="s">
        <v>213</v>
      </c>
      <c r="I20" t="s">
        <v>86</v>
      </c>
      <c r="J20">
        <f>IF(F20="Culex tarsalis",G20,0)</f>
        <v>2</v>
      </c>
      <c r="K20">
        <f>IF(F20="Culex pipiens",G20,0)</f>
        <v>0</v>
      </c>
    </row>
    <row r="21" spans="1:25">
      <c r="A21">
        <v>23</v>
      </c>
      <c r="B21" s="69">
        <v>45083</v>
      </c>
      <c r="C21" t="s">
        <v>210</v>
      </c>
      <c r="D21" t="s">
        <v>229</v>
      </c>
      <c r="E21" t="s">
        <v>71</v>
      </c>
      <c r="F21" t="s">
        <v>212</v>
      </c>
      <c r="G21">
        <v>3</v>
      </c>
      <c r="H21" t="s">
        <v>213</v>
      </c>
      <c r="I21" t="s">
        <v>145</v>
      </c>
      <c r="J21">
        <f>IF(F21="Culex tarsalis",G21,0)</f>
        <v>3</v>
      </c>
      <c r="K21">
        <f>IF(F21="Culex pipiens",G21,0)</f>
        <v>0</v>
      </c>
    </row>
    <row r="22" spans="1:25">
      <c r="A22">
        <v>23</v>
      </c>
      <c r="B22" s="69">
        <v>45083</v>
      </c>
      <c r="C22" t="s">
        <v>210</v>
      </c>
      <c r="D22" t="s">
        <v>229</v>
      </c>
      <c r="E22" t="s">
        <v>71</v>
      </c>
      <c r="F22" t="s">
        <v>214</v>
      </c>
      <c r="G22">
        <v>2</v>
      </c>
      <c r="H22" t="s">
        <v>213</v>
      </c>
      <c r="I22" t="s">
        <v>145</v>
      </c>
      <c r="J22">
        <f>IF(F22="Culex tarsalis",G22,0)</f>
        <v>0</v>
      </c>
      <c r="K22">
        <f>IF(F22="Culex pipiens",G22,0)</f>
        <v>2</v>
      </c>
    </row>
    <row r="23" spans="1:25">
      <c r="A23">
        <v>23</v>
      </c>
      <c r="B23" s="69">
        <v>45082</v>
      </c>
      <c r="C23" t="s">
        <v>210</v>
      </c>
      <c r="D23" t="s">
        <v>230</v>
      </c>
      <c r="E23" t="s">
        <v>87</v>
      </c>
      <c r="F23" t="s">
        <v>212</v>
      </c>
      <c r="G23">
        <v>2</v>
      </c>
      <c r="H23" t="s">
        <v>213</v>
      </c>
      <c r="I23" t="s">
        <v>111</v>
      </c>
      <c r="J23">
        <f>IF(F23="Culex tarsalis",G23,0)</f>
        <v>2</v>
      </c>
      <c r="K23">
        <f>IF(F23="Culex pipiens",G23,0)</f>
        <v>0</v>
      </c>
    </row>
    <row r="24" spans="1:25">
      <c r="A24">
        <v>23</v>
      </c>
      <c r="B24" s="69">
        <v>45082</v>
      </c>
      <c r="C24" t="s">
        <v>210</v>
      </c>
      <c r="D24" t="s">
        <v>230</v>
      </c>
      <c r="E24" t="s">
        <v>87</v>
      </c>
      <c r="F24" t="s">
        <v>214</v>
      </c>
      <c r="G24">
        <v>2</v>
      </c>
      <c r="H24" t="s">
        <v>213</v>
      </c>
      <c r="I24" t="s">
        <v>111</v>
      </c>
      <c r="J24">
        <f>IF(F24="Culex tarsalis",G24,0)</f>
        <v>0</v>
      </c>
      <c r="K24">
        <f>IF(F24="Culex pipiens",G24,0)</f>
        <v>2</v>
      </c>
    </row>
    <row r="25" spans="1:25">
      <c r="A25">
        <v>23</v>
      </c>
      <c r="B25" s="69">
        <v>45082</v>
      </c>
      <c r="C25" t="s">
        <v>210</v>
      </c>
      <c r="D25" t="s">
        <v>231</v>
      </c>
      <c r="E25" t="s">
        <v>87</v>
      </c>
      <c r="F25" t="s">
        <v>212</v>
      </c>
      <c r="G25">
        <v>6</v>
      </c>
      <c r="H25" t="s">
        <v>213</v>
      </c>
      <c r="I25" t="s">
        <v>117</v>
      </c>
      <c r="J25">
        <f>IF(F25="Culex tarsalis",G25,0)</f>
        <v>6</v>
      </c>
      <c r="K25">
        <f>IF(F25="Culex pipiens",G25,0)</f>
        <v>0</v>
      </c>
    </row>
    <row r="26" spans="1:25">
      <c r="A26">
        <v>23</v>
      </c>
      <c r="B26" s="69">
        <v>45082</v>
      </c>
      <c r="C26" t="s">
        <v>210</v>
      </c>
      <c r="D26" t="s">
        <v>232</v>
      </c>
      <c r="E26" t="s">
        <v>87</v>
      </c>
      <c r="F26" t="s">
        <v>212</v>
      </c>
      <c r="G26">
        <v>5</v>
      </c>
      <c r="H26" t="s">
        <v>213</v>
      </c>
      <c r="I26" t="s">
        <v>109</v>
      </c>
      <c r="J26">
        <f>IF(F26="Culex tarsalis",G26,0)</f>
        <v>5</v>
      </c>
      <c r="K26">
        <f>IF(F26="Culex pipiens",G26,0)</f>
        <v>0</v>
      </c>
      <c r="Y26" s="51"/>
    </row>
    <row r="27" spans="1:25">
      <c r="A27">
        <v>23</v>
      </c>
      <c r="B27" s="69">
        <v>45083</v>
      </c>
      <c r="C27" t="s">
        <v>210</v>
      </c>
      <c r="D27" t="s">
        <v>233</v>
      </c>
      <c r="E27" t="s">
        <v>71</v>
      </c>
      <c r="F27" t="s">
        <v>212</v>
      </c>
      <c r="G27">
        <v>1</v>
      </c>
      <c r="H27" t="s">
        <v>213</v>
      </c>
      <c r="I27" t="s">
        <v>139</v>
      </c>
      <c r="J27">
        <f>IF(F27="Culex tarsalis",G27,0)</f>
        <v>1</v>
      </c>
      <c r="K27">
        <f>IF(F27="Culex pipiens",G27,0)</f>
        <v>0</v>
      </c>
    </row>
    <row r="28" spans="1:25">
      <c r="A28">
        <v>23</v>
      </c>
      <c r="B28" s="69">
        <v>45083</v>
      </c>
      <c r="C28" t="s">
        <v>210</v>
      </c>
      <c r="D28" t="s">
        <v>233</v>
      </c>
      <c r="E28" t="s">
        <v>71</v>
      </c>
      <c r="F28" t="s">
        <v>214</v>
      </c>
      <c r="G28">
        <v>1</v>
      </c>
      <c r="H28" t="s">
        <v>213</v>
      </c>
      <c r="I28" t="s">
        <v>139</v>
      </c>
      <c r="J28">
        <f>IF(F28="Culex tarsalis",G28,0)</f>
        <v>0</v>
      </c>
      <c r="K28">
        <f>IF(F28="Culex pipiens",G28,0)</f>
        <v>1</v>
      </c>
    </row>
    <row r="29" spans="1:25">
      <c r="A29">
        <v>23</v>
      </c>
      <c r="B29" s="69">
        <v>45082</v>
      </c>
      <c r="C29" t="s">
        <v>210</v>
      </c>
      <c r="D29" t="s">
        <v>234</v>
      </c>
      <c r="E29" t="s">
        <v>87</v>
      </c>
      <c r="F29" t="s">
        <v>212</v>
      </c>
      <c r="G29">
        <v>5</v>
      </c>
      <c r="H29" t="s">
        <v>213</v>
      </c>
      <c r="I29" t="s">
        <v>90</v>
      </c>
      <c r="J29">
        <f>IF(F29="Culex tarsalis",G29,0)</f>
        <v>5</v>
      </c>
      <c r="K29">
        <f>IF(F29="Culex pipiens",G29,0)</f>
        <v>0</v>
      </c>
    </row>
    <row r="30" spans="1:25">
      <c r="A30">
        <v>23</v>
      </c>
      <c r="B30" s="84">
        <v>45084</v>
      </c>
      <c r="C30" t="s">
        <v>210</v>
      </c>
      <c r="D30" t="s">
        <v>235</v>
      </c>
      <c r="E30" t="s">
        <v>87</v>
      </c>
      <c r="F30" t="s">
        <v>212</v>
      </c>
      <c r="G30">
        <v>5</v>
      </c>
      <c r="H30" t="s">
        <v>213</v>
      </c>
      <c r="I30" t="s">
        <v>170</v>
      </c>
      <c r="J30">
        <f>IF(F30="Culex tarsalis",G30,0)</f>
        <v>5</v>
      </c>
      <c r="K30">
        <f>IF(F30="Culex pipiens",G30,0)</f>
        <v>0</v>
      </c>
    </row>
    <row r="31" spans="1:25">
      <c r="A31">
        <v>23</v>
      </c>
      <c r="B31" s="84">
        <v>45084</v>
      </c>
      <c r="C31" t="s">
        <v>210</v>
      </c>
      <c r="D31" t="s">
        <v>235</v>
      </c>
      <c r="E31" t="s">
        <v>87</v>
      </c>
      <c r="F31" t="s">
        <v>214</v>
      </c>
      <c r="G31">
        <v>1</v>
      </c>
      <c r="H31" t="s">
        <v>213</v>
      </c>
      <c r="I31" t="s">
        <v>170</v>
      </c>
      <c r="J31">
        <f>IF(F31="Culex tarsalis",G31,0)</f>
        <v>0</v>
      </c>
      <c r="K31">
        <f>IF(F31="Culex pipiens",G31,0)</f>
        <v>1</v>
      </c>
    </row>
    <row r="32" spans="1:25">
      <c r="A32">
        <v>23</v>
      </c>
      <c r="B32" s="84">
        <v>45084</v>
      </c>
      <c r="C32" t="s">
        <v>210</v>
      </c>
      <c r="D32" t="s">
        <v>236</v>
      </c>
      <c r="E32" t="s">
        <v>161</v>
      </c>
      <c r="F32" t="s">
        <v>212</v>
      </c>
      <c r="G32">
        <v>8</v>
      </c>
      <c r="H32" t="s">
        <v>213</v>
      </c>
      <c r="I32" t="s">
        <v>187</v>
      </c>
      <c r="J32">
        <f>IF(F32="Culex tarsalis",G32,0)</f>
        <v>8</v>
      </c>
      <c r="K32">
        <f>IF(F32="Culex pipiens",G32,0)</f>
        <v>0</v>
      </c>
    </row>
    <row r="33" spans="1:11">
      <c r="A33">
        <v>23</v>
      </c>
      <c r="B33" s="84">
        <v>45084</v>
      </c>
      <c r="C33" t="s">
        <v>210</v>
      </c>
      <c r="D33" t="s">
        <v>236</v>
      </c>
      <c r="E33" t="s">
        <v>161</v>
      </c>
      <c r="F33" t="s">
        <v>214</v>
      </c>
      <c r="G33">
        <v>1</v>
      </c>
      <c r="H33" t="s">
        <v>213</v>
      </c>
      <c r="I33" t="s">
        <v>187</v>
      </c>
      <c r="J33">
        <f>IF(F33="Culex tarsalis",G33,0)</f>
        <v>0</v>
      </c>
      <c r="K33">
        <f>IF(F33="Culex pipiens",G33,0)</f>
        <v>1</v>
      </c>
    </row>
    <row r="34" spans="1:11">
      <c r="A34">
        <v>23</v>
      </c>
      <c r="B34" s="69">
        <v>45083</v>
      </c>
      <c r="C34" t="s">
        <v>210</v>
      </c>
      <c r="D34" t="s">
        <v>237</v>
      </c>
      <c r="E34" t="s">
        <v>161</v>
      </c>
      <c r="F34" t="s">
        <v>212</v>
      </c>
      <c r="G34">
        <v>1</v>
      </c>
      <c r="H34" t="s">
        <v>213</v>
      </c>
      <c r="I34" t="s">
        <v>160</v>
      </c>
      <c r="J34">
        <f>IF(F34="Culex tarsalis",G34,0)</f>
        <v>1</v>
      </c>
      <c r="K34">
        <f>IF(F34="Culex pipiens",G34,0)</f>
        <v>0</v>
      </c>
    </row>
    <row r="35" spans="1:11">
      <c r="A35">
        <v>23</v>
      </c>
      <c r="B35" s="69">
        <v>45082</v>
      </c>
      <c r="C35" t="s">
        <v>210</v>
      </c>
      <c r="D35" t="s">
        <v>238</v>
      </c>
      <c r="E35" t="s">
        <v>87</v>
      </c>
      <c r="F35" t="s">
        <v>214</v>
      </c>
      <c r="G35">
        <v>1</v>
      </c>
      <c r="H35" t="s">
        <v>213</v>
      </c>
      <c r="I35" t="s">
        <v>94</v>
      </c>
      <c r="J35">
        <f>IF(F35="Culex tarsalis",G35,0)</f>
        <v>0</v>
      </c>
      <c r="K35">
        <f>IF(F35="Culex pipiens",G35,0)</f>
        <v>1</v>
      </c>
    </row>
    <row r="36" spans="1:11">
      <c r="A36">
        <v>23</v>
      </c>
      <c r="B36" s="69">
        <v>45082</v>
      </c>
      <c r="C36" t="s">
        <v>210</v>
      </c>
      <c r="D36" t="s">
        <v>238</v>
      </c>
      <c r="E36" t="s">
        <v>87</v>
      </c>
      <c r="F36" t="s">
        <v>212</v>
      </c>
      <c r="G36">
        <v>2</v>
      </c>
      <c r="H36" t="s">
        <v>213</v>
      </c>
      <c r="I36" t="s">
        <v>94</v>
      </c>
      <c r="J36">
        <f>IF(F36="Culex tarsalis",G36,0)</f>
        <v>2</v>
      </c>
      <c r="K36">
        <f>IF(F36="Culex pipiens",G36,0)</f>
        <v>0</v>
      </c>
    </row>
    <row r="37" spans="1:11">
      <c r="A37">
        <v>23</v>
      </c>
      <c r="B37" s="69">
        <v>45083</v>
      </c>
      <c r="C37" t="s">
        <v>210</v>
      </c>
      <c r="D37" t="s">
        <v>239</v>
      </c>
      <c r="E37" t="s">
        <v>71</v>
      </c>
      <c r="F37" t="s">
        <v>212</v>
      </c>
      <c r="G37">
        <v>2</v>
      </c>
      <c r="H37" t="s">
        <v>213</v>
      </c>
      <c r="I37" t="s">
        <v>148</v>
      </c>
      <c r="J37">
        <f>IF(F37="Culex tarsalis",G37,0)</f>
        <v>2</v>
      </c>
      <c r="K37">
        <f>IF(F37="Culex pipiens",G37,0)</f>
        <v>0</v>
      </c>
    </row>
    <row r="38" spans="1:11">
      <c r="A38">
        <v>23</v>
      </c>
      <c r="B38" s="69">
        <v>45083</v>
      </c>
      <c r="C38" t="s">
        <v>210</v>
      </c>
      <c r="D38" t="s">
        <v>239</v>
      </c>
      <c r="E38" t="s">
        <v>71</v>
      </c>
      <c r="F38" t="s">
        <v>214</v>
      </c>
      <c r="G38">
        <v>1</v>
      </c>
      <c r="H38" t="s">
        <v>213</v>
      </c>
      <c r="I38" t="s">
        <v>148</v>
      </c>
      <c r="J38">
        <f>IF(F38="Culex tarsalis",G38,0)</f>
        <v>0</v>
      </c>
      <c r="K38">
        <f>IF(F38="Culex pipiens",G38,0)</f>
        <v>1</v>
      </c>
    </row>
    <row r="39" spans="1:11">
      <c r="A39">
        <v>23</v>
      </c>
      <c r="B39" s="69">
        <v>45083</v>
      </c>
      <c r="C39" t="s">
        <v>210</v>
      </c>
      <c r="D39" t="s">
        <v>240</v>
      </c>
      <c r="E39" t="s">
        <v>71</v>
      </c>
      <c r="F39" t="s">
        <v>212</v>
      </c>
      <c r="G39">
        <v>16</v>
      </c>
      <c r="H39" t="s">
        <v>213</v>
      </c>
      <c r="I39" t="s">
        <v>142</v>
      </c>
      <c r="J39">
        <f>IF(F39="Culex tarsalis",G39,0)</f>
        <v>16</v>
      </c>
      <c r="K39">
        <f>IF(F39="Culex pipiens",G39,0)</f>
        <v>0</v>
      </c>
    </row>
    <row r="40" spans="1:11">
      <c r="A40">
        <v>23</v>
      </c>
      <c r="B40" s="69">
        <v>45083</v>
      </c>
      <c r="C40" t="s">
        <v>210</v>
      </c>
      <c r="D40" t="s">
        <v>240</v>
      </c>
      <c r="E40" t="s">
        <v>71</v>
      </c>
      <c r="F40" t="s">
        <v>214</v>
      </c>
      <c r="G40">
        <v>3</v>
      </c>
      <c r="H40" t="s">
        <v>213</v>
      </c>
      <c r="I40" t="s">
        <v>142</v>
      </c>
      <c r="J40">
        <f>IF(F40="Culex tarsalis",G40,0)</f>
        <v>0</v>
      </c>
      <c r="K40">
        <f>IF(F40="Culex pipiens",G40,0)</f>
        <v>3</v>
      </c>
    </row>
    <row r="41" spans="1:11">
      <c r="A41">
        <v>23</v>
      </c>
      <c r="B41" s="84">
        <v>45084</v>
      </c>
      <c r="C41" t="s">
        <v>210</v>
      </c>
      <c r="D41" t="s">
        <v>241</v>
      </c>
      <c r="E41" t="s">
        <v>161</v>
      </c>
      <c r="F41" t="s">
        <v>212</v>
      </c>
      <c r="G41">
        <v>2</v>
      </c>
      <c r="H41" t="s">
        <v>213</v>
      </c>
      <c r="I41" t="s">
        <v>176</v>
      </c>
      <c r="J41">
        <f>IF(F41="Culex tarsalis",G41,0)</f>
        <v>2</v>
      </c>
      <c r="K41">
        <f>IF(F41="Culex pipiens",G41,0)</f>
        <v>0</v>
      </c>
    </row>
    <row r="42" spans="1:11">
      <c r="A42">
        <v>23</v>
      </c>
      <c r="B42" s="84">
        <v>45084</v>
      </c>
      <c r="C42" t="s">
        <v>210</v>
      </c>
      <c r="D42" t="s">
        <v>241</v>
      </c>
      <c r="E42" t="s">
        <v>161</v>
      </c>
      <c r="F42" t="s">
        <v>214</v>
      </c>
      <c r="G42">
        <v>5</v>
      </c>
      <c r="H42" t="s">
        <v>213</v>
      </c>
      <c r="I42" t="s">
        <v>176</v>
      </c>
      <c r="J42">
        <f>IF(F42="Culex tarsalis",G42,0)</f>
        <v>0</v>
      </c>
      <c r="K42">
        <f>IF(F42="Culex pipiens",G42,0)</f>
        <v>5</v>
      </c>
    </row>
    <row r="43" spans="1:11">
      <c r="A43">
        <v>23</v>
      </c>
      <c r="B43" s="69">
        <v>45082</v>
      </c>
      <c r="C43" t="s">
        <v>210</v>
      </c>
      <c r="D43" t="s">
        <v>242</v>
      </c>
      <c r="E43" t="s">
        <v>87</v>
      </c>
      <c r="F43" t="s">
        <v>212</v>
      </c>
      <c r="G43">
        <v>14</v>
      </c>
      <c r="H43" t="s">
        <v>213</v>
      </c>
      <c r="I43" t="s">
        <v>104</v>
      </c>
      <c r="J43">
        <f>IF(F43="Culex tarsalis",G43,0)</f>
        <v>14</v>
      </c>
      <c r="K43">
        <f>IF(F43="Culex pipiens",G43,0)</f>
        <v>0</v>
      </c>
    </row>
    <row r="44" spans="1:11">
      <c r="A44">
        <v>23</v>
      </c>
      <c r="B44" s="69">
        <v>45082</v>
      </c>
      <c r="C44" t="s">
        <v>210</v>
      </c>
      <c r="D44" t="s">
        <v>242</v>
      </c>
      <c r="E44" t="s">
        <v>87</v>
      </c>
      <c r="F44" t="s">
        <v>214</v>
      </c>
      <c r="G44">
        <v>1</v>
      </c>
      <c r="H44" t="s">
        <v>213</v>
      </c>
      <c r="I44" t="s">
        <v>104</v>
      </c>
      <c r="J44">
        <f>IF(F44="Culex tarsalis",G44,0)</f>
        <v>0</v>
      </c>
      <c r="K44">
        <f>IF(F44="Culex pipiens",G44,0)</f>
        <v>1</v>
      </c>
    </row>
    <row r="45" spans="1:11">
      <c r="A45">
        <v>23</v>
      </c>
      <c r="B45" s="69">
        <v>45081</v>
      </c>
      <c r="C45" t="s">
        <v>210</v>
      </c>
      <c r="D45" t="s">
        <v>243</v>
      </c>
      <c r="E45" t="s">
        <v>49</v>
      </c>
      <c r="F45" t="s">
        <v>212</v>
      </c>
      <c r="G45">
        <v>1</v>
      </c>
      <c r="H45" t="s">
        <v>213</v>
      </c>
      <c r="I45" t="s">
        <v>53</v>
      </c>
      <c r="J45">
        <f>IF(F45="Culex tarsalis",G45,0)</f>
        <v>1</v>
      </c>
      <c r="K45">
        <f>IF(F45="Culex pipiens",G45,0)</f>
        <v>0</v>
      </c>
    </row>
    <row r="46" spans="1:11">
      <c r="A46">
        <v>23</v>
      </c>
      <c r="B46" s="69">
        <v>45081</v>
      </c>
      <c r="C46" t="s">
        <v>210</v>
      </c>
      <c r="D46" t="s">
        <v>243</v>
      </c>
      <c r="E46" t="s">
        <v>49</v>
      </c>
      <c r="F46" t="s">
        <v>214</v>
      </c>
      <c r="G46">
        <v>2</v>
      </c>
      <c r="H46" t="s">
        <v>213</v>
      </c>
      <c r="I46" t="s">
        <v>53</v>
      </c>
      <c r="J46">
        <f>IF(F46="Culex tarsalis",G46,0)</f>
        <v>0</v>
      </c>
      <c r="K46">
        <f>IF(F46="Culex pipiens",G46,0)</f>
        <v>2</v>
      </c>
    </row>
    <row r="47" spans="1:11">
      <c r="A47">
        <v>23</v>
      </c>
      <c r="B47" s="69">
        <v>45081</v>
      </c>
      <c r="C47" t="s">
        <v>210</v>
      </c>
      <c r="D47" t="s">
        <v>244</v>
      </c>
      <c r="E47" t="s">
        <v>49</v>
      </c>
      <c r="F47" t="s">
        <v>212</v>
      </c>
      <c r="G47">
        <v>1</v>
      </c>
      <c r="H47" t="s">
        <v>213</v>
      </c>
      <c r="I47" t="s">
        <v>48</v>
      </c>
      <c r="J47">
        <f>IF(F47="Culex tarsalis",G47,0)</f>
        <v>1</v>
      </c>
      <c r="K47">
        <f>IF(F47="Culex pipiens",G47,0)</f>
        <v>0</v>
      </c>
    </row>
    <row r="48" spans="1:11">
      <c r="A48">
        <v>23</v>
      </c>
      <c r="B48" s="84">
        <v>45084</v>
      </c>
      <c r="C48" t="s">
        <v>210</v>
      </c>
      <c r="D48" t="s">
        <v>245</v>
      </c>
      <c r="E48" t="s">
        <v>161</v>
      </c>
      <c r="F48" t="s">
        <v>212</v>
      </c>
      <c r="G48">
        <v>1</v>
      </c>
      <c r="H48" t="s">
        <v>213</v>
      </c>
      <c r="I48" t="s">
        <v>184</v>
      </c>
      <c r="J48">
        <f>IF(F48="Culex tarsalis",G48,0)</f>
        <v>1</v>
      </c>
      <c r="K48">
        <f>IF(F48="Culex pipiens",G48,0)</f>
        <v>0</v>
      </c>
    </row>
    <row r="49" spans="1:11">
      <c r="A49">
        <v>23</v>
      </c>
      <c r="B49" s="84">
        <v>45084</v>
      </c>
      <c r="C49" t="s">
        <v>210</v>
      </c>
      <c r="D49" t="s">
        <v>245</v>
      </c>
      <c r="E49" t="s">
        <v>161</v>
      </c>
      <c r="F49" t="s">
        <v>214</v>
      </c>
      <c r="G49">
        <v>1</v>
      </c>
      <c r="H49" t="s">
        <v>213</v>
      </c>
      <c r="I49" t="s">
        <v>184</v>
      </c>
      <c r="J49">
        <f>IF(F49="Culex tarsalis",G49,0)</f>
        <v>0</v>
      </c>
      <c r="K49">
        <f>IF(F49="Culex pipiens",G49,0)</f>
        <v>1</v>
      </c>
    </row>
    <row r="50" spans="1:11">
      <c r="A50">
        <v>23</v>
      </c>
      <c r="B50" s="69">
        <v>45083</v>
      </c>
      <c r="C50" t="s">
        <v>210</v>
      </c>
      <c r="D50" t="s">
        <v>246</v>
      </c>
      <c r="E50" t="s">
        <v>71</v>
      </c>
      <c r="F50" t="s">
        <v>212</v>
      </c>
      <c r="G50">
        <v>10</v>
      </c>
      <c r="H50" t="s">
        <v>213</v>
      </c>
      <c r="I50" t="s">
        <v>124</v>
      </c>
      <c r="J50">
        <f>IF(F50="Culex tarsalis",G50,0)</f>
        <v>10</v>
      </c>
      <c r="K50">
        <f>IF(F50="Culex pipiens",G50,0)</f>
        <v>0</v>
      </c>
    </row>
    <row r="51" spans="1:11">
      <c r="A51">
        <v>23</v>
      </c>
      <c r="B51" s="69">
        <v>45083</v>
      </c>
      <c r="C51" t="s">
        <v>210</v>
      </c>
      <c r="D51" t="s">
        <v>246</v>
      </c>
      <c r="E51" t="s">
        <v>71</v>
      </c>
      <c r="F51" t="s">
        <v>214</v>
      </c>
      <c r="G51">
        <v>4</v>
      </c>
      <c r="H51" t="s">
        <v>213</v>
      </c>
      <c r="I51" t="s">
        <v>124</v>
      </c>
      <c r="J51">
        <f>IF(F51="Culex tarsalis",G51,0)</f>
        <v>0</v>
      </c>
      <c r="K51">
        <f>IF(F51="Culex pipiens",G51,0)</f>
        <v>4</v>
      </c>
    </row>
    <row r="52" spans="1:11">
      <c r="A52">
        <v>23</v>
      </c>
      <c r="B52" s="69">
        <v>45082</v>
      </c>
      <c r="C52" t="s">
        <v>210</v>
      </c>
      <c r="D52" t="s">
        <v>247</v>
      </c>
      <c r="E52" t="s">
        <v>87</v>
      </c>
      <c r="F52" t="s">
        <v>212</v>
      </c>
      <c r="G52">
        <v>8</v>
      </c>
      <c r="H52" t="s">
        <v>213</v>
      </c>
      <c r="I52" t="s">
        <v>100</v>
      </c>
      <c r="J52">
        <f>IF(F52="Culex tarsalis",G52,0)</f>
        <v>8</v>
      </c>
      <c r="K52">
        <f>IF(F52="Culex pipiens",G52,0)</f>
        <v>0</v>
      </c>
    </row>
    <row r="53" spans="1:11">
      <c r="A53">
        <v>23</v>
      </c>
      <c r="B53" s="69">
        <v>45082</v>
      </c>
      <c r="C53" t="s">
        <v>210</v>
      </c>
      <c r="D53" t="s">
        <v>248</v>
      </c>
      <c r="E53" t="s">
        <v>87</v>
      </c>
      <c r="F53" t="s">
        <v>212</v>
      </c>
      <c r="G53">
        <v>7</v>
      </c>
      <c r="H53" t="s">
        <v>213</v>
      </c>
      <c r="I53" t="s">
        <v>114</v>
      </c>
      <c r="J53">
        <f>IF(F53="Culex tarsalis",G53,0)</f>
        <v>7</v>
      </c>
      <c r="K53">
        <f>IF(F53="Culex pipiens",G53,0)</f>
        <v>0</v>
      </c>
    </row>
    <row r="54" spans="1:11">
      <c r="A54">
        <v>23</v>
      </c>
      <c r="B54" s="69">
        <v>45082</v>
      </c>
      <c r="C54" t="s">
        <v>210</v>
      </c>
      <c r="D54" t="s">
        <v>248</v>
      </c>
      <c r="E54" t="s">
        <v>87</v>
      </c>
      <c r="F54" t="s">
        <v>214</v>
      </c>
      <c r="G54">
        <v>3</v>
      </c>
      <c r="H54" t="s">
        <v>213</v>
      </c>
      <c r="I54" t="s">
        <v>114</v>
      </c>
      <c r="J54">
        <f>IF(F54="Culex tarsalis",G54,0)</f>
        <v>0</v>
      </c>
      <c r="K54">
        <f>IF(F54="Culex pipiens",G54,0)</f>
        <v>3</v>
      </c>
    </row>
    <row r="55" spans="1:11">
      <c r="A55">
        <v>23</v>
      </c>
      <c r="B55" s="84">
        <v>45084</v>
      </c>
      <c r="C55" t="s">
        <v>210</v>
      </c>
      <c r="D55" t="s">
        <v>249</v>
      </c>
      <c r="E55" t="s">
        <v>161</v>
      </c>
      <c r="F55" t="s">
        <v>212</v>
      </c>
      <c r="G55">
        <v>14</v>
      </c>
      <c r="H55" t="s">
        <v>213</v>
      </c>
      <c r="I55" t="s">
        <v>179</v>
      </c>
      <c r="J55">
        <f>IF(F55="Culex tarsalis",G55,0)</f>
        <v>14</v>
      </c>
      <c r="K55">
        <f>IF(F55="Culex pipiens",G55,0)</f>
        <v>0</v>
      </c>
    </row>
    <row r="56" spans="1:11">
      <c r="A56">
        <v>23</v>
      </c>
      <c r="B56" s="84">
        <v>45084</v>
      </c>
      <c r="C56" t="s">
        <v>210</v>
      </c>
      <c r="D56" t="s">
        <v>249</v>
      </c>
      <c r="E56" t="s">
        <v>161</v>
      </c>
      <c r="F56" t="s">
        <v>214</v>
      </c>
      <c r="G56">
        <v>5</v>
      </c>
      <c r="H56" t="s">
        <v>213</v>
      </c>
      <c r="I56" t="s">
        <v>179</v>
      </c>
      <c r="J56">
        <f>IF(F56="Culex tarsalis",G56,0)</f>
        <v>0</v>
      </c>
      <c r="K56">
        <f>IF(F56="Culex pipiens",G56,0)</f>
        <v>5</v>
      </c>
    </row>
    <row r="57" spans="1:11">
      <c r="A57">
        <v>23</v>
      </c>
      <c r="B57" s="69">
        <v>45083</v>
      </c>
      <c r="C57" t="s">
        <v>250</v>
      </c>
      <c r="D57" t="s">
        <v>251</v>
      </c>
      <c r="E57" t="s">
        <v>127</v>
      </c>
      <c r="F57" t="s">
        <v>212</v>
      </c>
      <c r="G57">
        <v>9</v>
      </c>
      <c r="H57" t="s">
        <v>213</v>
      </c>
      <c r="I57" t="s">
        <v>252</v>
      </c>
      <c r="J57">
        <f>IF(F57="Culex tarsalis",G57,0)</f>
        <v>9</v>
      </c>
      <c r="K57">
        <f>IF(F57="Culex pipiens",G57,0)</f>
        <v>0</v>
      </c>
    </row>
    <row r="58" spans="1:11">
      <c r="A58">
        <v>23</v>
      </c>
      <c r="B58" s="69">
        <v>45083</v>
      </c>
      <c r="C58" t="s">
        <v>250</v>
      </c>
      <c r="D58" t="s">
        <v>253</v>
      </c>
      <c r="E58" t="s">
        <v>127</v>
      </c>
      <c r="F58" t="s">
        <v>212</v>
      </c>
      <c r="G58">
        <v>3</v>
      </c>
      <c r="H58" t="s">
        <v>213</v>
      </c>
      <c r="I58" t="s">
        <v>254</v>
      </c>
      <c r="J58">
        <f>IF(F58="Culex tarsalis",G58,0)</f>
        <v>3</v>
      </c>
      <c r="K58">
        <f>IF(F58="Culex pipiens",G58,0)</f>
        <v>0</v>
      </c>
    </row>
    <row r="59" spans="1:11">
      <c r="A59">
        <v>23</v>
      </c>
      <c r="B59" s="69">
        <v>45083</v>
      </c>
      <c r="C59" t="s">
        <v>250</v>
      </c>
      <c r="D59" t="s">
        <v>255</v>
      </c>
      <c r="E59" t="s">
        <v>127</v>
      </c>
      <c r="F59" t="s">
        <v>212</v>
      </c>
      <c r="G59">
        <v>19</v>
      </c>
      <c r="H59" t="s">
        <v>213</v>
      </c>
      <c r="I59" t="s">
        <v>256</v>
      </c>
      <c r="J59">
        <f>IF(F59="Culex tarsalis",G59,0)</f>
        <v>19</v>
      </c>
      <c r="K59">
        <f>IF(F59="Culex pipiens",G59,0)</f>
        <v>0</v>
      </c>
    </row>
    <row r="60" spans="1:11">
      <c r="A60">
        <v>23</v>
      </c>
      <c r="B60" s="69">
        <v>45083</v>
      </c>
      <c r="C60" t="s">
        <v>250</v>
      </c>
      <c r="D60" t="s">
        <v>257</v>
      </c>
      <c r="E60" t="s">
        <v>127</v>
      </c>
      <c r="F60" t="s">
        <v>212</v>
      </c>
      <c r="G60">
        <v>16</v>
      </c>
      <c r="H60" t="s">
        <v>213</v>
      </c>
      <c r="I60" t="s">
        <v>258</v>
      </c>
      <c r="J60">
        <f>IF(F60="Culex tarsalis",G60,0)</f>
        <v>16</v>
      </c>
      <c r="K60">
        <f>IF(F60="Culex pipiens",G60,0)</f>
        <v>0</v>
      </c>
    </row>
    <row r="61" spans="1:11">
      <c r="A61">
        <v>23</v>
      </c>
      <c r="B61" s="84">
        <v>45081</v>
      </c>
      <c r="C61" t="s">
        <v>259</v>
      </c>
      <c r="D61" t="s">
        <v>260</v>
      </c>
      <c r="E61" t="s">
        <v>33</v>
      </c>
      <c r="F61" t="s">
        <v>212</v>
      </c>
      <c r="G61">
        <v>2</v>
      </c>
      <c r="H61" t="s">
        <v>213</v>
      </c>
      <c r="I61" t="s">
        <v>261</v>
      </c>
      <c r="J61">
        <f>IF(F61="Culex tarsalis",G61,0)</f>
        <v>2</v>
      </c>
      <c r="K61">
        <f>IF(F61="Culex pipiens",G61,0)</f>
        <v>0</v>
      </c>
    </row>
    <row r="62" spans="1:11">
      <c r="A62">
        <v>23</v>
      </c>
      <c r="B62" s="84">
        <v>45084</v>
      </c>
      <c r="C62" t="s">
        <v>259</v>
      </c>
      <c r="D62" t="s">
        <v>262</v>
      </c>
      <c r="E62" t="s">
        <v>33</v>
      </c>
      <c r="F62" t="s">
        <v>214</v>
      </c>
      <c r="G62">
        <v>1</v>
      </c>
      <c r="H62" t="s">
        <v>213</v>
      </c>
      <c r="I62" t="s">
        <v>263</v>
      </c>
      <c r="J62">
        <f>IF(F62="Culex tarsalis",G62,0)</f>
        <v>0</v>
      </c>
      <c r="K62">
        <f>IF(F62="Culex pipiens",G62,0)</f>
        <v>1</v>
      </c>
    </row>
    <row r="63" spans="1:11">
      <c r="A63">
        <v>23</v>
      </c>
      <c r="B63" s="84">
        <v>45084</v>
      </c>
      <c r="C63" t="s">
        <v>259</v>
      </c>
      <c r="D63" t="s">
        <v>262</v>
      </c>
      <c r="E63" t="s">
        <v>33</v>
      </c>
      <c r="F63" t="s">
        <v>212</v>
      </c>
      <c r="G63">
        <v>3</v>
      </c>
      <c r="H63" t="s">
        <v>213</v>
      </c>
      <c r="I63" t="s">
        <v>263</v>
      </c>
      <c r="J63">
        <f>IF(F63="Culex tarsalis",G63,0)</f>
        <v>3</v>
      </c>
      <c r="K63">
        <f>IF(F63="Culex pipiens",G63,0)</f>
        <v>0</v>
      </c>
    </row>
    <row r="64" spans="1:11">
      <c r="A64">
        <v>23</v>
      </c>
      <c r="B64" s="84">
        <v>45083</v>
      </c>
      <c r="C64" t="s">
        <v>259</v>
      </c>
      <c r="D64" t="s">
        <v>264</v>
      </c>
      <c r="E64" t="s">
        <v>33</v>
      </c>
      <c r="F64" t="s">
        <v>212</v>
      </c>
      <c r="G64">
        <v>2</v>
      </c>
      <c r="H64" t="s">
        <v>213</v>
      </c>
      <c r="I64" t="s">
        <v>265</v>
      </c>
      <c r="J64">
        <f>IF(F64="Culex tarsalis",G64,0)</f>
        <v>2</v>
      </c>
      <c r="K64">
        <f>IF(F64="Culex pipiens",G64,0)</f>
        <v>0</v>
      </c>
    </row>
    <row r="65" spans="1:11">
      <c r="A65">
        <v>23</v>
      </c>
      <c r="B65" s="84">
        <v>45083</v>
      </c>
      <c r="C65" t="s">
        <v>259</v>
      </c>
      <c r="D65" t="s">
        <v>266</v>
      </c>
      <c r="E65" t="s">
        <v>33</v>
      </c>
      <c r="F65" t="s">
        <v>212</v>
      </c>
      <c r="G65">
        <v>25</v>
      </c>
      <c r="H65" t="s">
        <v>213</v>
      </c>
      <c r="I65" t="s">
        <v>137</v>
      </c>
      <c r="J65">
        <f>IF(F65="Culex tarsalis",G65,0)</f>
        <v>25</v>
      </c>
      <c r="K65">
        <f>IF(F65="Culex pipiens",G65,0)</f>
        <v>0</v>
      </c>
    </row>
    <row r="66" spans="1:11">
      <c r="A66">
        <v>23</v>
      </c>
      <c r="B66" s="84">
        <v>45083</v>
      </c>
      <c r="C66" t="s">
        <v>259</v>
      </c>
      <c r="D66" t="s">
        <v>267</v>
      </c>
      <c r="E66" t="s">
        <v>33</v>
      </c>
      <c r="F66" t="s">
        <v>212</v>
      </c>
      <c r="G66">
        <v>22</v>
      </c>
      <c r="H66" t="s">
        <v>213</v>
      </c>
      <c r="I66" t="s">
        <v>268</v>
      </c>
      <c r="J66">
        <f>IF(F66="Culex tarsalis",G66,0)</f>
        <v>22</v>
      </c>
      <c r="K66">
        <f>IF(F66="Culex pipiens",G66,0)</f>
        <v>0</v>
      </c>
    </row>
    <row r="67" spans="1:11">
      <c r="A67">
        <v>23</v>
      </c>
      <c r="B67" s="84">
        <v>45083</v>
      </c>
      <c r="C67" t="s">
        <v>259</v>
      </c>
      <c r="D67" t="s">
        <v>269</v>
      </c>
      <c r="E67" t="s">
        <v>33</v>
      </c>
      <c r="F67" t="s">
        <v>212</v>
      </c>
      <c r="G67">
        <v>34</v>
      </c>
      <c r="H67" t="s">
        <v>213</v>
      </c>
      <c r="I67" t="s">
        <v>270</v>
      </c>
      <c r="J67">
        <f>IF(F67="Culex tarsalis",G67,0)</f>
        <v>34</v>
      </c>
      <c r="K67">
        <f>IF(F67="Culex pipiens",G67,0)</f>
        <v>0</v>
      </c>
    </row>
    <row r="68" spans="1:11">
      <c r="A68">
        <v>23</v>
      </c>
      <c r="B68" s="84">
        <v>45081</v>
      </c>
      <c r="C68" t="s">
        <v>259</v>
      </c>
      <c r="D68" t="s">
        <v>271</v>
      </c>
      <c r="E68" t="s">
        <v>33</v>
      </c>
      <c r="F68" t="s">
        <v>212</v>
      </c>
      <c r="G68">
        <v>3</v>
      </c>
      <c r="H68" t="s">
        <v>213</v>
      </c>
      <c r="I68" t="s">
        <v>34</v>
      </c>
      <c r="J68">
        <f>IF(F68="Culex tarsalis",G68,0)</f>
        <v>3</v>
      </c>
      <c r="K68">
        <f>IF(F68="Culex pipiens",G68,0)</f>
        <v>0</v>
      </c>
    </row>
    <row r="69" spans="1:11">
      <c r="A69">
        <v>23</v>
      </c>
      <c r="B69" s="84">
        <v>45082</v>
      </c>
      <c r="C69" t="s">
        <v>259</v>
      </c>
      <c r="D69" t="s">
        <v>272</v>
      </c>
      <c r="E69" t="s">
        <v>33</v>
      </c>
      <c r="F69" t="s">
        <v>214</v>
      </c>
      <c r="G69">
        <v>2</v>
      </c>
      <c r="H69" t="s">
        <v>213</v>
      </c>
      <c r="I69" t="s">
        <v>273</v>
      </c>
      <c r="J69">
        <f>IF(F69="Culex tarsalis",G69,0)</f>
        <v>0</v>
      </c>
      <c r="K69">
        <f>IF(F69="Culex pipiens",G69,0)</f>
        <v>2</v>
      </c>
    </row>
    <row r="70" spans="1:11">
      <c r="A70">
        <v>23</v>
      </c>
      <c r="B70" s="84">
        <v>45082</v>
      </c>
      <c r="C70" t="s">
        <v>259</v>
      </c>
      <c r="D70" t="s">
        <v>272</v>
      </c>
      <c r="E70" t="s">
        <v>33</v>
      </c>
      <c r="F70" t="s">
        <v>212</v>
      </c>
      <c r="G70">
        <v>1</v>
      </c>
      <c r="H70" t="s">
        <v>213</v>
      </c>
      <c r="I70" t="s">
        <v>273</v>
      </c>
      <c r="J70">
        <f>IF(F70="Culex tarsalis",G70,0)</f>
        <v>1</v>
      </c>
      <c r="K70">
        <f>IF(F70="Culex pipiens",G70,0)</f>
        <v>0</v>
      </c>
    </row>
    <row r="71" spans="1:11">
      <c r="A71">
        <v>23</v>
      </c>
      <c r="B71" s="84">
        <v>45081</v>
      </c>
      <c r="C71" t="s">
        <v>259</v>
      </c>
      <c r="D71" t="s">
        <v>274</v>
      </c>
      <c r="E71" t="s">
        <v>33</v>
      </c>
      <c r="F71" t="s">
        <v>212</v>
      </c>
      <c r="G71">
        <v>3</v>
      </c>
      <c r="H71" t="s">
        <v>213</v>
      </c>
      <c r="I71" t="s">
        <v>275</v>
      </c>
      <c r="J71">
        <f>IF(F71="Culex tarsalis",G71,0)</f>
        <v>3</v>
      </c>
      <c r="K71">
        <f>IF(F71="Culex pipiens",G71,0)</f>
        <v>0</v>
      </c>
    </row>
    <row r="72" spans="1:11">
      <c r="A72">
        <v>23</v>
      </c>
      <c r="B72" s="84">
        <v>45081</v>
      </c>
      <c r="C72" t="s">
        <v>259</v>
      </c>
      <c r="D72" t="s">
        <v>276</v>
      </c>
      <c r="E72" t="s">
        <v>33</v>
      </c>
      <c r="F72" t="s">
        <v>212</v>
      </c>
      <c r="G72">
        <v>4</v>
      </c>
      <c r="H72" t="s">
        <v>213</v>
      </c>
      <c r="I72" t="s">
        <v>277</v>
      </c>
      <c r="J72">
        <f>IF(F72="Culex tarsalis",G72,0)</f>
        <v>4</v>
      </c>
      <c r="K72">
        <f>IF(F72="Culex pipiens",G72,0)</f>
        <v>0</v>
      </c>
    </row>
    <row r="73" spans="1:11">
      <c r="A73">
        <v>23</v>
      </c>
      <c r="B73" s="84">
        <v>45083</v>
      </c>
      <c r="C73" t="s">
        <v>259</v>
      </c>
      <c r="D73" t="s">
        <v>278</v>
      </c>
      <c r="E73" t="s">
        <v>33</v>
      </c>
      <c r="F73" t="s">
        <v>212</v>
      </c>
      <c r="G73">
        <v>2</v>
      </c>
      <c r="H73" t="s">
        <v>213</v>
      </c>
      <c r="I73" t="s">
        <v>279</v>
      </c>
      <c r="J73">
        <f>IF(F73="Culex tarsalis",G73,0)</f>
        <v>2</v>
      </c>
      <c r="K73">
        <f>IF(F73="Culex pipiens",G73,0)</f>
        <v>0</v>
      </c>
    </row>
    <row r="74" spans="1:11">
      <c r="A74">
        <v>23</v>
      </c>
      <c r="B74" s="84">
        <v>45081</v>
      </c>
      <c r="C74" t="s">
        <v>259</v>
      </c>
      <c r="D74" t="s">
        <v>280</v>
      </c>
      <c r="E74" t="s">
        <v>33</v>
      </c>
      <c r="F74" t="s">
        <v>214</v>
      </c>
      <c r="G74">
        <v>1</v>
      </c>
      <c r="H74" t="s">
        <v>213</v>
      </c>
      <c r="I74" t="s">
        <v>281</v>
      </c>
      <c r="J74">
        <f>IF(F74="Culex tarsalis",G74,0)</f>
        <v>0</v>
      </c>
      <c r="K74">
        <f>IF(F74="Culex pipiens",G74,0)</f>
        <v>1</v>
      </c>
    </row>
    <row r="75" spans="1:11">
      <c r="A75">
        <v>23</v>
      </c>
      <c r="B75" s="84">
        <v>45081</v>
      </c>
      <c r="C75" t="s">
        <v>259</v>
      </c>
      <c r="D75" t="s">
        <v>280</v>
      </c>
      <c r="E75" t="s">
        <v>33</v>
      </c>
      <c r="F75" t="s">
        <v>212</v>
      </c>
      <c r="G75">
        <v>2</v>
      </c>
      <c r="H75" t="s">
        <v>213</v>
      </c>
      <c r="I75" t="s">
        <v>281</v>
      </c>
      <c r="J75">
        <f>IF(F75="Culex tarsalis",G75,0)</f>
        <v>2</v>
      </c>
      <c r="K75">
        <f>IF(F75="Culex pipiens",G75,0)</f>
        <v>0</v>
      </c>
    </row>
    <row r="76" spans="1:11">
      <c r="A76">
        <v>23</v>
      </c>
      <c r="B76" s="84">
        <v>45082</v>
      </c>
      <c r="C76" t="s">
        <v>259</v>
      </c>
      <c r="D76" t="s">
        <v>282</v>
      </c>
      <c r="E76" t="s">
        <v>33</v>
      </c>
      <c r="F76" t="s">
        <v>212</v>
      </c>
      <c r="G76">
        <v>97</v>
      </c>
      <c r="H76" t="s">
        <v>213</v>
      </c>
      <c r="I76" t="s">
        <v>80</v>
      </c>
      <c r="J76">
        <f>IF(F76="Culex tarsalis",G76,0)</f>
        <v>97</v>
      </c>
      <c r="K76">
        <f>IF(F76="Culex pipiens",G76,0)</f>
        <v>0</v>
      </c>
    </row>
    <row r="77" spans="1:11">
      <c r="A77">
        <v>23</v>
      </c>
      <c r="B77" s="84">
        <v>45082</v>
      </c>
      <c r="C77" t="s">
        <v>259</v>
      </c>
      <c r="D77" t="s">
        <v>282</v>
      </c>
      <c r="E77" t="s">
        <v>33</v>
      </c>
      <c r="F77" t="s">
        <v>214</v>
      </c>
      <c r="G77">
        <v>4</v>
      </c>
      <c r="H77" t="s">
        <v>213</v>
      </c>
      <c r="I77" t="s">
        <v>80</v>
      </c>
      <c r="J77">
        <f>IF(F77="Culex tarsalis",G77,0)</f>
        <v>0</v>
      </c>
      <c r="K77">
        <f>IF(F77="Culex pipiens",G77,0)</f>
        <v>4</v>
      </c>
    </row>
    <row r="78" spans="1:11">
      <c r="A78">
        <v>23</v>
      </c>
      <c r="B78" s="84">
        <v>45081</v>
      </c>
      <c r="C78" t="s">
        <v>259</v>
      </c>
      <c r="D78" t="s">
        <v>283</v>
      </c>
      <c r="E78" t="s">
        <v>33</v>
      </c>
      <c r="F78" t="s">
        <v>212</v>
      </c>
      <c r="G78">
        <v>2</v>
      </c>
      <c r="H78" t="s">
        <v>213</v>
      </c>
      <c r="I78" t="s">
        <v>284</v>
      </c>
      <c r="J78">
        <f>IF(F78="Culex tarsalis",G78,0)</f>
        <v>2</v>
      </c>
      <c r="K78">
        <f>IF(F78="Culex pipiens",G78,0)</f>
        <v>0</v>
      </c>
    </row>
    <row r="79" spans="1:11">
      <c r="A79">
        <v>23</v>
      </c>
      <c r="B79" s="84">
        <v>45081</v>
      </c>
      <c r="C79" t="s">
        <v>259</v>
      </c>
      <c r="D79" t="s">
        <v>285</v>
      </c>
      <c r="E79" t="s">
        <v>33</v>
      </c>
      <c r="F79" t="s">
        <v>214</v>
      </c>
      <c r="G79">
        <v>1</v>
      </c>
      <c r="H79" t="s">
        <v>213</v>
      </c>
      <c r="I79" t="s">
        <v>42</v>
      </c>
      <c r="J79">
        <f>IF(F79="Culex tarsalis",G79,0)</f>
        <v>0</v>
      </c>
      <c r="K79">
        <f>IF(F79="Culex pipiens",G79,0)</f>
        <v>1</v>
      </c>
    </row>
    <row r="80" spans="1:11">
      <c r="A80">
        <v>23</v>
      </c>
      <c r="B80" s="84">
        <v>45081</v>
      </c>
      <c r="C80" t="s">
        <v>259</v>
      </c>
      <c r="D80" t="s">
        <v>285</v>
      </c>
      <c r="E80" t="s">
        <v>33</v>
      </c>
      <c r="F80" t="s">
        <v>212</v>
      </c>
      <c r="G80">
        <v>4</v>
      </c>
      <c r="H80" t="s">
        <v>213</v>
      </c>
      <c r="I80" t="s">
        <v>42</v>
      </c>
      <c r="J80">
        <f>IF(F80="Culex tarsalis",G80,0)</f>
        <v>4</v>
      </c>
      <c r="K80">
        <f>IF(F80="Culex pipiens",G80,0)</f>
        <v>0</v>
      </c>
    </row>
    <row r="81" spans="1:11">
      <c r="A81">
        <v>23</v>
      </c>
      <c r="B81" s="84">
        <v>45084</v>
      </c>
      <c r="C81" t="s">
        <v>259</v>
      </c>
      <c r="D81" t="s">
        <v>286</v>
      </c>
      <c r="E81" t="s">
        <v>33</v>
      </c>
      <c r="F81" t="s">
        <v>214</v>
      </c>
      <c r="G81">
        <v>3</v>
      </c>
      <c r="H81" t="s">
        <v>213</v>
      </c>
      <c r="I81" t="s">
        <v>287</v>
      </c>
      <c r="J81">
        <f>IF(F81="Culex tarsalis",G81,0)</f>
        <v>0</v>
      </c>
      <c r="K81">
        <f>IF(F81="Culex pipiens",G81,0)</f>
        <v>3</v>
      </c>
    </row>
    <row r="82" spans="1:11">
      <c r="A82">
        <v>23</v>
      </c>
      <c r="B82" s="84">
        <v>45084</v>
      </c>
      <c r="C82" t="s">
        <v>259</v>
      </c>
      <c r="D82" t="s">
        <v>286</v>
      </c>
      <c r="E82" t="s">
        <v>33</v>
      </c>
      <c r="F82" t="s">
        <v>212</v>
      </c>
      <c r="G82">
        <v>1</v>
      </c>
      <c r="H82" t="s">
        <v>213</v>
      </c>
      <c r="I82" t="s">
        <v>287</v>
      </c>
      <c r="J82">
        <f>IF(F82="Culex tarsalis",G82,0)</f>
        <v>1</v>
      </c>
      <c r="K82">
        <f>IF(F82="Culex pipiens",G82,0)</f>
        <v>0</v>
      </c>
    </row>
    <row r="83" spans="1:11">
      <c r="A83">
        <v>23</v>
      </c>
      <c r="B83" s="84">
        <v>45084</v>
      </c>
      <c r="C83" t="s">
        <v>259</v>
      </c>
      <c r="D83" t="s">
        <v>288</v>
      </c>
      <c r="E83" t="s">
        <v>33</v>
      </c>
      <c r="F83" t="s">
        <v>214</v>
      </c>
      <c r="G83">
        <v>1</v>
      </c>
      <c r="H83" t="s">
        <v>213</v>
      </c>
      <c r="I83" t="s">
        <v>289</v>
      </c>
      <c r="J83">
        <f>IF(F83="Culex tarsalis",G83,0)</f>
        <v>0</v>
      </c>
      <c r="K83">
        <f>IF(F83="Culex pipiens",G83,0)</f>
        <v>1</v>
      </c>
    </row>
    <row r="84" spans="1:11">
      <c r="A84">
        <v>23</v>
      </c>
      <c r="B84" s="84">
        <v>45084</v>
      </c>
      <c r="C84" t="s">
        <v>259</v>
      </c>
      <c r="D84" t="s">
        <v>290</v>
      </c>
      <c r="E84" t="s">
        <v>33</v>
      </c>
      <c r="F84" t="s">
        <v>212</v>
      </c>
      <c r="G84">
        <v>2</v>
      </c>
      <c r="H84" t="s">
        <v>213</v>
      </c>
      <c r="I84" t="s">
        <v>291</v>
      </c>
      <c r="J84">
        <f>IF(F84="Culex tarsalis",G84,0)</f>
        <v>2</v>
      </c>
      <c r="K84">
        <f>IF(F84="Culex pipiens",G84,0)</f>
        <v>0</v>
      </c>
    </row>
    <row r="85" spans="1:11">
      <c r="A85">
        <v>23</v>
      </c>
      <c r="B85" s="84">
        <v>45082</v>
      </c>
      <c r="C85" t="s">
        <v>259</v>
      </c>
      <c r="D85" t="s">
        <v>292</v>
      </c>
      <c r="E85" t="s">
        <v>33</v>
      </c>
      <c r="F85" t="s">
        <v>214</v>
      </c>
      <c r="G85">
        <v>1</v>
      </c>
      <c r="H85" t="s">
        <v>213</v>
      </c>
      <c r="I85" t="s">
        <v>293</v>
      </c>
      <c r="J85">
        <f>IF(F85="Culex tarsalis",G85,0)</f>
        <v>0</v>
      </c>
      <c r="K85">
        <f>IF(F85="Culex pipiens",G85,0)</f>
        <v>1</v>
      </c>
    </row>
    <row r="86" spans="1:11">
      <c r="A86">
        <v>23</v>
      </c>
      <c r="B86" s="84">
        <v>45082</v>
      </c>
      <c r="C86" t="s">
        <v>259</v>
      </c>
      <c r="D86" t="s">
        <v>292</v>
      </c>
      <c r="E86" t="s">
        <v>33</v>
      </c>
      <c r="F86" t="s">
        <v>212</v>
      </c>
      <c r="G86">
        <v>2</v>
      </c>
      <c r="H86" t="s">
        <v>213</v>
      </c>
      <c r="I86" t="s">
        <v>293</v>
      </c>
      <c r="J86">
        <f>IF(F86="Culex tarsalis",G86,0)</f>
        <v>2</v>
      </c>
      <c r="K86">
        <f>IF(F86="Culex pipiens",G86,0)</f>
        <v>0</v>
      </c>
    </row>
    <row r="87" spans="1:11">
      <c r="A87">
        <v>23</v>
      </c>
      <c r="B87" s="84">
        <v>45084</v>
      </c>
      <c r="C87" t="s">
        <v>259</v>
      </c>
      <c r="D87" t="s">
        <v>294</v>
      </c>
      <c r="E87" t="s">
        <v>33</v>
      </c>
      <c r="F87" t="s">
        <v>212</v>
      </c>
      <c r="G87">
        <v>4</v>
      </c>
      <c r="H87" t="s">
        <v>213</v>
      </c>
      <c r="I87" t="s">
        <v>295</v>
      </c>
      <c r="J87">
        <f>IF(F87="Culex tarsalis",G87,0)</f>
        <v>4</v>
      </c>
      <c r="K87">
        <f>IF(F87="Culex pipiens",G87,0)</f>
        <v>0</v>
      </c>
    </row>
    <row r="88" spans="1:11">
      <c r="A88">
        <v>23</v>
      </c>
      <c r="B88" s="69">
        <v>45084</v>
      </c>
      <c r="C88" t="s">
        <v>259</v>
      </c>
      <c r="D88" t="s">
        <v>294</v>
      </c>
      <c r="E88" t="s">
        <v>33</v>
      </c>
      <c r="F88" t="s">
        <v>214</v>
      </c>
      <c r="G88">
        <v>6</v>
      </c>
      <c r="H88" t="s">
        <v>213</v>
      </c>
      <c r="I88" t="s">
        <v>295</v>
      </c>
      <c r="J88">
        <f>IF(F88="Culex tarsalis",G88,0)</f>
        <v>0</v>
      </c>
      <c r="K88">
        <f>IF(F88="Culex pipiens",G88,0)</f>
        <v>6</v>
      </c>
    </row>
    <row r="89" spans="1:11">
      <c r="A89">
        <v>23</v>
      </c>
      <c r="B89" s="84">
        <v>45082</v>
      </c>
      <c r="C89" t="s">
        <v>259</v>
      </c>
      <c r="D89" t="s">
        <v>296</v>
      </c>
      <c r="E89" t="s">
        <v>33</v>
      </c>
      <c r="F89" t="s">
        <v>212</v>
      </c>
      <c r="G89">
        <v>21</v>
      </c>
      <c r="H89" t="s">
        <v>213</v>
      </c>
      <c r="I89" t="s">
        <v>78</v>
      </c>
      <c r="J89">
        <f>IF(F89="Culex tarsalis",G89,0)</f>
        <v>21</v>
      </c>
      <c r="K89">
        <f>IF(F89="Culex pipiens",G89,0)</f>
        <v>0</v>
      </c>
    </row>
    <row r="90" spans="1:11">
      <c r="A90">
        <v>23</v>
      </c>
      <c r="B90" s="84">
        <v>45084</v>
      </c>
      <c r="C90" t="s">
        <v>259</v>
      </c>
      <c r="D90" t="s">
        <v>297</v>
      </c>
      <c r="E90" t="s">
        <v>33</v>
      </c>
      <c r="F90" t="s">
        <v>212</v>
      </c>
      <c r="G90">
        <v>2</v>
      </c>
      <c r="H90" t="s">
        <v>213</v>
      </c>
      <c r="I90" t="s">
        <v>298</v>
      </c>
      <c r="J90">
        <f>IF(F90="Culex tarsalis",G90,0)</f>
        <v>2</v>
      </c>
      <c r="K90">
        <f>IF(F90="Culex pipiens",G90,0)</f>
        <v>0</v>
      </c>
    </row>
    <row r="91" spans="1:11">
      <c r="A91">
        <v>23</v>
      </c>
      <c r="B91" s="84">
        <v>45082</v>
      </c>
      <c r="C91" t="s">
        <v>259</v>
      </c>
      <c r="D91" t="s">
        <v>299</v>
      </c>
      <c r="E91" t="s">
        <v>33</v>
      </c>
      <c r="F91" t="s">
        <v>212</v>
      </c>
      <c r="G91">
        <v>2</v>
      </c>
      <c r="H91" t="s">
        <v>213</v>
      </c>
      <c r="I91" t="s">
        <v>84</v>
      </c>
      <c r="J91">
        <f>IF(F91="Culex tarsalis",G91,0)</f>
        <v>2</v>
      </c>
      <c r="K91">
        <f>IF(F91="Culex pipiens",G91,0)</f>
        <v>0</v>
      </c>
    </row>
    <row r="92" spans="1:11">
      <c r="A92">
        <v>23</v>
      </c>
      <c r="B92" s="84">
        <v>45082</v>
      </c>
      <c r="C92" t="s">
        <v>259</v>
      </c>
      <c r="D92" t="s">
        <v>300</v>
      </c>
      <c r="E92" t="s">
        <v>33</v>
      </c>
      <c r="F92" t="s">
        <v>212</v>
      </c>
      <c r="G92">
        <v>4</v>
      </c>
      <c r="H92" t="s">
        <v>213</v>
      </c>
      <c r="I92" t="s">
        <v>301</v>
      </c>
      <c r="J92">
        <f>IF(F92="Culex tarsalis",G92,0)</f>
        <v>4</v>
      </c>
      <c r="K92">
        <f>IF(F92="Culex pipiens",G92,0)</f>
        <v>0</v>
      </c>
    </row>
    <row r="93" spans="1:11">
      <c r="A93">
        <v>23</v>
      </c>
      <c r="B93" s="84">
        <v>45082</v>
      </c>
      <c r="C93" t="s">
        <v>259</v>
      </c>
      <c r="D93" t="s">
        <v>300</v>
      </c>
      <c r="E93" t="s">
        <v>33</v>
      </c>
      <c r="F93" t="s">
        <v>214</v>
      </c>
      <c r="G93">
        <v>1</v>
      </c>
      <c r="H93" t="s">
        <v>213</v>
      </c>
      <c r="I93" t="s">
        <v>301</v>
      </c>
      <c r="J93">
        <f>IF(F93="Culex tarsalis",G93,0)</f>
        <v>0</v>
      </c>
      <c r="K93">
        <f>IF(F93="Culex pipiens",G93,0)</f>
        <v>1</v>
      </c>
    </row>
    <row r="94" spans="1:11">
      <c r="A94">
        <v>23</v>
      </c>
      <c r="B94" s="84">
        <v>45083</v>
      </c>
      <c r="C94" t="s">
        <v>259</v>
      </c>
      <c r="D94" t="s">
        <v>302</v>
      </c>
      <c r="E94" t="s">
        <v>33</v>
      </c>
      <c r="F94" t="s">
        <v>212</v>
      </c>
      <c r="G94">
        <v>12</v>
      </c>
      <c r="H94" t="s">
        <v>213</v>
      </c>
      <c r="I94" t="s">
        <v>303</v>
      </c>
      <c r="J94">
        <f>IF(F94="Culex tarsalis",G94,0)</f>
        <v>12</v>
      </c>
      <c r="K94">
        <f>IF(F94="Culex pipiens",G94,0)</f>
        <v>0</v>
      </c>
    </row>
    <row r="95" spans="1:11">
      <c r="A95">
        <v>23</v>
      </c>
      <c r="B95" s="84">
        <v>45081</v>
      </c>
      <c r="C95" t="s">
        <v>259</v>
      </c>
      <c r="D95" t="s">
        <v>304</v>
      </c>
      <c r="E95" t="s">
        <v>33</v>
      </c>
      <c r="F95" t="s">
        <v>214</v>
      </c>
      <c r="G95">
        <v>1</v>
      </c>
      <c r="H95" t="s">
        <v>213</v>
      </c>
      <c r="I95" t="s">
        <v>305</v>
      </c>
      <c r="J95">
        <f>IF(F95="Culex tarsalis",G95,0)</f>
        <v>0</v>
      </c>
      <c r="K95">
        <f>IF(F95="Culex pipiens",G95,0)</f>
        <v>1</v>
      </c>
    </row>
    <row r="96" spans="1:11">
      <c r="A96">
        <v>23</v>
      </c>
      <c r="B96" s="84">
        <v>45081</v>
      </c>
      <c r="C96" t="s">
        <v>259</v>
      </c>
      <c r="D96" t="s">
        <v>306</v>
      </c>
      <c r="E96" t="s">
        <v>33</v>
      </c>
      <c r="F96" t="s">
        <v>212</v>
      </c>
      <c r="G96">
        <v>1</v>
      </c>
      <c r="H96" t="s">
        <v>213</v>
      </c>
      <c r="I96" t="s">
        <v>307</v>
      </c>
      <c r="J96">
        <f>IF(F96="Culex tarsalis",G96,0)</f>
        <v>1</v>
      </c>
      <c r="K96">
        <f>IF(F96="Culex pipiens",G96,0)</f>
        <v>0</v>
      </c>
    </row>
    <row r="97" spans="1:11">
      <c r="A97">
        <v>23</v>
      </c>
      <c r="B97" s="84">
        <v>45083</v>
      </c>
      <c r="C97" t="s">
        <v>259</v>
      </c>
      <c r="D97" t="s">
        <v>308</v>
      </c>
      <c r="E97" t="s">
        <v>33</v>
      </c>
      <c r="F97" t="s">
        <v>212</v>
      </c>
      <c r="G97">
        <v>20</v>
      </c>
      <c r="H97" t="s">
        <v>213</v>
      </c>
      <c r="I97" t="s">
        <v>309</v>
      </c>
      <c r="J97">
        <f>IF(F97="Culex tarsalis",G97,0)</f>
        <v>20</v>
      </c>
      <c r="K97">
        <f>IF(F97="Culex pipiens",G97,0)</f>
        <v>0</v>
      </c>
    </row>
    <row r="98" spans="1:11">
      <c r="A98">
        <v>23</v>
      </c>
      <c r="B98" s="84">
        <v>45084</v>
      </c>
      <c r="C98" t="s">
        <v>259</v>
      </c>
      <c r="D98" t="s">
        <v>310</v>
      </c>
      <c r="E98" t="s">
        <v>33</v>
      </c>
      <c r="F98" t="s">
        <v>212</v>
      </c>
      <c r="G98">
        <v>2</v>
      </c>
      <c r="H98" t="s">
        <v>213</v>
      </c>
      <c r="I98" t="s">
        <v>311</v>
      </c>
      <c r="J98">
        <f>IF(F98="Culex tarsalis",G98,0)</f>
        <v>2</v>
      </c>
      <c r="K98">
        <f>IF(F98="Culex pipiens",G98,0)</f>
        <v>0</v>
      </c>
    </row>
    <row r="99" spans="1:11">
      <c r="A99">
        <v>23</v>
      </c>
      <c r="B99" s="84">
        <v>45084</v>
      </c>
      <c r="C99" t="s">
        <v>259</v>
      </c>
      <c r="D99" t="s">
        <v>310</v>
      </c>
      <c r="E99" t="s">
        <v>33</v>
      </c>
      <c r="F99" t="s">
        <v>214</v>
      </c>
      <c r="G99">
        <v>3</v>
      </c>
      <c r="H99" t="s">
        <v>213</v>
      </c>
      <c r="I99" t="s">
        <v>311</v>
      </c>
      <c r="J99">
        <f>IF(F99="Culex tarsalis",G99,0)</f>
        <v>0</v>
      </c>
      <c r="K99">
        <f>IF(F99="Culex pipiens",G99,0)</f>
        <v>3</v>
      </c>
    </row>
    <row r="100" spans="1:11">
      <c r="A100">
        <v>23</v>
      </c>
      <c r="B100" s="84">
        <v>45082</v>
      </c>
      <c r="C100" t="s">
        <v>259</v>
      </c>
      <c r="D100" t="s">
        <v>312</v>
      </c>
      <c r="E100" t="s">
        <v>33</v>
      </c>
      <c r="F100" t="s">
        <v>212</v>
      </c>
      <c r="G100">
        <v>13</v>
      </c>
      <c r="H100" t="s">
        <v>213</v>
      </c>
      <c r="I100" t="s">
        <v>313</v>
      </c>
      <c r="J100">
        <f>IF(F100="Culex tarsalis",G100,0)</f>
        <v>13</v>
      </c>
      <c r="K100">
        <f>IF(F100="Culex pipiens",G100,0)</f>
        <v>0</v>
      </c>
    </row>
    <row r="101" spans="1:11">
      <c r="A101">
        <v>23</v>
      </c>
      <c r="B101" s="69">
        <v>45083</v>
      </c>
      <c r="C101" t="s">
        <v>250</v>
      </c>
      <c r="D101" t="s">
        <v>314</v>
      </c>
      <c r="E101" t="s">
        <v>127</v>
      </c>
      <c r="F101" t="s">
        <v>212</v>
      </c>
      <c r="G101">
        <v>17</v>
      </c>
      <c r="H101" t="s">
        <v>213</v>
      </c>
      <c r="I101" t="s">
        <v>151</v>
      </c>
      <c r="J101">
        <f>IF(F101="Culex tarsalis",G101,0)</f>
        <v>17</v>
      </c>
      <c r="K101">
        <f>IF(F101="Culex pipiens",G101,0)</f>
        <v>0</v>
      </c>
    </row>
    <row r="102" spans="1:11">
      <c r="B102" s="69"/>
    </row>
    <row r="103" spans="1:11">
      <c r="B103" s="69"/>
    </row>
    <row r="104" spans="1:11">
      <c r="B104" s="69"/>
    </row>
    <row r="105" spans="1:11">
      <c r="B105" s="69"/>
    </row>
    <row r="106" spans="1:11">
      <c r="B106" s="69"/>
    </row>
    <row r="107" spans="1:11">
      <c r="B107" s="69"/>
    </row>
    <row r="108" spans="1:11">
      <c r="B108" s="69"/>
    </row>
    <row r="109" spans="1:11">
      <c r="B109" s="84"/>
    </row>
    <row r="110" spans="1:11">
      <c r="B110" s="84"/>
    </row>
    <row r="111" spans="1:11">
      <c r="B111" s="84"/>
    </row>
    <row r="112" spans="1:11">
      <c r="B112" s="84"/>
    </row>
    <row r="113" spans="2:2">
      <c r="B113" s="84"/>
    </row>
    <row r="114" spans="2:2">
      <c r="B114" s="84"/>
    </row>
    <row r="115" spans="2:2">
      <c r="B115" s="84"/>
    </row>
    <row r="116" spans="2:2">
      <c r="B116" s="69"/>
    </row>
    <row r="117" spans="2:2">
      <c r="B117" s="69"/>
    </row>
    <row r="118" spans="2:2">
      <c r="B118" s="69"/>
    </row>
    <row r="119" spans="2:2">
      <c r="B119" s="69"/>
    </row>
    <row r="120" spans="2:2">
      <c r="B120" s="69"/>
    </row>
    <row r="121" spans="2:2">
      <c r="B121" s="69"/>
    </row>
    <row r="122" spans="2:2">
      <c r="B122" s="69"/>
    </row>
    <row r="124" spans="2:2">
      <c r="B124" s="69"/>
    </row>
    <row r="125" spans="2:2">
      <c r="B125" s="69"/>
    </row>
    <row r="126" spans="2:2">
      <c r="B126" s="69"/>
    </row>
    <row r="127" spans="2:2">
      <c r="B127" s="69"/>
    </row>
    <row r="128" spans="2:2">
      <c r="B128" s="69"/>
    </row>
    <row r="129" spans="2:2">
      <c r="B129" s="69"/>
    </row>
    <row r="130" spans="2:2">
      <c r="B130" s="69"/>
    </row>
    <row r="131" spans="2:2">
      <c r="B131" s="69"/>
    </row>
    <row r="132" spans="2:2">
      <c r="B132" s="69"/>
    </row>
    <row r="135" spans="2:2">
      <c r="B135" s="69"/>
    </row>
    <row r="136" spans="2:2">
      <c r="B136" s="69"/>
    </row>
    <row r="137" spans="2:2">
      <c r="B137" s="69"/>
    </row>
    <row r="138" spans="2:2">
      <c r="B138" s="69"/>
    </row>
    <row r="139" spans="2:2">
      <c r="B139" s="69"/>
    </row>
    <row r="140" spans="2:2">
      <c r="B140" s="69"/>
    </row>
    <row r="141" spans="2:2">
      <c r="B141" s="69"/>
    </row>
    <row r="145" spans="2:2">
      <c r="B145" s="69"/>
    </row>
    <row r="146" spans="2:2">
      <c r="B146" s="69"/>
    </row>
    <row r="147" spans="2:2">
      <c r="B147" s="69"/>
    </row>
    <row r="148" spans="2:2">
      <c r="B148" s="69"/>
    </row>
    <row r="149" spans="2:2">
      <c r="B149" s="69"/>
    </row>
    <row r="150" spans="2:2">
      <c r="B150" s="69"/>
    </row>
    <row r="151" spans="2:2">
      <c r="B151" s="69"/>
    </row>
    <row r="152" spans="2:2">
      <c r="B152" s="69"/>
    </row>
    <row r="153" spans="2:2">
      <c r="B153" s="69"/>
    </row>
    <row r="154" spans="2:2">
      <c r="B154" s="69"/>
    </row>
    <row r="155" spans="2:2">
      <c r="B155" s="69"/>
    </row>
    <row r="156" spans="2:2">
      <c r="B156" s="69"/>
    </row>
    <row r="159" spans="2:2">
      <c r="B159" s="69"/>
    </row>
    <row r="160" spans="2:2">
      <c r="B160" s="69"/>
    </row>
    <row r="161" spans="2:2">
      <c r="B161" s="69"/>
    </row>
    <row r="162" spans="2:2">
      <c r="B162" s="69"/>
    </row>
    <row r="163" spans="2:2">
      <c r="B163" s="69"/>
    </row>
    <row r="164" spans="2:2">
      <c r="B164" s="69"/>
    </row>
    <row r="165" spans="2:2">
      <c r="B165" s="69"/>
    </row>
    <row r="166" spans="2:2">
      <c r="B166" s="69"/>
    </row>
    <row r="167" spans="2:2">
      <c r="B167" s="69"/>
    </row>
    <row r="168" spans="2:2">
      <c r="B168" s="69"/>
    </row>
    <row r="169" spans="2:2">
      <c r="B169" s="69"/>
    </row>
    <row r="170" spans="2:2">
      <c r="B170" s="69"/>
    </row>
    <row r="171" spans="2:2">
      <c r="B171" s="69"/>
    </row>
    <row r="172" spans="2:2">
      <c r="B172" s="69"/>
    </row>
    <row r="173" spans="2:2">
      <c r="B173" s="69"/>
    </row>
    <row r="174" spans="2:2">
      <c r="B174" s="69"/>
    </row>
    <row r="175" spans="2:2">
      <c r="B175" s="69"/>
    </row>
    <row r="176" spans="2:2">
      <c r="B176" s="69"/>
    </row>
    <row r="177" spans="2:2">
      <c r="B177" s="69"/>
    </row>
    <row r="178" spans="2:2">
      <c r="B178" s="69"/>
    </row>
    <row r="179" spans="2:2">
      <c r="B179" s="69"/>
    </row>
    <row r="180" spans="2:2">
      <c r="B180" s="69"/>
    </row>
    <row r="181" spans="2:2">
      <c r="B181" s="69"/>
    </row>
    <row r="182" spans="2:2">
      <c r="B182" s="69"/>
    </row>
    <row r="183" spans="2:2">
      <c r="B183" s="69"/>
    </row>
    <row r="184" spans="2:2">
      <c r="B184" s="69"/>
    </row>
    <row r="185" spans="2:2">
      <c r="B185" s="69"/>
    </row>
    <row r="186" spans="2:2">
      <c r="B186" s="69"/>
    </row>
    <row r="187" spans="2:2">
      <c r="B187" s="69"/>
    </row>
    <row r="188" spans="2:2">
      <c r="B188" s="69"/>
    </row>
    <row r="189" spans="2:2">
      <c r="B189" s="69"/>
    </row>
    <row r="190" spans="2:2">
      <c r="B190" s="69"/>
    </row>
    <row r="191" spans="2:2">
      <c r="B191" s="69"/>
    </row>
    <row r="192" spans="2:2">
      <c r="B192" s="69"/>
    </row>
    <row r="193" spans="2:2">
      <c r="B193" s="69"/>
    </row>
    <row r="194" spans="2:2">
      <c r="B194" s="69"/>
    </row>
    <row r="195" spans="2:2">
      <c r="B195" s="69"/>
    </row>
    <row r="196" spans="2:2">
      <c r="B196" s="69"/>
    </row>
    <row r="197" spans="2:2">
      <c r="B197" s="69"/>
    </row>
    <row r="198" spans="2:2">
      <c r="B198" s="69"/>
    </row>
    <row r="199" spans="2:2">
      <c r="B199" s="69"/>
    </row>
    <row r="200" spans="2:2">
      <c r="B200" s="69"/>
    </row>
    <row r="201" spans="2:2">
      <c r="B201" s="69"/>
    </row>
    <row r="202" spans="2:2">
      <c r="B202" s="69"/>
    </row>
    <row r="203" spans="2:2">
      <c r="B203" s="69"/>
    </row>
    <row r="204" spans="2:2">
      <c r="B204" s="69"/>
    </row>
    <row r="205" spans="2:2">
      <c r="B205" s="69"/>
    </row>
    <row r="206" spans="2:2">
      <c r="B206" s="69"/>
    </row>
    <row r="207" spans="2:2">
      <c r="B207" s="69"/>
    </row>
    <row r="208" spans="2:2">
      <c r="B208" s="69"/>
    </row>
    <row r="209" spans="2:2">
      <c r="B209" s="69"/>
    </row>
    <row r="210" spans="2:2">
      <c r="B210" s="69"/>
    </row>
    <row r="211" spans="2:2">
      <c r="B211" s="69"/>
    </row>
    <row r="212" spans="2:2">
      <c r="B212" s="69"/>
    </row>
    <row r="213" spans="2:2">
      <c r="B213" s="69"/>
    </row>
    <row r="214" spans="2:2">
      <c r="B214" s="69"/>
    </row>
    <row r="215" spans="2:2">
      <c r="B215" s="69"/>
    </row>
    <row r="216" spans="2:2">
      <c r="B216" s="69"/>
    </row>
    <row r="217" spans="2:2">
      <c r="B217" s="69"/>
    </row>
    <row r="218" spans="2:2">
      <c r="B218" s="69"/>
    </row>
    <row r="219" spans="2:2">
      <c r="B219" s="69"/>
    </row>
    <row r="220" spans="2:2">
      <c r="B220" s="69"/>
    </row>
    <row r="221" spans="2:2">
      <c r="B221" s="69"/>
    </row>
    <row r="222" spans="2:2">
      <c r="B222" s="69"/>
    </row>
    <row r="223" spans="2:2">
      <c r="B223" s="69"/>
    </row>
    <row r="224" spans="2:2">
      <c r="B224" s="69"/>
    </row>
    <row r="225" spans="2:2">
      <c r="B225" s="69"/>
    </row>
    <row r="227" spans="2:2">
      <c r="B227" s="69"/>
    </row>
    <row r="229" spans="2:2">
      <c r="B229" s="69"/>
    </row>
    <row r="230" spans="2:2">
      <c r="B230" s="69"/>
    </row>
    <row r="231" spans="2:2">
      <c r="B231" s="69"/>
    </row>
    <row r="232" spans="2:2">
      <c r="B232" s="69"/>
    </row>
  </sheetData>
  <sortState xmlns:xlrd2="http://schemas.microsoft.com/office/spreadsheetml/2017/richdata2" ref="A2:K101">
    <sortCondition ref="I2:I101"/>
  </sortState>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J11"/>
  <sheetViews>
    <sheetView workbookViewId="0">
      <selection activeCell="C8" sqref="C8"/>
    </sheetView>
  </sheetViews>
  <sheetFormatPr defaultColWidth="8.85546875" defaultRowHeight="15"/>
  <cols>
    <col min="1" max="1" width="13.140625" bestFit="1" customWidth="1"/>
    <col min="2" max="2" width="16.85546875" bestFit="1" customWidth="1"/>
    <col min="3" max="3" width="16.5703125" bestFit="1" customWidth="1"/>
    <col min="4" max="4" width="14.85546875" bestFit="1" customWidth="1"/>
    <col min="7" max="8" width="17.42578125" customWidth="1"/>
    <col min="9" max="9" width="16.140625" customWidth="1"/>
    <col min="10" max="10" width="17.42578125" customWidth="1"/>
  </cols>
  <sheetData>
    <row r="1" spans="1:10">
      <c r="A1" s="32" t="s">
        <v>315</v>
      </c>
      <c r="G1" s="32" t="s">
        <v>316</v>
      </c>
    </row>
    <row r="2" spans="1:10">
      <c r="A2" s="2" t="s">
        <v>13</v>
      </c>
      <c r="B2" t="s">
        <v>317</v>
      </c>
    </row>
    <row r="4" spans="1:10">
      <c r="A4" s="2" t="s">
        <v>318</v>
      </c>
      <c r="B4" t="s">
        <v>319</v>
      </c>
      <c r="C4" t="s">
        <v>320</v>
      </c>
      <c r="D4" t="s">
        <v>321</v>
      </c>
      <c r="G4" s="24" t="s">
        <v>318</v>
      </c>
      <c r="H4" s="24" t="s">
        <v>319</v>
      </c>
      <c r="I4" s="24" t="s">
        <v>320</v>
      </c>
      <c r="J4" s="24" t="s">
        <v>321</v>
      </c>
    </row>
    <row r="5" spans="1:10">
      <c r="A5" s="1" t="s">
        <v>49</v>
      </c>
      <c r="B5">
        <v>3</v>
      </c>
      <c r="C5">
        <v>7</v>
      </c>
      <c r="D5">
        <v>10</v>
      </c>
      <c r="G5" s="1" t="s">
        <v>33</v>
      </c>
      <c r="H5">
        <f>GETPIVOTDATA("Sum of Cx pipiens",$A$4,"Zone","LV")</f>
        <v>25</v>
      </c>
      <c r="I5">
        <f>GETPIVOTDATA("Sum of Cx tarsalis",$A$4,"Zone","LV")</f>
        <v>292</v>
      </c>
      <c r="J5">
        <f>GETPIVOTDATA("Sum of Total CX",$A$4,"Zone","LV")</f>
        <v>317</v>
      </c>
    </row>
    <row r="6" spans="1:10">
      <c r="A6" s="1" t="s">
        <v>71</v>
      </c>
      <c r="B6">
        <v>16</v>
      </c>
      <c r="C6">
        <v>39</v>
      </c>
      <c r="D6">
        <v>55</v>
      </c>
      <c r="G6" s="1" t="s">
        <v>49</v>
      </c>
      <c r="H6">
        <f>GETPIVOTDATA("Sum of Cx pipiens",$A$4,"Zone","NE")</f>
        <v>3</v>
      </c>
      <c r="I6">
        <f>GETPIVOTDATA("Sum of Cx tarsalis",$A$4,"Zone","NE")</f>
        <v>7</v>
      </c>
      <c r="J6">
        <f>GETPIVOTDATA("Sum of Total CX",$A$4,"Zone","NE")</f>
        <v>10</v>
      </c>
    </row>
    <row r="7" spans="1:10">
      <c r="A7" s="1" t="s">
        <v>87</v>
      </c>
      <c r="B7">
        <v>12</v>
      </c>
      <c r="C7">
        <v>73</v>
      </c>
      <c r="D7">
        <v>85</v>
      </c>
      <c r="G7" s="1" t="s">
        <v>71</v>
      </c>
      <c r="H7">
        <f>GETPIVOTDATA("Sum of Cx pipiens",$A$4,"Zone","NW")</f>
        <v>16</v>
      </c>
      <c r="I7">
        <f>GETPIVOTDATA("Sum of Cx tarsalis",$A$4,"Zone","NW")</f>
        <v>39</v>
      </c>
      <c r="J7">
        <f>GETPIVOTDATA("Sum of Total CX",$A$4,"Zone","NW")</f>
        <v>55</v>
      </c>
    </row>
    <row r="8" spans="1:10">
      <c r="A8" s="1" t="s">
        <v>161</v>
      </c>
      <c r="B8">
        <v>15</v>
      </c>
      <c r="C8">
        <v>49</v>
      </c>
      <c r="D8">
        <v>64</v>
      </c>
      <c r="G8" s="1" t="s">
        <v>87</v>
      </c>
      <c r="H8">
        <f>GETPIVOTDATA("Sum of Cx pipiens",$A$4,"Zone","SE")</f>
        <v>12</v>
      </c>
      <c r="I8">
        <f>GETPIVOTDATA("Sum of Cx tarsalis",$A$4,"Zone","SE")</f>
        <v>73</v>
      </c>
      <c r="J8">
        <f>GETPIVOTDATA("Sum of Total CX",$A$4,"Zone","SE")</f>
        <v>85</v>
      </c>
    </row>
    <row r="9" spans="1:10">
      <c r="A9" s="1" t="s">
        <v>127</v>
      </c>
      <c r="B9">
        <v>0</v>
      </c>
      <c r="C9">
        <v>64</v>
      </c>
      <c r="D9">
        <v>64</v>
      </c>
      <c r="G9" s="1" t="s">
        <v>161</v>
      </c>
      <c r="H9">
        <f>GETPIVOTDATA("Sum of Cx pipiens",$A$4,"Zone","SW")</f>
        <v>15</v>
      </c>
      <c r="I9">
        <f>GETPIVOTDATA("Sum of Cx tarsalis",$A$4,"Zone","SW")</f>
        <v>49</v>
      </c>
      <c r="J9">
        <f>GETPIVOTDATA("Sum of Total CX",$A$4,"Zone","SW")</f>
        <v>64</v>
      </c>
    </row>
    <row r="10" spans="1:10">
      <c r="A10" s="1" t="s">
        <v>33</v>
      </c>
      <c r="B10">
        <v>25</v>
      </c>
      <c r="C10">
        <v>292</v>
      </c>
      <c r="D10">
        <v>317</v>
      </c>
      <c r="G10" s="1" t="s">
        <v>127</v>
      </c>
      <c r="H10">
        <f>GETPIVOTDATA("Sum of Cx pipiens",$A$4,"Zone","BE")</f>
        <v>0</v>
      </c>
      <c r="I10">
        <f>GETPIVOTDATA("Sum of Cx tarsalis",$A$4,"Zone","BE")</f>
        <v>64</v>
      </c>
      <c r="J10">
        <f>GETPIVOTDATA("Sum of Total CX",$A$4,"Zone","BE")</f>
        <v>64</v>
      </c>
    </row>
    <row r="11" spans="1:10">
      <c r="A11" s="1" t="s">
        <v>322</v>
      </c>
      <c r="B11">
        <v>71</v>
      </c>
      <c r="C11">
        <v>524</v>
      </c>
      <c r="D11">
        <v>595</v>
      </c>
      <c r="G11" s="1" t="s">
        <v>323</v>
      </c>
      <c r="H11" t="e">
        <f>GETPIVOTDATA("Sum of Cx pipiens",$A$4,"Zone","BC")</f>
        <v>#REF!</v>
      </c>
      <c r="I11" t="e">
        <f>GETPIVOTDATA("Sum of Cx tarsalis",$A$4,"Zone","BC")</f>
        <v>#REF!</v>
      </c>
      <c r="J11" t="e">
        <f>GETPIVOTDATA("Sum of Total CX",$A$4,"Zone","BC")</f>
        <v>#REF!</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12"/>
  <sheetViews>
    <sheetView workbookViewId="0">
      <selection activeCell="I15" sqref="I15"/>
    </sheetView>
  </sheetViews>
  <sheetFormatPr defaultColWidth="8.85546875" defaultRowHeight="15"/>
  <cols>
    <col min="1" max="1" width="13.140625" bestFit="1" customWidth="1"/>
    <col min="2" max="2" width="16.28515625" customWidth="1"/>
    <col min="3" max="3" width="8" bestFit="1" customWidth="1"/>
    <col min="4" max="4" width="11.28515625" bestFit="1" customWidth="1"/>
    <col min="5" max="5" width="8" bestFit="1" customWidth="1"/>
    <col min="6" max="6" width="11.28515625" bestFit="1" customWidth="1"/>
    <col min="8" max="8" width="12" bestFit="1" customWidth="1"/>
  </cols>
  <sheetData>
    <row r="1" spans="1:11">
      <c r="A1" s="85" t="s">
        <v>324</v>
      </c>
      <c r="B1" s="85"/>
      <c r="H1" s="85" t="s">
        <v>325</v>
      </c>
      <c r="I1" s="85"/>
    </row>
    <row r="2" spans="1:11">
      <c r="A2" s="2" t="s">
        <v>13</v>
      </c>
      <c r="B2" t="s">
        <v>317</v>
      </c>
    </row>
    <row r="4" spans="1:11">
      <c r="A4" s="2" t="s">
        <v>326</v>
      </c>
      <c r="B4" s="2" t="s">
        <v>327</v>
      </c>
      <c r="H4" s="23" t="s">
        <v>326</v>
      </c>
      <c r="I4" s="23" t="s">
        <v>327</v>
      </c>
      <c r="J4" s="23"/>
      <c r="K4" s="23"/>
    </row>
    <row r="5" spans="1:11">
      <c r="A5" s="2" t="s">
        <v>318</v>
      </c>
      <c r="B5" t="s">
        <v>37</v>
      </c>
      <c r="C5" t="s">
        <v>44</v>
      </c>
      <c r="D5" t="s">
        <v>322</v>
      </c>
      <c r="H5" s="24" t="s">
        <v>318</v>
      </c>
      <c r="I5" s="24" t="s">
        <v>328</v>
      </c>
      <c r="J5" s="24" t="s">
        <v>329</v>
      </c>
      <c r="K5" s="24" t="s">
        <v>322</v>
      </c>
    </row>
    <row r="6" spans="1:11">
      <c r="A6" s="1" t="s">
        <v>33</v>
      </c>
      <c r="B6">
        <v>152</v>
      </c>
      <c r="C6">
        <v>5</v>
      </c>
      <c r="D6">
        <v>157</v>
      </c>
      <c r="H6" s="1" t="s">
        <v>33</v>
      </c>
      <c r="I6">
        <f>GETPIVOTDATA("Total",$A$4,"Zone","LV","Spp","Pipiens ")</f>
        <v>5</v>
      </c>
      <c r="J6">
        <f>GETPIVOTDATA("Total",$A$4,"Zone","LV","Spp","Tarsalis")</f>
        <v>152</v>
      </c>
      <c r="K6">
        <f>GETPIVOTDATA("Total",$A$4,"Zone","LV")</f>
        <v>157</v>
      </c>
    </row>
    <row r="7" spans="1:11">
      <c r="A7" s="1" t="s">
        <v>49</v>
      </c>
      <c r="B7">
        <v>9</v>
      </c>
      <c r="C7">
        <v>9</v>
      </c>
      <c r="D7">
        <v>18</v>
      </c>
      <c r="H7" s="1" t="s">
        <v>49</v>
      </c>
      <c r="I7">
        <f>GETPIVOTDATA("Total",$A$4,"Zone","NE","Spp","Pipiens ")</f>
        <v>9</v>
      </c>
      <c r="J7">
        <f>GETPIVOTDATA("Total",$A$4,"Zone","NE","Spp","Tarsalis")</f>
        <v>9</v>
      </c>
      <c r="K7">
        <f>GETPIVOTDATA("Total",$A$4,"Zone","NE")</f>
        <v>18</v>
      </c>
    </row>
    <row r="8" spans="1:11">
      <c r="A8" s="1" t="s">
        <v>71</v>
      </c>
      <c r="B8">
        <v>39</v>
      </c>
      <c r="C8">
        <v>18</v>
      </c>
      <c r="D8">
        <v>57</v>
      </c>
      <c r="H8" s="1" t="s">
        <v>71</v>
      </c>
      <c r="I8">
        <f>GETPIVOTDATA("Total",$A$4,"Zone","NW","Spp","Pipiens ")</f>
        <v>18</v>
      </c>
      <c r="J8">
        <f>GETPIVOTDATA("Total",$A$4,"Zone","NW","Spp","Tarsalis")</f>
        <v>39</v>
      </c>
      <c r="K8">
        <f>GETPIVOTDATA("Total",$A$4,"Zone","NW")</f>
        <v>57</v>
      </c>
    </row>
    <row r="9" spans="1:11">
      <c r="A9" s="1" t="s">
        <v>87</v>
      </c>
      <c r="B9">
        <v>74</v>
      </c>
      <c r="C9">
        <v>23</v>
      </c>
      <c r="D9">
        <v>97</v>
      </c>
      <c r="H9" s="1" t="s">
        <v>87</v>
      </c>
      <c r="I9">
        <f>GETPIVOTDATA("Total",$A$4,"Zone","SE","Spp","Pipiens ")</f>
        <v>23</v>
      </c>
      <c r="J9">
        <f>GETPIVOTDATA("Total",$A$4,"Zone","SE","Spp","Tarsalis")</f>
        <v>74</v>
      </c>
      <c r="K9">
        <f>GETPIVOTDATA("Total",$A$4,"Zone","SE")</f>
        <v>97</v>
      </c>
    </row>
    <row r="10" spans="1:11">
      <c r="A10" s="1" t="s">
        <v>161</v>
      </c>
      <c r="B10">
        <v>49</v>
      </c>
      <c r="C10">
        <v>17</v>
      </c>
      <c r="D10">
        <v>66</v>
      </c>
      <c r="H10" s="1" t="s">
        <v>161</v>
      </c>
      <c r="I10">
        <f>GETPIVOTDATA("Total",$A$4,"Zone","SW","Spp","Pipiens ")</f>
        <v>17</v>
      </c>
      <c r="J10">
        <f>GETPIVOTDATA("Total",$A$4,"Zone","SW","Spp","Tarsalis")</f>
        <v>49</v>
      </c>
      <c r="K10">
        <f>GETPIVOTDATA("Total",$A$4,"Zone","SW")</f>
        <v>66</v>
      </c>
    </row>
    <row r="11" spans="1:11">
      <c r="A11" s="1" t="s">
        <v>127</v>
      </c>
      <c r="B11">
        <v>64</v>
      </c>
      <c r="D11">
        <v>64</v>
      </c>
      <c r="H11" s="1" t="s">
        <v>127</v>
      </c>
      <c r="I11">
        <f>GETPIVOTDATA("Total",$A$4,"Zone","BE","Spp","Pipiens ")</f>
        <v>0</v>
      </c>
      <c r="J11">
        <f>GETPIVOTDATA("Total",$A$4,"Zone","BE","Spp","Tarsalis")</f>
        <v>64</v>
      </c>
      <c r="K11">
        <f>GETPIVOTDATA("Total",$A$4,"Zone","BE")</f>
        <v>64</v>
      </c>
    </row>
    <row r="12" spans="1:11">
      <c r="A12" s="1" t="s">
        <v>322</v>
      </c>
      <c r="B12">
        <v>387</v>
      </c>
      <c r="C12">
        <v>72</v>
      </c>
      <c r="D12">
        <v>459</v>
      </c>
      <c r="H12" s="1" t="s">
        <v>323</v>
      </c>
      <c r="I12">
        <v>0</v>
      </c>
      <c r="J12">
        <v>0</v>
      </c>
      <c r="K12">
        <v>0</v>
      </c>
    </row>
  </sheetData>
  <mergeCells count="2">
    <mergeCell ref="A1:B1"/>
    <mergeCell ref="H1:I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J12"/>
  <sheetViews>
    <sheetView workbookViewId="0">
      <selection activeCell="J15" sqref="J15"/>
    </sheetView>
  </sheetViews>
  <sheetFormatPr defaultColWidth="8.85546875" defaultRowHeight="15"/>
  <cols>
    <col min="1" max="1" width="39.5703125" bestFit="1" customWidth="1"/>
    <col min="2" max="2" width="16.28515625" customWidth="1"/>
    <col min="3" max="3" width="8" bestFit="1" customWidth="1"/>
    <col min="4" max="6" width="11.28515625" bestFit="1" customWidth="1"/>
    <col min="7" max="7" width="12.42578125" customWidth="1"/>
    <col min="8" max="8" width="9.140625" customWidth="1"/>
  </cols>
  <sheetData>
    <row r="1" spans="1:10">
      <c r="A1" s="32" t="s">
        <v>324</v>
      </c>
      <c r="G1" s="85" t="s">
        <v>325</v>
      </c>
      <c r="H1" s="85"/>
    </row>
    <row r="2" spans="1:10">
      <c r="A2" s="2" t="s">
        <v>13</v>
      </c>
      <c r="B2" t="s">
        <v>317</v>
      </c>
    </row>
    <row r="4" spans="1:10">
      <c r="A4" s="2" t="s">
        <v>330</v>
      </c>
      <c r="B4" s="2" t="s">
        <v>327</v>
      </c>
      <c r="G4" s="23" t="s">
        <v>330</v>
      </c>
      <c r="H4" s="23" t="s">
        <v>327</v>
      </c>
      <c r="I4" s="23"/>
      <c r="J4" s="23"/>
    </row>
    <row r="5" spans="1:10">
      <c r="A5" s="2" t="s">
        <v>318</v>
      </c>
      <c r="B5" t="s">
        <v>37</v>
      </c>
      <c r="C5" t="s">
        <v>44</v>
      </c>
      <c r="D5" t="s">
        <v>322</v>
      </c>
      <c r="G5" s="24" t="s">
        <v>318</v>
      </c>
      <c r="H5" s="24" t="s">
        <v>328</v>
      </c>
      <c r="I5" s="24" t="s">
        <v>329</v>
      </c>
      <c r="J5" s="24" t="s">
        <v>322</v>
      </c>
    </row>
    <row r="6" spans="1:10">
      <c r="A6" s="1" t="s">
        <v>49</v>
      </c>
      <c r="B6">
        <v>5</v>
      </c>
      <c r="C6">
        <v>5</v>
      </c>
      <c r="D6">
        <v>10</v>
      </c>
      <c r="G6" s="1" t="s">
        <v>33</v>
      </c>
      <c r="H6">
        <f>GETPIVOTDATA("CSU Pool Number     (CMC enters)",$A$4,"Zone","LV","Spp","Pipiens ")</f>
        <v>2</v>
      </c>
      <c r="I6">
        <f>GETPIVOTDATA("CSU Pool Number     (CMC enters)",$A$4,"Zone","LV","Spp","Tarsalis")</f>
        <v>7</v>
      </c>
      <c r="J6">
        <f>GETPIVOTDATA("CSU Pool Number     (CMC enters)",$A$4,"Zone","LV")</f>
        <v>9</v>
      </c>
    </row>
    <row r="7" spans="1:10">
      <c r="A7" s="1" t="s">
        <v>71</v>
      </c>
      <c r="B7">
        <v>8</v>
      </c>
      <c r="C7">
        <v>9</v>
      </c>
      <c r="D7">
        <v>17</v>
      </c>
      <c r="G7" s="1" t="s">
        <v>49</v>
      </c>
      <c r="H7">
        <f>GETPIVOTDATA("CSU Pool Number     (CMC enters)",$A$4,"Zone","NE","Spp","Pipiens ")</f>
        <v>5</v>
      </c>
      <c r="I7">
        <f>GETPIVOTDATA("CSU Pool Number     (CMC enters)",$A$4,"Zone","NE","Spp","Tarsalis")</f>
        <v>5</v>
      </c>
      <c r="J7">
        <f>GETPIVOTDATA("CSU Pool Number     (CMC enters)",$A$4,"Zone","NE")</f>
        <v>10</v>
      </c>
    </row>
    <row r="8" spans="1:10">
      <c r="A8" s="1" t="s">
        <v>87</v>
      </c>
      <c r="B8">
        <v>16</v>
      </c>
      <c r="C8">
        <v>8</v>
      </c>
      <c r="D8">
        <v>24</v>
      </c>
      <c r="G8" s="1" t="s">
        <v>71</v>
      </c>
      <c r="H8">
        <f>GETPIVOTDATA("CSU Pool Number     (CMC enters)",$A$4,"Zone","NW","Spp","Pipiens ")</f>
        <v>9</v>
      </c>
      <c r="I8">
        <f>GETPIVOTDATA("CSU Pool Number     (CMC enters)",$A$4,"Zone","NW","Spp","Tarsalis")</f>
        <v>8</v>
      </c>
      <c r="J8">
        <f>GETPIVOTDATA("CSU Pool Number     (CMC enters)",$A$4,"Zone","NW")</f>
        <v>17</v>
      </c>
    </row>
    <row r="9" spans="1:10">
      <c r="A9" s="1" t="s">
        <v>161</v>
      </c>
      <c r="B9">
        <v>7</v>
      </c>
      <c r="C9">
        <v>6</v>
      </c>
      <c r="D9">
        <v>13</v>
      </c>
      <c r="G9" s="1" t="s">
        <v>87</v>
      </c>
      <c r="H9">
        <f>GETPIVOTDATA("CSU Pool Number     (CMC enters)",$A$4,"Zone","SE","Spp","Pipiens ")</f>
        <v>8</v>
      </c>
      <c r="I9">
        <f>GETPIVOTDATA("CSU Pool Number     (CMC enters)",$A$4,"Zone","SE","Spp","Tarsalis")</f>
        <v>16</v>
      </c>
      <c r="J9">
        <f>GETPIVOTDATA("CSU Pool Number     (CMC enters)",$A$4,"Zone","SE")</f>
        <v>24</v>
      </c>
    </row>
    <row r="10" spans="1:10">
      <c r="A10" s="1" t="s">
        <v>33</v>
      </c>
      <c r="B10">
        <v>7</v>
      </c>
      <c r="C10">
        <v>2</v>
      </c>
      <c r="D10">
        <v>9</v>
      </c>
      <c r="G10" s="1" t="s">
        <v>161</v>
      </c>
      <c r="H10">
        <f>GETPIVOTDATA("CSU Pool Number     (CMC enters)",$A$4,"Zone","SW","Spp","Pipiens ")</f>
        <v>6</v>
      </c>
      <c r="I10">
        <f>GETPIVOTDATA("CSU Pool Number     (CMC enters)",$A$4,"Zone","SW","Spp","Tarsalis")</f>
        <v>7</v>
      </c>
      <c r="J10">
        <f>GETPIVOTDATA("CSU Pool Number     (CMC enters)",$A$4,"Zone","SW")</f>
        <v>13</v>
      </c>
    </row>
    <row r="11" spans="1:10">
      <c r="A11" s="1" t="s">
        <v>127</v>
      </c>
      <c r="B11">
        <v>5</v>
      </c>
      <c r="D11">
        <v>5</v>
      </c>
      <c r="G11" s="1" t="s">
        <v>127</v>
      </c>
      <c r="H11">
        <f>GETPIVOTDATA("CSU Pool Number     (CMC enters)",$A$4,"Zone","BE","Spp","Pipiens ")</f>
        <v>0</v>
      </c>
      <c r="I11">
        <f>GETPIVOTDATA("CSU Pool Number     (CMC enters)",$A$4,"Zone","BE","Spp","Tarsalis")</f>
        <v>5</v>
      </c>
      <c r="J11">
        <f>GETPIVOTDATA("CSU Pool Number     (CMC enters)",$A$4,"Zone","BE")</f>
        <v>5</v>
      </c>
    </row>
    <row r="12" spans="1:10">
      <c r="A12" s="1" t="s">
        <v>322</v>
      </c>
      <c r="B12">
        <v>48</v>
      </c>
      <c r="C12">
        <v>30</v>
      </c>
      <c r="D12">
        <v>78</v>
      </c>
      <c r="G12" s="1" t="s">
        <v>323</v>
      </c>
      <c r="H12">
        <v>0</v>
      </c>
      <c r="I12">
        <v>0</v>
      </c>
      <c r="J12">
        <v>0</v>
      </c>
    </row>
  </sheetData>
  <mergeCells count="1">
    <mergeCell ref="G1:H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5"/>
  <dimension ref="A1:I14"/>
  <sheetViews>
    <sheetView zoomScale="90" zoomScaleNormal="90" workbookViewId="0">
      <selection activeCell="F19" sqref="F19"/>
    </sheetView>
  </sheetViews>
  <sheetFormatPr defaultColWidth="8.85546875" defaultRowHeight="15"/>
  <cols>
    <col min="1" max="1" width="28.140625" customWidth="1"/>
    <col min="2" max="2" width="16.28515625" customWidth="1"/>
    <col min="3" max="3" width="8" bestFit="1" customWidth="1"/>
    <col min="4" max="5" width="11.28515625" bestFit="1" customWidth="1"/>
    <col min="6" max="123" width="16.28515625" bestFit="1" customWidth="1"/>
    <col min="124" max="124" width="11.28515625" bestFit="1" customWidth="1"/>
  </cols>
  <sheetData>
    <row r="1" spans="1:9">
      <c r="A1" s="85" t="s">
        <v>324</v>
      </c>
      <c r="B1" s="85"/>
      <c r="C1" s="85"/>
      <c r="F1" s="32" t="s">
        <v>325</v>
      </c>
    </row>
    <row r="3" spans="1:9">
      <c r="A3" s="2" t="s">
        <v>14</v>
      </c>
      <c r="B3" t="s">
        <v>317</v>
      </c>
    </row>
    <row r="5" spans="1:9">
      <c r="A5" s="2" t="s">
        <v>331</v>
      </c>
      <c r="B5" s="2" t="s">
        <v>327</v>
      </c>
      <c r="F5" s="23" t="s">
        <v>332</v>
      </c>
      <c r="G5" s="23" t="s">
        <v>327</v>
      </c>
      <c r="H5" s="23"/>
      <c r="I5" s="23"/>
    </row>
    <row r="6" spans="1:9">
      <c r="A6" s="2" t="s">
        <v>318</v>
      </c>
      <c r="B6" t="s">
        <v>37</v>
      </c>
      <c r="C6" t="s">
        <v>44</v>
      </c>
      <c r="D6" t="s">
        <v>322</v>
      </c>
      <c r="F6" s="24" t="s">
        <v>318</v>
      </c>
      <c r="G6" s="24" t="s">
        <v>328</v>
      </c>
      <c r="H6" s="24" t="s">
        <v>329</v>
      </c>
      <c r="I6" s="24" t="s">
        <v>322</v>
      </c>
    </row>
    <row r="7" spans="1:9">
      <c r="A7" s="1" t="s">
        <v>33</v>
      </c>
      <c r="B7">
        <v>0</v>
      </c>
      <c r="C7">
        <v>0</v>
      </c>
      <c r="D7">
        <v>0</v>
      </c>
      <c r="F7" s="1" t="s">
        <v>71</v>
      </c>
      <c r="G7">
        <f>GETPIVOTDATA("Test code (CSU enters)",$A$5,"Zone","NW","Spp","Pipiens ")</f>
        <v>0</v>
      </c>
      <c r="H7">
        <f>GETPIVOTDATA("Test code (CSU enters)",$A$5,"Zone","NW","Spp","Tarsalis")</f>
        <v>0</v>
      </c>
      <c r="I7">
        <f>GETPIVOTDATA("Test code (CSU enters)",$A$5,"Zone","NW")</f>
        <v>0</v>
      </c>
    </row>
    <row r="8" spans="1:9">
      <c r="A8" s="1" t="s">
        <v>49</v>
      </c>
      <c r="B8">
        <v>0</v>
      </c>
      <c r="C8">
        <v>0</v>
      </c>
      <c r="D8">
        <v>0</v>
      </c>
      <c r="F8" s="1" t="s">
        <v>49</v>
      </c>
      <c r="G8">
        <f>GETPIVOTDATA("Test code (CSU enters)",$A$5,"Zone","NE","Spp","Pipiens ")</f>
        <v>0</v>
      </c>
      <c r="H8">
        <f>GETPIVOTDATA("Test code (CSU enters)",$A$5,"Zone","NE","Spp","Tarsalis")</f>
        <v>0</v>
      </c>
      <c r="I8">
        <f>GETPIVOTDATA("Test code (CSU enters)",$A$5,"Zone","NE")</f>
        <v>0</v>
      </c>
    </row>
    <row r="9" spans="1:9">
      <c r="A9" s="1" t="s">
        <v>71</v>
      </c>
      <c r="B9">
        <v>0</v>
      </c>
      <c r="C9">
        <v>0</v>
      </c>
      <c r="D9">
        <v>0</v>
      </c>
      <c r="F9" s="1" t="s">
        <v>87</v>
      </c>
      <c r="G9">
        <f>GETPIVOTDATA("Test code (CSU enters)",$A$5,"Zone","SE","Spp","Pipiens ")</f>
        <v>0</v>
      </c>
      <c r="H9">
        <f>GETPIVOTDATA("Test code (CSU enters)",$A$5,"Zone","SE","Spp","Tarsalis")</f>
        <v>0</v>
      </c>
      <c r="I9">
        <f>GETPIVOTDATA("Test code (CSU enters)",$A$5,"Zone","SE")</f>
        <v>0</v>
      </c>
    </row>
    <row r="10" spans="1:9">
      <c r="A10" s="1" t="s">
        <v>87</v>
      </c>
      <c r="B10">
        <v>0</v>
      </c>
      <c r="C10">
        <v>0</v>
      </c>
      <c r="D10">
        <v>0</v>
      </c>
      <c r="F10" s="1" t="s">
        <v>161</v>
      </c>
      <c r="G10">
        <f>GETPIVOTDATA("Test code (CSU enters)",$A$5,"Zone","SW","Spp","Pipiens ")</f>
        <v>0</v>
      </c>
      <c r="H10">
        <f>GETPIVOTDATA("Test code (CSU enters)",$A$5,"Zone","SW","Spp","Tarsalis")</f>
        <v>0</v>
      </c>
      <c r="I10">
        <f>GETPIVOTDATA("Test code (CSU enters)",$A$5,"Zone","SW")</f>
        <v>0</v>
      </c>
    </row>
    <row r="11" spans="1:9">
      <c r="A11" s="1" t="s">
        <v>161</v>
      </c>
      <c r="B11">
        <v>0</v>
      </c>
      <c r="C11">
        <v>0</v>
      </c>
      <c r="D11">
        <v>0</v>
      </c>
      <c r="F11" s="1" t="s">
        <v>33</v>
      </c>
      <c r="G11">
        <f>GETPIVOTDATA("Test code (CSU enters)",$A$5,"Zone","LV","Spp","Pipiens ")</f>
        <v>0</v>
      </c>
      <c r="H11">
        <f>GETPIVOTDATA("Test code (CSU enters)",$A$5,"Zone","LV","Spp","Tarsalis")</f>
        <v>0</v>
      </c>
      <c r="I11">
        <f>GETPIVOTDATA("Test code (CSU enters)",$A$5,"Zone","LV")</f>
        <v>0</v>
      </c>
    </row>
    <row r="12" spans="1:9">
      <c r="A12" s="1" t="s">
        <v>127</v>
      </c>
      <c r="B12">
        <v>0</v>
      </c>
      <c r="D12">
        <v>0</v>
      </c>
      <c r="F12" s="1" t="s">
        <v>127</v>
      </c>
      <c r="G12">
        <f>GETPIVOTDATA("Test code (CSU enters)",$A$5,"Zone","BE","Spp","Pipiens ")</f>
        <v>0</v>
      </c>
      <c r="H12">
        <f>GETPIVOTDATA("Test code (CSU enters)",$A$5,"Zone","BE","Spp","Tarsalis")</f>
        <v>0</v>
      </c>
      <c r="I12">
        <f>GETPIVOTDATA("Test code (CSU enters)",$A$5,"Zone","BE")</f>
        <v>0</v>
      </c>
    </row>
    <row r="13" spans="1:9">
      <c r="A13" s="1" t="s">
        <v>322</v>
      </c>
      <c r="B13">
        <v>0</v>
      </c>
      <c r="C13">
        <v>0</v>
      </c>
      <c r="D13">
        <v>0</v>
      </c>
      <c r="F13" s="1" t="s">
        <v>323</v>
      </c>
      <c r="G13">
        <v>0</v>
      </c>
      <c r="H13">
        <v>0</v>
      </c>
      <c r="I13">
        <v>0</v>
      </c>
    </row>
    <row r="14" spans="1:9">
      <c r="F14" s="72" t="s">
        <v>322</v>
      </c>
      <c r="G14" s="73">
        <f>GETPIVOTDATA("Test code (CSU enters)",$A$5,"Spp","Pipiens ")</f>
        <v>0</v>
      </c>
      <c r="H14" s="73">
        <f>GETPIVOTDATA("Test code (CSU enters)",$A$5,"Spp","Tarsalis")</f>
        <v>0</v>
      </c>
      <c r="I14" s="73">
        <f>GETPIVOTDATA("Test code (CSU enters)",$A$5)</f>
        <v>0</v>
      </c>
    </row>
  </sheetData>
  <mergeCells count="1">
    <mergeCell ref="A1:C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dimension ref="A1:K25"/>
  <sheetViews>
    <sheetView workbookViewId="0">
      <selection activeCell="E6" sqref="E6"/>
    </sheetView>
  </sheetViews>
  <sheetFormatPr defaultColWidth="8.85546875" defaultRowHeight="15"/>
  <cols>
    <col min="1" max="1" width="15.85546875" customWidth="1"/>
    <col min="2" max="2" width="12.140625" customWidth="1"/>
    <col min="3" max="3" width="14.42578125" customWidth="1"/>
  </cols>
  <sheetData>
    <row r="1" spans="1:11">
      <c r="A1" s="33" t="s">
        <v>333</v>
      </c>
      <c r="B1" s="33" t="s">
        <v>334</v>
      </c>
      <c r="C1" s="33" t="s">
        <v>200</v>
      </c>
      <c r="J1" s="47" t="s">
        <v>29</v>
      </c>
      <c r="K1" s="52" t="s">
        <v>191</v>
      </c>
    </row>
    <row r="2" spans="1:11">
      <c r="A2" t="s">
        <v>47</v>
      </c>
      <c r="B2" t="s">
        <v>335</v>
      </c>
      <c r="C2" s="30">
        <v>0</v>
      </c>
      <c r="H2" s="30"/>
      <c r="J2" t="s">
        <v>129</v>
      </c>
      <c r="K2" s="30">
        <v>0</v>
      </c>
    </row>
    <row r="3" spans="1:11">
      <c r="A3" t="s">
        <v>47</v>
      </c>
      <c r="B3" t="s">
        <v>336</v>
      </c>
      <c r="C3" s="30">
        <v>0</v>
      </c>
      <c r="I3" s="30"/>
      <c r="J3" t="s">
        <v>55</v>
      </c>
      <c r="K3" s="30">
        <v>0</v>
      </c>
    </row>
    <row r="4" spans="1:11">
      <c r="A4" t="s">
        <v>33</v>
      </c>
      <c r="B4" t="s">
        <v>335</v>
      </c>
      <c r="C4" s="30">
        <v>0</v>
      </c>
      <c r="I4" s="30"/>
      <c r="J4" t="s">
        <v>50</v>
      </c>
      <c r="K4" s="30">
        <v>0</v>
      </c>
    </row>
    <row r="5" spans="1:11">
      <c r="A5" t="s">
        <v>33</v>
      </c>
      <c r="B5" t="s">
        <v>336</v>
      </c>
      <c r="C5" s="30">
        <v>0</v>
      </c>
      <c r="H5" s="30"/>
      <c r="J5" t="s">
        <v>45</v>
      </c>
      <c r="K5" s="30">
        <v>0</v>
      </c>
    </row>
    <row r="6" spans="1:11">
      <c r="A6" t="s">
        <v>127</v>
      </c>
      <c r="B6" t="s">
        <v>335</v>
      </c>
      <c r="C6" s="65" t="s">
        <v>337</v>
      </c>
      <c r="H6" s="30"/>
      <c r="J6" t="s">
        <v>40</v>
      </c>
      <c r="K6" s="30">
        <v>0</v>
      </c>
    </row>
    <row r="7" spans="1:11">
      <c r="A7" t="s">
        <v>127</v>
      </c>
      <c r="B7" t="s">
        <v>336</v>
      </c>
      <c r="C7" s="65">
        <v>0</v>
      </c>
      <c r="H7" s="30"/>
      <c r="K7" s="30"/>
    </row>
    <row r="8" spans="1:11">
      <c r="A8" t="s">
        <v>323</v>
      </c>
      <c r="B8" t="s">
        <v>335</v>
      </c>
      <c r="C8" s="65" t="s">
        <v>337</v>
      </c>
      <c r="H8" s="30"/>
      <c r="K8" s="30"/>
    </row>
    <row r="9" spans="1:11">
      <c r="A9" t="s">
        <v>323</v>
      </c>
      <c r="B9" t="s">
        <v>336</v>
      </c>
      <c r="C9" s="65" t="s">
        <v>337</v>
      </c>
      <c r="H9" s="30"/>
      <c r="K9" s="30"/>
    </row>
    <row r="10" spans="1:11">
      <c r="H10" s="30"/>
      <c r="K10" s="30"/>
    </row>
    <row r="11" spans="1:11">
      <c r="H11" s="30"/>
      <c r="K11" s="30"/>
    </row>
    <row r="12" spans="1:11">
      <c r="H12" s="30"/>
      <c r="K12" s="30"/>
    </row>
    <row r="13" spans="1:11">
      <c r="H13" s="30"/>
      <c r="I13" s="30"/>
      <c r="K13" s="30"/>
    </row>
    <row r="14" spans="1:11">
      <c r="H14" s="30"/>
      <c r="I14" s="47"/>
      <c r="J14" s="52"/>
    </row>
    <row r="15" spans="1:11">
      <c r="H15" s="30"/>
      <c r="J15" s="30"/>
      <c r="K15" s="30"/>
    </row>
    <row r="16" spans="1:11">
      <c r="F16" s="30"/>
      <c r="G16" s="30"/>
      <c r="J16" s="30"/>
      <c r="K16" s="52"/>
    </row>
    <row r="17" spans="6:11">
      <c r="F17" s="30"/>
      <c r="G17" s="30"/>
      <c r="H17" s="52"/>
      <c r="J17" s="30"/>
      <c r="K17" s="30"/>
    </row>
    <row r="18" spans="6:11">
      <c r="F18" s="30"/>
      <c r="H18" s="30"/>
      <c r="J18" s="30"/>
      <c r="K18" s="30"/>
    </row>
    <row r="19" spans="6:11">
      <c r="F19" s="30"/>
      <c r="H19" s="30"/>
      <c r="J19" s="30"/>
      <c r="K19" s="30"/>
    </row>
    <row r="20" spans="6:11">
      <c r="H20" s="30"/>
      <c r="J20" s="30"/>
      <c r="K20" s="30"/>
    </row>
    <row r="21" spans="6:11">
      <c r="H21" s="30"/>
      <c r="J21" s="30"/>
      <c r="K21" s="30"/>
    </row>
    <row r="22" spans="6:11">
      <c r="H22" s="30"/>
      <c r="J22" s="30"/>
      <c r="K22" s="30"/>
    </row>
    <row r="23" spans="6:11">
      <c r="H23" s="30"/>
      <c r="J23" s="30"/>
    </row>
    <row r="24" spans="6:11">
      <c r="J24" s="30"/>
    </row>
    <row r="25" spans="6:11">
      <c r="J25" s="3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2"/>
  <dimension ref="A1:L27"/>
  <sheetViews>
    <sheetView workbookViewId="0">
      <selection activeCell="F7" sqref="F7"/>
    </sheetView>
  </sheetViews>
  <sheetFormatPr defaultColWidth="8.85546875" defaultRowHeight="15"/>
  <cols>
    <col min="2" max="2" width="15.7109375" customWidth="1"/>
    <col min="3" max="3" width="13.140625" customWidth="1"/>
  </cols>
  <sheetData>
    <row r="1" spans="1:12">
      <c r="A1" s="33" t="s">
        <v>338</v>
      </c>
      <c r="B1" s="33" t="s">
        <v>334</v>
      </c>
      <c r="C1" s="33" t="s">
        <v>200</v>
      </c>
      <c r="I1" s="47" t="s">
        <v>30</v>
      </c>
      <c r="J1" s="52" t="s">
        <v>191</v>
      </c>
    </row>
    <row r="2" spans="1:12">
      <c r="A2" t="s">
        <v>71</v>
      </c>
      <c r="B2" t="s">
        <v>335</v>
      </c>
      <c r="C2" s="30">
        <v>0</v>
      </c>
      <c r="G2" s="30"/>
      <c r="I2" t="s">
        <v>56</v>
      </c>
      <c r="J2" s="30">
        <v>0</v>
      </c>
    </row>
    <row r="3" spans="1:12">
      <c r="A3" t="s">
        <v>71</v>
      </c>
      <c r="B3" t="s">
        <v>336</v>
      </c>
      <c r="C3" s="30">
        <v>0</v>
      </c>
      <c r="G3" s="30"/>
      <c r="I3" t="s">
        <v>51</v>
      </c>
      <c r="J3" s="30">
        <v>0</v>
      </c>
    </row>
    <row r="4" spans="1:12">
      <c r="A4" t="s">
        <v>49</v>
      </c>
      <c r="B4" t="s">
        <v>335</v>
      </c>
      <c r="C4" s="30">
        <v>0</v>
      </c>
      <c r="G4" s="30"/>
      <c r="I4" t="s">
        <v>74</v>
      </c>
      <c r="J4" s="30">
        <v>0</v>
      </c>
    </row>
    <row r="5" spans="1:12">
      <c r="A5" t="s">
        <v>49</v>
      </c>
      <c r="B5" t="s">
        <v>336</v>
      </c>
      <c r="C5" s="30">
        <v>0</v>
      </c>
      <c r="G5" s="30"/>
      <c r="I5" t="s">
        <v>72</v>
      </c>
      <c r="J5" s="30">
        <v>0</v>
      </c>
    </row>
    <row r="6" spans="1:12">
      <c r="A6" t="s">
        <v>87</v>
      </c>
      <c r="B6" t="s">
        <v>335</v>
      </c>
      <c r="C6" s="30">
        <v>0</v>
      </c>
      <c r="G6" s="30"/>
      <c r="I6" t="s">
        <v>96</v>
      </c>
      <c r="J6" s="30">
        <v>0</v>
      </c>
    </row>
    <row r="7" spans="1:12">
      <c r="A7" t="s">
        <v>87</v>
      </c>
      <c r="B7" t="s">
        <v>336</v>
      </c>
      <c r="C7" s="30">
        <v>0</v>
      </c>
      <c r="G7" s="30"/>
      <c r="I7" t="s">
        <v>88</v>
      </c>
      <c r="J7" s="30">
        <v>0</v>
      </c>
    </row>
    <row r="8" spans="1:12">
      <c r="A8" t="s">
        <v>161</v>
      </c>
      <c r="B8" t="s">
        <v>335</v>
      </c>
      <c r="C8" s="30">
        <v>0</v>
      </c>
      <c r="G8" s="30"/>
      <c r="I8" t="s">
        <v>168</v>
      </c>
      <c r="J8" s="30">
        <v>0</v>
      </c>
    </row>
    <row r="9" spans="1:12">
      <c r="A9" t="s">
        <v>161</v>
      </c>
      <c r="B9" t="s">
        <v>336</v>
      </c>
      <c r="C9" s="30">
        <v>0</v>
      </c>
      <c r="G9" s="30"/>
      <c r="I9" t="s">
        <v>162</v>
      </c>
      <c r="J9" s="30">
        <v>0</v>
      </c>
      <c r="L9" s="30"/>
    </row>
    <row r="10" spans="1:12">
      <c r="I10" s="30"/>
      <c r="J10" s="30"/>
      <c r="L10" s="30"/>
    </row>
    <row r="11" spans="1:12">
      <c r="I11" s="30"/>
      <c r="J11" s="30"/>
      <c r="L11" s="30"/>
    </row>
    <row r="12" spans="1:12">
      <c r="B12" s="30"/>
      <c r="I12" s="30"/>
      <c r="J12" s="30"/>
      <c r="L12" s="30"/>
    </row>
    <row r="13" spans="1:12">
      <c r="B13" s="30"/>
      <c r="I13" s="30"/>
      <c r="J13" s="30"/>
      <c r="K13" s="52"/>
      <c r="L13" s="30"/>
    </row>
    <row r="14" spans="1:12">
      <c r="B14" s="30"/>
      <c r="I14" s="30"/>
      <c r="J14" s="30"/>
      <c r="K14" s="30"/>
      <c r="L14" s="30"/>
    </row>
    <row r="15" spans="1:12">
      <c r="B15" s="30"/>
      <c r="I15" s="30"/>
      <c r="J15" s="30"/>
      <c r="K15" s="30"/>
      <c r="L15" s="30"/>
    </row>
    <row r="16" spans="1:12">
      <c r="B16" s="30"/>
      <c r="I16" s="30"/>
      <c r="J16" s="30"/>
      <c r="K16" s="30"/>
      <c r="L16" s="30"/>
    </row>
    <row r="17" spans="2:12">
      <c r="B17" s="30"/>
      <c r="I17" s="30"/>
      <c r="J17" s="30"/>
      <c r="K17" s="30"/>
      <c r="L17" s="30"/>
    </row>
    <row r="18" spans="2:12">
      <c r="B18" s="30"/>
      <c r="I18" s="30"/>
      <c r="J18" s="30"/>
      <c r="K18" s="30"/>
      <c r="L18" s="30"/>
    </row>
    <row r="19" spans="2:12">
      <c r="B19" s="30"/>
      <c r="H19" s="30"/>
      <c r="I19" s="30"/>
      <c r="J19" s="30"/>
      <c r="K19" s="30"/>
      <c r="L19" s="30"/>
    </row>
    <row r="20" spans="2:12">
      <c r="B20" s="30"/>
      <c r="H20" s="30"/>
      <c r="I20" s="30"/>
      <c r="J20" s="30"/>
      <c r="K20" s="30"/>
    </row>
    <row r="21" spans="2:12">
      <c r="B21" s="30"/>
      <c r="H21" s="30"/>
      <c r="I21" s="30"/>
      <c r="J21" s="30"/>
      <c r="K21" s="30"/>
    </row>
    <row r="22" spans="2:12">
      <c r="H22" s="30"/>
      <c r="J22" s="30"/>
      <c r="K22" s="30"/>
    </row>
    <row r="23" spans="2:12">
      <c r="H23" s="30"/>
      <c r="I23" s="30"/>
      <c r="K23" s="30"/>
    </row>
    <row r="24" spans="2:12">
      <c r="H24" s="30"/>
      <c r="I24" s="30"/>
      <c r="K24" s="30"/>
    </row>
    <row r="25" spans="2:12">
      <c r="H25" s="30"/>
      <c r="I25" s="30"/>
      <c r="K25" s="30"/>
    </row>
    <row r="26" spans="2:12">
      <c r="I26" s="30"/>
      <c r="K26" s="30"/>
    </row>
    <row r="27" spans="2:12">
      <c r="I27" s="3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6"/>
  <dimension ref="A1:Y100"/>
  <sheetViews>
    <sheetView tabSelected="1" topLeftCell="A79" zoomScale="70" zoomScaleNormal="70" workbookViewId="0">
      <selection activeCell="I79" sqref="I79"/>
    </sheetView>
  </sheetViews>
  <sheetFormatPr defaultColWidth="8.85546875" defaultRowHeight="15"/>
  <cols>
    <col min="1" max="1" width="25.42578125" customWidth="1"/>
    <col min="3" max="3" width="10.28515625" bestFit="1" customWidth="1"/>
    <col min="4" max="5" width="11.42578125" bestFit="1" customWidth="1"/>
    <col min="6" max="6" width="10.28515625" bestFit="1" customWidth="1"/>
    <col min="7" max="7" width="11.7109375" bestFit="1" customWidth="1"/>
    <col min="8" max="8" width="12.7109375" bestFit="1" customWidth="1"/>
    <col min="9" max="9" width="9" customWidth="1"/>
    <col min="10" max="10" width="11" customWidth="1"/>
    <col min="12" max="12" width="12.42578125" customWidth="1"/>
    <col min="13" max="13" width="11.7109375" customWidth="1"/>
    <col min="17" max="17" width="7.42578125" bestFit="1" customWidth="1"/>
    <col min="18" max="18" width="17.85546875" bestFit="1" customWidth="1"/>
  </cols>
  <sheetData>
    <row r="1" spans="1:15" ht="25.5" customHeight="1">
      <c r="A1" t="s">
        <v>339</v>
      </c>
      <c r="B1" s="3"/>
      <c r="C1" s="90" t="s">
        <v>340</v>
      </c>
      <c r="D1" s="91"/>
      <c r="E1" s="90" t="s">
        <v>341</v>
      </c>
      <c r="F1" s="91"/>
      <c r="G1" s="98"/>
      <c r="H1" s="99"/>
      <c r="I1" s="100"/>
    </row>
    <row r="2" spans="1:15" ht="27" customHeight="1">
      <c r="B2" s="4"/>
      <c r="C2" s="92"/>
      <c r="D2" s="93"/>
      <c r="E2" s="92" t="s">
        <v>342</v>
      </c>
      <c r="F2" s="93"/>
      <c r="G2" s="101" t="s">
        <v>343</v>
      </c>
      <c r="H2" s="102"/>
      <c r="I2" s="103"/>
    </row>
    <row r="3" spans="1:15" ht="15.75" thickBot="1">
      <c r="B3" s="4"/>
      <c r="C3" s="94"/>
      <c r="D3" s="95"/>
      <c r="E3" s="96"/>
      <c r="F3" s="97"/>
      <c r="G3" s="96"/>
      <c r="H3" s="104"/>
      <c r="I3" s="97"/>
    </row>
    <row r="4" spans="1:15" ht="15.75" customHeight="1">
      <c r="B4" s="4" t="s">
        <v>344</v>
      </c>
      <c r="C4" s="86" t="s">
        <v>335</v>
      </c>
      <c r="D4" s="86" t="s">
        <v>336</v>
      </c>
      <c r="E4" s="6" t="s">
        <v>345</v>
      </c>
      <c r="F4" s="6" t="s">
        <v>345</v>
      </c>
      <c r="G4" s="88" t="s">
        <v>346</v>
      </c>
      <c r="H4" s="88" t="s">
        <v>347</v>
      </c>
      <c r="I4" s="8" t="s">
        <v>348</v>
      </c>
    </row>
    <row r="5" spans="1:15" ht="15.75" thickBot="1">
      <c r="B5" s="5"/>
      <c r="C5" s="87"/>
      <c r="D5" s="87"/>
      <c r="E5" s="7" t="s">
        <v>328</v>
      </c>
      <c r="F5" s="7" t="s">
        <v>329</v>
      </c>
      <c r="G5" s="89"/>
      <c r="H5" s="89"/>
      <c r="I5" s="9" t="s">
        <v>349</v>
      </c>
    </row>
    <row r="6" spans="1:15" ht="38.25" customHeight="1" thickBot="1">
      <c r="B6" s="10" t="s">
        <v>350</v>
      </c>
      <c r="C6" s="25">
        <f t="shared" ref="C6:D10" si="0">G40</f>
        <v>1.7777777777777777</v>
      </c>
      <c r="D6" s="25">
        <f t="shared" si="0"/>
        <v>4.333333333333333</v>
      </c>
      <c r="E6" s="40">
        <f t="shared" ref="E6:F10" si="1">L73/1000</f>
        <v>0</v>
      </c>
      <c r="F6" s="40">
        <f t="shared" si="1"/>
        <v>0</v>
      </c>
      <c r="G6" s="31">
        <f t="shared" ref="G6:H10" si="2">C6*E6</f>
        <v>0</v>
      </c>
      <c r="H6" s="31">
        <f t="shared" si="2"/>
        <v>0</v>
      </c>
      <c r="I6" s="31">
        <f>G6+H6</f>
        <v>0</v>
      </c>
    </row>
    <row r="7" spans="1:15" ht="26.25" thickBot="1">
      <c r="B7" s="10" t="s">
        <v>351</v>
      </c>
      <c r="C7" s="25">
        <f t="shared" si="0"/>
        <v>0.3</v>
      </c>
      <c r="D7" s="25">
        <f t="shared" si="0"/>
        <v>0.7</v>
      </c>
      <c r="E7" s="40">
        <f t="shared" si="1"/>
        <v>0</v>
      </c>
      <c r="F7" s="40">
        <f t="shared" si="1"/>
        <v>0</v>
      </c>
      <c r="G7" s="31">
        <f t="shared" si="2"/>
        <v>0</v>
      </c>
      <c r="H7" s="31">
        <f t="shared" si="2"/>
        <v>0</v>
      </c>
      <c r="I7" s="31">
        <f>G7+H7</f>
        <v>0</v>
      </c>
    </row>
    <row r="8" spans="1:15" ht="26.25" thickBot="1">
      <c r="B8" s="10" t="s">
        <v>352</v>
      </c>
      <c r="C8" s="25">
        <f t="shared" si="0"/>
        <v>0.8</v>
      </c>
      <c r="D8" s="25">
        <f t="shared" si="0"/>
        <v>4.8666666666666663</v>
      </c>
      <c r="E8" s="40">
        <f t="shared" si="1"/>
        <v>0</v>
      </c>
      <c r="F8" s="40">
        <f t="shared" si="1"/>
        <v>0</v>
      </c>
      <c r="G8" s="31">
        <f t="shared" si="2"/>
        <v>0</v>
      </c>
      <c r="H8" s="31">
        <f t="shared" si="2"/>
        <v>0</v>
      </c>
      <c r="I8" s="31">
        <f>G8+H8</f>
        <v>0</v>
      </c>
    </row>
    <row r="9" spans="1:15" ht="26.25" thickBot="1">
      <c r="B9" s="10" t="s">
        <v>353</v>
      </c>
      <c r="C9" s="25">
        <f t="shared" si="0"/>
        <v>1.6666666666666667</v>
      </c>
      <c r="D9" s="25">
        <f>H43</f>
        <v>5.4444444444444446</v>
      </c>
      <c r="E9" s="40">
        <f t="shared" si="1"/>
        <v>0</v>
      </c>
      <c r="F9" s="40">
        <f t="shared" si="1"/>
        <v>0</v>
      </c>
      <c r="G9" s="31">
        <f t="shared" si="2"/>
        <v>0</v>
      </c>
      <c r="H9" s="31">
        <f t="shared" si="2"/>
        <v>0</v>
      </c>
      <c r="I9" s="31">
        <f>G9+H9</f>
        <v>0</v>
      </c>
    </row>
    <row r="10" spans="1:15" ht="26.25" thickBot="1">
      <c r="B10" s="10" t="s">
        <v>354</v>
      </c>
      <c r="C10" s="25">
        <f t="shared" si="0"/>
        <v>1.069767441860465</v>
      </c>
      <c r="D10" s="25">
        <f t="shared" si="0"/>
        <v>3.9069767441860463</v>
      </c>
      <c r="E10" s="40">
        <f t="shared" si="1"/>
        <v>0</v>
      </c>
      <c r="F10" s="40">
        <f t="shared" si="1"/>
        <v>0</v>
      </c>
      <c r="G10" s="31">
        <f t="shared" si="2"/>
        <v>0</v>
      </c>
      <c r="H10" s="31">
        <f t="shared" si="2"/>
        <v>0</v>
      </c>
      <c r="I10" s="31">
        <f>G10+H10</f>
        <v>0</v>
      </c>
      <c r="N10" s="30"/>
    </row>
    <row r="11" spans="1:15" ht="15.75" thickBot="1">
      <c r="B11" s="10"/>
      <c r="C11" s="11"/>
      <c r="D11" s="11"/>
      <c r="E11" s="40"/>
      <c r="F11" s="40"/>
      <c r="G11" s="31"/>
      <c r="H11" s="31"/>
      <c r="I11" s="31"/>
    </row>
    <row r="12" spans="1:15" ht="15.75" thickBot="1">
      <c r="B12" s="10" t="s">
        <v>33</v>
      </c>
      <c r="C12" s="28">
        <f t="shared" ref="C12:D14" si="3">G46</f>
        <v>0.67567567567567566</v>
      </c>
      <c r="D12" s="28">
        <f t="shared" si="3"/>
        <v>7.8918918918918921</v>
      </c>
      <c r="E12" s="40">
        <f t="shared" ref="E12:F14" si="4">L79/1000</f>
        <v>0</v>
      </c>
      <c r="F12" s="40">
        <f t="shared" si="4"/>
        <v>0</v>
      </c>
      <c r="G12" s="31">
        <f t="shared" ref="G12:H14" si="5">C12*E12</f>
        <v>0</v>
      </c>
      <c r="H12" s="31">
        <f t="shared" si="5"/>
        <v>0</v>
      </c>
      <c r="I12" s="31">
        <f>G12+H12</f>
        <v>0</v>
      </c>
    </row>
    <row r="13" spans="1:15" ht="15.75" thickBot="1">
      <c r="B13" s="10" t="s">
        <v>127</v>
      </c>
      <c r="C13" s="28">
        <f t="shared" si="3"/>
        <v>0</v>
      </c>
      <c r="D13" s="28">
        <f t="shared" si="3"/>
        <v>12.8</v>
      </c>
      <c r="E13" s="40" t="s">
        <v>337</v>
      </c>
      <c r="F13" s="40">
        <f t="shared" si="4"/>
        <v>0</v>
      </c>
      <c r="G13" s="31" t="s">
        <v>337</v>
      </c>
      <c r="H13" s="31">
        <f t="shared" si="5"/>
        <v>0</v>
      </c>
      <c r="I13" s="31">
        <v>0</v>
      </c>
    </row>
    <row r="14" spans="1:15" ht="15.75" thickBot="1">
      <c r="B14" s="10" t="s">
        <v>323</v>
      </c>
      <c r="C14" s="28" t="s">
        <v>337</v>
      </c>
      <c r="D14" s="28" t="s">
        <v>337</v>
      </c>
      <c r="E14" s="40" t="s">
        <v>337</v>
      </c>
      <c r="F14" s="40" t="s">
        <v>337</v>
      </c>
      <c r="G14" s="31" t="s">
        <v>337</v>
      </c>
      <c r="H14" s="31" t="s">
        <v>337</v>
      </c>
      <c r="I14" s="31" t="s">
        <v>337</v>
      </c>
    </row>
    <row r="15" spans="1:15" ht="15.75" thickBot="1"/>
    <row r="16" spans="1:15" ht="15" customHeight="1">
      <c r="A16" t="s">
        <v>355</v>
      </c>
      <c r="B16" s="15"/>
      <c r="C16" s="105" t="s">
        <v>350</v>
      </c>
      <c r="D16" s="106"/>
      <c r="E16" s="105" t="s">
        <v>351</v>
      </c>
      <c r="F16" s="106"/>
      <c r="G16" s="105" t="s">
        <v>352</v>
      </c>
      <c r="H16" s="106"/>
      <c r="I16" s="105" t="s">
        <v>353</v>
      </c>
      <c r="J16" s="106"/>
      <c r="K16" s="105" t="s">
        <v>354</v>
      </c>
      <c r="L16" s="106"/>
      <c r="M16" s="18"/>
      <c r="N16" s="18"/>
      <c r="O16" s="18"/>
    </row>
    <row r="17" spans="2:15" ht="15.75" thickBot="1">
      <c r="B17" s="16"/>
      <c r="C17" s="107"/>
      <c r="D17" s="108"/>
      <c r="E17" s="107"/>
      <c r="F17" s="108"/>
      <c r="G17" s="107"/>
      <c r="H17" s="108"/>
      <c r="I17" s="107"/>
      <c r="J17" s="108"/>
      <c r="K17" s="107"/>
      <c r="L17" s="108"/>
      <c r="M17" s="19"/>
      <c r="N17" s="19"/>
      <c r="O17" s="19"/>
    </row>
    <row r="18" spans="2:15" ht="26.25" thickBot="1">
      <c r="B18" s="17" t="s">
        <v>356</v>
      </c>
      <c r="C18" s="20" t="s">
        <v>357</v>
      </c>
      <c r="D18" s="20" t="s">
        <v>358</v>
      </c>
      <c r="E18" s="20" t="s">
        <v>357</v>
      </c>
      <c r="F18" s="20" t="s">
        <v>358</v>
      </c>
      <c r="G18" s="20" t="s">
        <v>357</v>
      </c>
      <c r="H18" s="20" t="s">
        <v>358</v>
      </c>
      <c r="I18" s="20" t="s">
        <v>357</v>
      </c>
      <c r="J18" s="20" t="s">
        <v>358</v>
      </c>
      <c r="K18" s="20" t="s">
        <v>357</v>
      </c>
      <c r="L18" s="20" t="s">
        <v>358</v>
      </c>
      <c r="M18" s="20" t="s">
        <v>33</v>
      </c>
      <c r="N18" s="20" t="s">
        <v>127</v>
      </c>
      <c r="O18" s="20" t="s">
        <v>323</v>
      </c>
    </row>
    <row r="19" spans="2:15" ht="15.75" thickBot="1">
      <c r="B19" s="17">
        <v>23</v>
      </c>
      <c r="C19" s="44">
        <v>0</v>
      </c>
      <c r="D19" s="44">
        <v>1.11111E-2</v>
      </c>
      <c r="E19" s="44">
        <v>0</v>
      </c>
      <c r="F19" s="44">
        <v>0.02</v>
      </c>
      <c r="G19" s="44">
        <v>0</v>
      </c>
      <c r="H19" s="44">
        <v>1.38575E-2</v>
      </c>
      <c r="I19" s="44">
        <v>0</v>
      </c>
      <c r="J19" s="44">
        <v>1.3888875E-2</v>
      </c>
      <c r="K19" s="44">
        <v>0</v>
      </c>
      <c r="L19" s="44">
        <v>1.3897987475926596E-2</v>
      </c>
      <c r="M19" s="29">
        <v>0</v>
      </c>
      <c r="N19" s="29">
        <v>0</v>
      </c>
      <c r="O19" s="29" t="s">
        <v>337</v>
      </c>
    </row>
    <row r="20" spans="2:15" ht="15.75" thickBot="1">
      <c r="B20" s="41">
        <v>24</v>
      </c>
      <c r="C20" s="44"/>
      <c r="D20" s="42">
        <v>0</v>
      </c>
      <c r="E20" s="44"/>
      <c r="F20" s="42">
        <v>0</v>
      </c>
      <c r="G20" s="44"/>
      <c r="H20" s="42">
        <v>3.9826250000000001E-3</v>
      </c>
      <c r="I20" s="44"/>
      <c r="J20" s="42">
        <v>0</v>
      </c>
      <c r="K20" s="44"/>
      <c r="L20" s="42">
        <v>1.4442952217669819E-3</v>
      </c>
      <c r="M20" s="29"/>
      <c r="N20" s="29"/>
      <c r="O20" s="29"/>
    </row>
    <row r="21" spans="2:15" ht="15.75" thickBot="1">
      <c r="B21" s="41">
        <v>25</v>
      </c>
      <c r="C21" s="44"/>
      <c r="D21" s="42">
        <v>0</v>
      </c>
      <c r="E21" s="44"/>
      <c r="F21" s="42">
        <v>1.1043705882352942E-2</v>
      </c>
      <c r="G21" s="44"/>
      <c r="H21" s="42">
        <v>0</v>
      </c>
      <c r="I21" s="44"/>
      <c r="J21" s="42">
        <v>0</v>
      </c>
      <c r="K21" s="44"/>
      <c r="L21" s="42">
        <v>2.216525322472792E-3</v>
      </c>
      <c r="M21" s="29"/>
      <c r="N21" s="29"/>
      <c r="O21" s="29"/>
    </row>
    <row r="22" spans="2:15" ht="15.75" thickBot="1">
      <c r="B22" s="41">
        <v>26</v>
      </c>
      <c r="C22" s="44"/>
      <c r="D22" s="42">
        <v>0</v>
      </c>
      <c r="E22" s="44"/>
      <c r="F22" s="42">
        <v>5.7515294117647057E-3</v>
      </c>
      <c r="G22" s="44"/>
      <c r="H22" s="42">
        <v>1.0883352941176469E-2</v>
      </c>
      <c r="I22" s="44"/>
      <c r="J22" s="42">
        <v>6.840294117647059E-3</v>
      </c>
      <c r="K22" s="44"/>
      <c r="L22" s="42">
        <v>6.745910669410402E-3</v>
      </c>
      <c r="M22" s="29"/>
      <c r="N22" s="29"/>
      <c r="O22" s="29"/>
    </row>
    <row r="23" spans="2:15" ht="15.75" thickBot="1">
      <c r="B23" s="41">
        <v>27</v>
      </c>
      <c r="C23" s="44"/>
      <c r="D23" s="42">
        <v>0</v>
      </c>
      <c r="E23" s="44"/>
      <c r="F23" s="42">
        <v>2.3910325255148232E-2</v>
      </c>
      <c r="G23" s="44"/>
      <c r="H23" s="42">
        <v>1.0836424716165353E-2</v>
      </c>
      <c r="I23" s="44"/>
      <c r="J23" s="42">
        <v>0</v>
      </c>
      <c r="K23" s="44"/>
      <c r="L23" s="42">
        <v>1.0025703489001015E-2</v>
      </c>
      <c r="M23" s="29"/>
      <c r="N23" s="29"/>
      <c r="O23" s="29"/>
    </row>
    <row r="24" spans="2:15" ht="15.75" thickBot="1">
      <c r="B24" s="41">
        <v>28</v>
      </c>
      <c r="C24" s="44"/>
      <c r="D24" s="42">
        <v>0</v>
      </c>
      <c r="E24" s="44"/>
      <c r="F24" s="42">
        <v>2.7109871109363332E-2</v>
      </c>
      <c r="G24" s="44"/>
      <c r="H24" s="42">
        <v>0.10011577373144319</v>
      </c>
      <c r="I24" s="44"/>
      <c r="J24" s="42">
        <v>7.6527058823529408E-3</v>
      </c>
      <c r="K24" s="44"/>
      <c r="L24" s="42">
        <v>4.144518725100451E-2</v>
      </c>
      <c r="M24" s="29"/>
      <c r="N24" s="29"/>
      <c r="O24" s="29"/>
    </row>
    <row r="25" spans="2:15" ht="15.75" thickBot="1">
      <c r="B25" s="41">
        <v>29</v>
      </c>
      <c r="C25" s="44"/>
      <c r="D25" s="42">
        <v>8.0652636808622835E-2</v>
      </c>
      <c r="E25" s="44"/>
      <c r="F25" s="42">
        <v>9.4741442453326163E-2</v>
      </c>
      <c r="G25" s="44"/>
      <c r="H25" s="42">
        <v>0.24240997873134518</v>
      </c>
      <c r="I25" s="44"/>
      <c r="J25" s="42">
        <v>2.7489314647905036E-2</v>
      </c>
      <c r="K25" s="44"/>
      <c r="L25" s="42">
        <v>0.1249441277962933</v>
      </c>
      <c r="M25" s="29"/>
      <c r="N25" s="29"/>
      <c r="O25" s="29"/>
    </row>
    <row r="26" spans="2:15" ht="15.75" thickBot="1">
      <c r="B26" s="41">
        <v>30</v>
      </c>
      <c r="C26" s="44"/>
      <c r="D26" s="42">
        <v>8.4720718207923804E-2</v>
      </c>
      <c r="E26" s="44"/>
      <c r="F26" s="42">
        <v>0.13958410761823259</v>
      </c>
      <c r="G26" s="44"/>
      <c r="H26" s="42">
        <v>0.25727160522503095</v>
      </c>
      <c r="I26" s="44"/>
      <c r="J26" s="42">
        <v>6.8268224245148654E-2</v>
      </c>
      <c r="K26" s="44"/>
      <c r="L26" s="42">
        <v>0.15208747560883568</v>
      </c>
      <c r="M26" s="29"/>
      <c r="N26" s="29"/>
      <c r="O26" s="29"/>
    </row>
    <row r="27" spans="2:15" ht="15.75" thickBot="1">
      <c r="B27" s="41">
        <v>31</v>
      </c>
      <c r="C27" s="44"/>
      <c r="D27" s="42">
        <v>0.14043400738622153</v>
      </c>
      <c r="E27" s="44"/>
      <c r="F27" s="42">
        <v>0.16505088916936525</v>
      </c>
      <c r="G27" s="44"/>
      <c r="H27" s="42">
        <v>0.23223366375363583</v>
      </c>
      <c r="I27" s="44"/>
      <c r="J27" s="42">
        <v>7.7703573992842181E-2</v>
      </c>
      <c r="K27" s="44"/>
      <c r="L27" s="42">
        <v>0.18175954560103025</v>
      </c>
      <c r="M27" s="29"/>
      <c r="N27" s="29"/>
      <c r="O27" s="29"/>
    </row>
    <row r="28" spans="2:15" ht="15.75" thickBot="1">
      <c r="B28" s="41">
        <v>32</v>
      </c>
      <c r="C28" s="44"/>
      <c r="D28" s="42">
        <v>0.15836546121669076</v>
      </c>
      <c r="E28" s="44"/>
      <c r="F28" s="42">
        <v>0.26386271135781186</v>
      </c>
      <c r="G28" s="44"/>
      <c r="H28" s="42">
        <v>0.31537735199956624</v>
      </c>
      <c r="I28" s="44"/>
      <c r="J28" s="42">
        <v>0.13605701320678626</v>
      </c>
      <c r="K28" s="44"/>
      <c r="L28" s="42">
        <v>0.23322972322876481</v>
      </c>
      <c r="M28" s="29"/>
      <c r="N28" s="29"/>
      <c r="O28" s="29"/>
    </row>
    <row r="29" spans="2:15" ht="15.75" thickBot="1">
      <c r="B29" s="41">
        <v>33</v>
      </c>
      <c r="C29" s="44"/>
      <c r="D29" s="42">
        <v>0.14304178215302124</v>
      </c>
      <c r="E29" s="44"/>
      <c r="F29" s="42">
        <v>0.40735996745824976</v>
      </c>
      <c r="G29" s="44"/>
      <c r="H29" s="42">
        <v>0.26006555086192773</v>
      </c>
      <c r="I29" s="44"/>
      <c r="J29" s="42">
        <v>9.6580662246602861E-2</v>
      </c>
      <c r="K29" s="44"/>
      <c r="L29" s="42">
        <v>0.2382306858085502</v>
      </c>
      <c r="M29" s="29"/>
      <c r="N29" s="29"/>
      <c r="O29" s="29"/>
    </row>
    <row r="30" spans="2:15" ht="15.75" thickBot="1">
      <c r="B30" s="41">
        <v>34</v>
      </c>
      <c r="C30" s="44"/>
      <c r="D30" s="42">
        <v>0.12600967082778222</v>
      </c>
      <c r="E30" s="44"/>
      <c r="F30" s="42">
        <v>0.20241826414142597</v>
      </c>
      <c r="G30" s="44"/>
      <c r="H30" s="42">
        <v>0.27956494495246798</v>
      </c>
      <c r="I30" s="44"/>
      <c r="J30" s="42">
        <v>7.4024804925568399E-2</v>
      </c>
      <c r="K30" s="44"/>
      <c r="L30" s="42">
        <v>0.19107546692258445</v>
      </c>
      <c r="M30" s="29"/>
      <c r="N30" s="29"/>
      <c r="O30" s="29"/>
    </row>
    <row r="31" spans="2:15" ht="15.75" thickBot="1">
      <c r="B31" s="41">
        <v>35</v>
      </c>
      <c r="C31" s="44"/>
      <c r="D31" s="42">
        <v>5.6194105506050619E-2</v>
      </c>
      <c r="E31" s="44"/>
      <c r="F31" s="42">
        <v>0.19274930798168113</v>
      </c>
      <c r="G31" s="44"/>
      <c r="H31" s="42">
        <v>0.2451073860561771</v>
      </c>
      <c r="I31" s="44"/>
      <c r="J31" s="42">
        <v>0.11380297103058348</v>
      </c>
      <c r="K31" s="44"/>
      <c r="L31" s="42">
        <v>0.16958722999013232</v>
      </c>
      <c r="M31" s="29"/>
      <c r="N31" s="29"/>
      <c r="O31" s="29"/>
    </row>
    <row r="32" spans="2:15" ht="15.75" thickBot="1">
      <c r="B32" s="41">
        <v>36</v>
      </c>
      <c r="C32" s="44"/>
      <c r="D32" s="43">
        <v>2.7826187276666775E-2</v>
      </c>
      <c r="E32" s="44"/>
      <c r="F32" s="43">
        <v>7.8632603984965535E-2</v>
      </c>
      <c r="G32" s="44"/>
      <c r="H32" s="43">
        <v>4.8959157617108652E-2</v>
      </c>
      <c r="I32" s="44"/>
      <c r="J32" s="43">
        <v>1.5408641037952781E-2</v>
      </c>
      <c r="K32" s="44"/>
      <c r="L32" s="43">
        <v>4.9216211111452697E-2</v>
      </c>
      <c r="M32" s="29"/>
      <c r="N32" s="20"/>
      <c r="O32" s="29"/>
    </row>
    <row r="33" spans="1:15" ht="15.75" thickBot="1">
      <c r="B33" s="41">
        <v>37</v>
      </c>
      <c r="C33" s="44"/>
      <c r="D33" s="44">
        <v>2.935713938061572E-2</v>
      </c>
      <c r="E33" s="44"/>
      <c r="F33" s="44">
        <v>0.11154474102932661</v>
      </c>
      <c r="G33" s="44"/>
      <c r="H33" s="44">
        <v>2.796552500399848E-2</v>
      </c>
      <c r="I33" s="44"/>
      <c r="J33" s="44">
        <v>0</v>
      </c>
      <c r="K33" s="44"/>
      <c r="L33" s="44">
        <v>4.4215961657241808E-2</v>
      </c>
      <c r="M33" s="29"/>
      <c r="N33" s="20"/>
      <c r="O33" s="29"/>
    </row>
    <row r="34" spans="1:15" ht="15.75" thickBot="1"/>
    <row r="35" spans="1:15">
      <c r="A35" t="s">
        <v>359</v>
      </c>
      <c r="B35" s="3"/>
      <c r="C35" s="90" t="s">
        <v>360</v>
      </c>
      <c r="D35" s="109"/>
      <c r="E35" s="91"/>
      <c r="F35" s="14"/>
      <c r="G35" s="90" t="s">
        <v>361</v>
      </c>
      <c r="H35" s="109"/>
      <c r="I35" s="91"/>
    </row>
    <row r="36" spans="1:15" ht="38.25">
      <c r="B36" s="4"/>
      <c r="C36" s="92" t="s">
        <v>362</v>
      </c>
      <c r="D36" s="110"/>
      <c r="E36" s="93"/>
      <c r="F36" s="13" t="s">
        <v>363</v>
      </c>
      <c r="G36" s="92"/>
      <c r="H36" s="110"/>
      <c r="I36" s="93"/>
    </row>
    <row r="37" spans="1:15" ht="15.75" thickBot="1">
      <c r="B37" s="4"/>
      <c r="C37" s="96"/>
      <c r="D37" s="104"/>
      <c r="E37" s="97"/>
      <c r="F37" s="21"/>
      <c r="G37" s="94"/>
      <c r="H37" s="111"/>
      <c r="I37" s="95"/>
    </row>
    <row r="38" spans="1:15" ht="25.5">
      <c r="B38" s="4" t="s">
        <v>344</v>
      </c>
      <c r="C38" s="86" t="s">
        <v>335</v>
      </c>
      <c r="D38" s="86" t="s">
        <v>336</v>
      </c>
      <c r="E38" s="112" t="s">
        <v>364</v>
      </c>
      <c r="F38" s="21"/>
      <c r="G38" s="114" t="s">
        <v>365</v>
      </c>
      <c r="H38" s="114" t="s">
        <v>366</v>
      </c>
      <c r="I38" s="26" t="s">
        <v>348</v>
      </c>
    </row>
    <row r="39" spans="1:15" ht="15.75" thickBot="1">
      <c r="B39" s="5"/>
      <c r="C39" s="87"/>
      <c r="D39" s="87"/>
      <c r="E39" s="113"/>
      <c r="F39" s="12"/>
      <c r="G39" s="115"/>
      <c r="H39" s="115"/>
      <c r="I39" s="27" t="s">
        <v>367</v>
      </c>
    </row>
    <row r="40" spans="1:15" ht="44.25" customHeight="1" thickBot="1">
      <c r="B40" s="10" t="s">
        <v>350</v>
      </c>
      <c r="C40" s="45">
        <f>'Total Number Of Ind'!H7</f>
        <v>16</v>
      </c>
      <c r="D40" s="45">
        <f>'Total Number Of Ind'!I7</f>
        <v>39</v>
      </c>
      <c r="E40" s="45">
        <f>C40+D40</f>
        <v>55</v>
      </c>
      <c r="F40" s="45">
        <v>9</v>
      </c>
      <c r="G40" s="25">
        <f>C40/F40</f>
        <v>1.7777777777777777</v>
      </c>
      <c r="H40" s="25">
        <f>D40/F40</f>
        <v>4.333333333333333</v>
      </c>
      <c r="I40" s="25">
        <f>E40/F40</f>
        <v>6.1111111111111107</v>
      </c>
    </row>
    <row r="41" spans="1:15" ht="26.25" thickBot="1">
      <c r="B41" s="10" t="s">
        <v>351</v>
      </c>
      <c r="C41" s="45">
        <f>'Total Number Of Ind'!H6</f>
        <v>3</v>
      </c>
      <c r="D41" s="45">
        <f>'Total Number Of Ind'!I6</f>
        <v>7</v>
      </c>
      <c r="E41" s="45">
        <f>C41+D41</f>
        <v>10</v>
      </c>
      <c r="F41" s="45">
        <v>10</v>
      </c>
      <c r="G41" s="25">
        <f t="shared" ref="G41:G48" si="6">C41/F41</f>
        <v>0.3</v>
      </c>
      <c r="H41" s="25">
        <f>D41/F41</f>
        <v>0.7</v>
      </c>
      <c r="I41" s="25">
        <f>E41/F41</f>
        <v>1</v>
      </c>
    </row>
    <row r="42" spans="1:15" ht="26.25" thickBot="1">
      <c r="B42" s="10" t="s">
        <v>352</v>
      </c>
      <c r="C42" s="45">
        <f>'Total Number Of Ind'!H8</f>
        <v>12</v>
      </c>
      <c r="D42" s="45">
        <f>'Total Number Of Ind'!I8</f>
        <v>73</v>
      </c>
      <c r="E42" s="45">
        <f>C42+D42</f>
        <v>85</v>
      </c>
      <c r="F42" s="45">
        <v>15</v>
      </c>
      <c r="G42" s="25">
        <f t="shared" si="6"/>
        <v>0.8</v>
      </c>
      <c r="H42" s="25">
        <f>D42/F42</f>
        <v>4.8666666666666663</v>
      </c>
      <c r="I42" s="25">
        <f>E42/F42</f>
        <v>5.666666666666667</v>
      </c>
    </row>
    <row r="43" spans="1:15" ht="26.25" thickBot="1">
      <c r="B43" s="10" t="s">
        <v>353</v>
      </c>
      <c r="C43" s="45">
        <f>'Total Number Of Ind'!H9</f>
        <v>15</v>
      </c>
      <c r="D43" s="45">
        <f>'Total Number Of Ind'!I9</f>
        <v>49</v>
      </c>
      <c r="E43" s="45">
        <f>C43+D43</f>
        <v>64</v>
      </c>
      <c r="F43" s="45">
        <v>9</v>
      </c>
      <c r="G43" s="25">
        <f t="shared" si="6"/>
        <v>1.6666666666666667</v>
      </c>
      <c r="H43" s="25">
        <f>D43/F43</f>
        <v>5.4444444444444446</v>
      </c>
      <c r="I43" s="25">
        <f>E43/F43</f>
        <v>7.1111111111111107</v>
      </c>
    </row>
    <row r="44" spans="1:15" ht="26.25" thickBot="1">
      <c r="B44" s="10" t="s">
        <v>354</v>
      </c>
      <c r="C44" s="45">
        <f>SUM(C40:C43)</f>
        <v>46</v>
      </c>
      <c r="D44" s="45">
        <f>SUM(D40:D43)</f>
        <v>168</v>
      </c>
      <c r="E44" s="45">
        <f>SUM(E40:E43)</f>
        <v>214</v>
      </c>
      <c r="F44" s="45">
        <f>SUM(F40:F43)</f>
        <v>43</v>
      </c>
      <c r="G44" s="25">
        <f t="shared" si="6"/>
        <v>1.069767441860465</v>
      </c>
      <c r="H44" s="25">
        <f>D44/F44</f>
        <v>3.9069767441860463</v>
      </c>
      <c r="I44" s="25">
        <f>E44/F44</f>
        <v>4.9767441860465116</v>
      </c>
    </row>
    <row r="45" spans="1:15" ht="15.75" thickBot="1">
      <c r="B45" s="10"/>
      <c r="C45" s="45"/>
      <c r="D45" s="45"/>
      <c r="E45" s="45"/>
      <c r="F45" s="45"/>
      <c r="G45" s="25"/>
      <c r="H45" s="25"/>
      <c r="I45" s="25"/>
    </row>
    <row r="46" spans="1:15" ht="15.75" thickBot="1">
      <c r="B46" s="10" t="s">
        <v>33</v>
      </c>
      <c r="C46" s="45">
        <f>'Total Number Of Ind'!H5</f>
        <v>25</v>
      </c>
      <c r="D46" s="45">
        <f>'Total Number Of Ind'!I5</f>
        <v>292</v>
      </c>
      <c r="E46" s="45">
        <f>C46+D46</f>
        <v>317</v>
      </c>
      <c r="F46" s="45">
        <v>37</v>
      </c>
      <c r="G46" s="25">
        <f t="shared" si="6"/>
        <v>0.67567567567567566</v>
      </c>
      <c r="H46" s="25">
        <f>D46/F46</f>
        <v>7.8918918918918921</v>
      </c>
      <c r="I46" s="25">
        <f>E46/F46</f>
        <v>8.5675675675675684</v>
      </c>
    </row>
    <row r="47" spans="1:15" ht="15.75" thickBot="1">
      <c r="B47" s="10" t="s">
        <v>127</v>
      </c>
      <c r="C47" s="45">
        <f>'Total Number Of Ind'!H10</f>
        <v>0</v>
      </c>
      <c r="D47" s="45">
        <f>'Total Number Of Ind'!I10</f>
        <v>64</v>
      </c>
      <c r="E47" s="45">
        <f>C47+D47</f>
        <v>64</v>
      </c>
      <c r="F47" s="45">
        <v>5</v>
      </c>
      <c r="G47" s="25">
        <f>C47/F47</f>
        <v>0</v>
      </c>
      <c r="H47" s="25">
        <f>D47/F47</f>
        <v>12.8</v>
      </c>
      <c r="I47" s="25">
        <f>E47/F47</f>
        <v>12.8</v>
      </c>
    </row>
    <row r="48" spans="1:15" ht="15.75" thickBot="1">
      <c r="B48" s="10" t="s">
        <v>323</v>
      </c>
      <c r="C48" s="45" t="s">
        <v>337</v>
      </c>
      <c r="D48" s="45" t="s">
        <v>337</v>
      </c>
      <c r="E48" s="45" t="s">
        <v>337</v>
      </c>
      <c r="F48" s="45" t="s">
        <v>337</v>
      </c>
      <c r="G48" s="45" t="s">
        <v>337</v>
      </c>
      <c r="H48" s="45" t="s">
        <v>337</v>
      </c>
      <c r="I48" s="45" t="s">
        <v>337</v>
      </c>
    </row>
    <row r="49" spans="1:15" ht="15.75" thickBot="1"/>
    <row r="50" spans="1:15">
      <c r="A50" t="s">
        <v>368</v>
      </c>
      <c r="B50" s="15"/>
      <c r="C50" s="105" t="s">
        <v>350</v>
      </c>
      <c r="D50" s="106"/>
      <c r="E50" s="105" t="s">
        <v>351</v>
      </c>
      <c r="F50" s="106"/>
      <c r="G50" s="105" t="s">
        <v>352</v>
      </c>
      <c r="H50" s="106"/>
      <c r="I50" s="105" t="s">
        <v>353</v>
      </c>
      <c r="J50" s="106"/>
      <c r="K50" s="105" t="s">
        <v>354</v>
      </c>
      <c r="L50" s="106"/>
      <c r="M50" s="18"/>
      <c r="N50" s="18"/>
      <c r="O50" s="18"/>
    </row>
    <row r="51" spans="1:15" ht="15.75" thickBot="1">
      <c r="B51" s="16"/>
      <c r="C51" s="107"/>
      <c r="D51" s="108"/>
      <c r="E51" s="107"/>
      <c r="F51" s="108"/>
      <c r="G51" s="107"/>
      <c r="H51" s="108"/>
      <c r="I51" s="107"/>
      <c r="J51" s="108"/>
      <c r="K51" s="107"/>
      <c r="L51" s="108"/>
      <c r="M51" s="19"/>
      <c r="N51" s="19"/>
      <c r="O51" s="19"/>
    </row>
    <row r="52" spans="1:15" ht="26.25" thickBot="1">
      <c r="B52" s="17" t="s">
        <v>13</v>
      </c>
      <c r="C52" s="20" t="s">
        <v>357</v>
      </c>
      <c r="D52" s="20" t="s">
        <v>358</v>
      </c>
      <c r="E52" s="20" t="s">
        <v>357</v>
      </c>
      <c r="F52" s="20" t="s">
        <v>358</v>
      </c>
      <c r="G52" s="20" t="s">
        <v>357</v>
      </c>
      <c r="H52" s="20" t="s">
        <v>358</v>
      </c>
      <c r="I52" s="20" t="s">
        <v>357</v>
      </c>
      <c r="J52" s="20" t="s">
        <v>358</v>
      </c>
      <c r="K52" s="20" t="s">
        <v>357</v>
      </c>
      <c r="L52" s="20" t="s">
        <v>358</v>
      </c>
      <c r="M52" s="20" t="s">
        <v>33</v>
      </c>
      <c r="N52" s="20" t="s">
        <v>127</v>
      </c>
      <c r="O52" s="20" t="s">
        <v>323</v>
      </c>
    </row>
    <row r="53" spans="1:15" ht="15.75" thickBot="1">
      <c r="B53" s="17">
        <v>23</v>
      </c>
      <c r="C53" s="44">
        <v>6.1111111111111107</v>
      </c>
      <c r="D53" s="44">
        <v>2.8093888888888889</v>
      </c>
      <c r="E53" s="44">
        <v>1</v>
      </c>
      <c r="F53" s="44">
        <v>5.4844444444444447</v>
      </c>
      <c r="G53" s="44">
        <v>5.666666666666667</v>
      </c>
      <c r="H53" s="44">
        <v>8.0432294372294368</v>
      </c>
      <c r="I53" s="44">
        <v>7.1111111111111107</v>
      </c>
      <c r="J53" s="44">
        <v>0.78472222222222221</v>
      </c>
      <c r="K53" s="44">
        <v>4.9767441860465116</v>
      </c>
      <c r="L53" s="44">
        <v>5.6734786090541229</v>
      </c>
      <c r="M53" s="29">
        <v>8.5675675675675684</v>
      </c>
      <c r="N53" s="29">
        <v>12.8</v>
      </c>
      <c r="O53" s="29" t="s">
        <v>337</v>
      </c>
    </row>
    <row r="54" spans="1:15" ht="15.75" thickBot="1">
      <c r="B54" s="17">
        <v>24</v>
      </c>
      <c r="C54" s="44"/>
      <c r="D54" s="68">
        <v>2.9038194444444438</v>
      </c>
      <c r="E54" s="44"/>
      <c r="F54" s="68">
        <v>7.2186237373737381</v>
      </c>
      <c r="G54" s="44"/>
      <c r="H54" s="68">
        <v>8.9974702380952376</v>
      </c>
      <c r="I54" s="44"/>
      <c r="J54" s="68">
        <v>1.8253124999999999</v>
      </c>
      <c r="K54" s="44"/>
      <c r="L54" s="68">
        <v>5.8043185693681387</v>
      </c>
      <c r="M54" s="29"/>
      <c r="N54" s="29"/>
      <c r="O54" s="29"/>
    </row>
    <row r="55" spans="1:15" ht="15.75" thickBot="1">
      <c r="B55" s="17">
        <v>25</v>
      </c>
      <c r="C55" s="44"/>
      <c r="D55" s="68">
        <v>6.0679925303454709</v>
      </c>
      <c r="E55" s="44"/>
      <c r="F55" s="68">
        <v>17.183823529411764</v>
      </c>
      <c r="G55" s="44"/>
      <c r="H55" s="68">
        <v>21.447140702434815</v>
      </c>
      <c r="I55" s="44"/>
      <c r="J55" s="68">
        <v>3.9491176470588236</v>
      </c>
      <c r="K55" s="44"/>
      <c r="L55" s="68">
        <v>13.491651055412177</v>
      </c>
      <c r="M55" s="29"/>
      <c r="N55" s="29"/>
      <c r="O55" s="29"/>
    </row>
    <row r="56" spans="1:15" ht="15.75" thickBot="1">
      <c r="B56" s="17">
        <v>26</v>
      </c>
      <c r="C56" s="44"/>
      <c r="D56" s="68">
        <v>12.784183006535947</v>
      </c>
      <c r="E56" s="44"/>
      <c r="F56" s="68">
        <v>30.898692810457518</v>
      </c>
      <c r="G56" s="44"/>
      <c r="H56" s="68">
        <v>33.189355742296925</v>
      </c>
      <c r="I56" s="44"/>
      <c r="J56" s="68">
        <v>8.0693137254901952</v>
      </c>
      <c r="K56" s="44"/>
      <c r="L56" s="68">
        <v>23.084399165991655</v>
      </c>
      <c r="M56" s="29"/>
      <c r="N56" s="29"/>
      <c r="O56" s="29"/>
    </row>
    <row r="57" spans="1:15" ht="15.75" thickBot="1">
      <c r="B57" s="17">
        <v>27</v>
      </c>
      <c r="C57" s="44"/>
      <c r="D57" s="68">
        <v>26.202549019607844</v>
      </c>
      <c r="E57" s="44"/>
      <c r="F57" s="68">
        <v>59.470588235294109</v>
      </c>
      <c r="G57" s="44"/>
      <c r="H57" s="68">
        <v>46.374305106658042</v>
      </c>
      <c r="I57" s="44"/>
      <c r="J57" s="68">
        <v>11.863202614379084</v>
      </c>
      <c r="K57" s="44"/>
      <c r="L57" s="68">
        <v>39.493520657920996</v>
      </c>
      <c r="M57" s="29"/>
      <c r="N57" s="29"/>
      <c r="O57" s="29"/>
    </row>
    <row r="58" spans="1:15" ht="15.75" thickBot="1">
      <c r="B58" s="17">
        <v>28</v>
      </c>
      <c r="C58" s="44"/>
      <c r="D58" s="68">
        <v>41.141055088702153</v>
      </c>
      <c r="E58" s="44"/>
      <c r="F58" s="68">
        <v>85.38872549019608</v>
      </c>
      <c r="G58" s="44"/>
      <c r="H58" s="68">
        <v>87.641176470588235</v>
      </c>
      <c r="I58" s="44"/>
      <c r="J58" s="68">
        <v>17.704248366013072</v>
      </c>
      <c r="K58" s="44"/>
      <c r="L58" s="68">
        <v>62.950072341602983</v>
      </c>
      <c r="M58" s="29"/>
      <c r="N58" s="29"/>
      <c r="O58" s="29"/>
    </row>
    <row r="59" spans="1:15" ht="15.75" thickBot="1">
      <c r="B59" s="17">
        <v>29</v>
      </c>
      <c r="C59" s="44"/>
      <c r="D59" s="68">
        <v>47.893076563958914</v>
      </c>
      <c r="E59" s="44"/>
      <c r="F59" s="68">
        <v>86.691503267973857</v>
      </c>
      <c r="G59" s="44"/>
      <c r="H59" s="68">
        <v>74.038459383753505</v>
      </c>
      <c r="I59" s="44"/>
      <c r="J59" s="68">
        <v>22.517091503267974</v>
      </c>
      <c r="K59" s="44"/>
      <c r="L59" s="68">
        <v>61.737487296707698</v>
      </c>
      <c r="M59" s="29"/>
      <c r="N59" s="29"/>
      <c r="O59" s="29"/>
    </row>
    <row r="60" spans="1:15" ht="15.75" thickBot="1">
      <c r="B60" s="17">
        <v>30</v>
      </c>
      <c r="C60" s="44"/>
      <c r="D60" s="68">
        <v>47.915294117647058</v>
      </c>
      <c r="E60" s="44"/>
      <c r="F60" s="68">
        <v>107.84444444444443</v>
      </c>
      <c r="G60" s="44"/>
      <c r="H60" s="68">
        <v>80.937899159663857</v>
      </c>
      <c r="I60" s="44"/>
      <c r="J60" s="68">
        <v>22.163267973856208</v>
      </c>
      <c r="K60" s="44"/>
      <c r="L60" s="68">
        <v>68.372680281414887</v>
      </c>
      <c r="M60" s="29"/>
      <c r="N60" s="29"/>
      <c r="O60" s="29"/>
    </row>
    <row r="61" spans="1:15" ht="15.75" thickBot="1">
      <c r="B61" s="17">
        <v>31</v>
      </c>
      <c r="C61" s="44"/>
      <c r="D61" s="68">
        <v>55.0783660130719</v>
      </c>
      <c r="E61" s="44"/>
      <c r="F61" s="68">
        <v>96.934759358288773</v>
      </c>
      <c r="G61" s="44"/>
      <c r="H61" s="68">
        <v>63.684386985563442</v>
      </c>
      <c r="I61" s="44"/>
      <c r="J61" s="68">
        <v>19.925778769841273</v>
      </c>
      <c r="K61" s="44"/>
      <c r="L61" s="68">
        <v>63.023689299276825</v>
      </c>
      <c r="M61" s="29"/>
      <c r="N61" s="29"/>
      <c r="O61" s="29"/>
    </row>
    <row r="62" spans="1:15" ht="15.75" thickBot="1">
      <c r="B62" s="17">
        <v>32</v>
      </c>
      <c r="C62" s="44"/>
      <c r="D62" s="68">
        <v>39.845032679738559</v>
      </c>
      <c r="E62" s="44"/>
      <c r="F62" s="68">
        <v>78.439869281045759</v>
      </c>
      <c r="G62" s="44"/>
      <c r="H62" s="68">
        <v>52.729896574014219</v>
      </c>
      <c r="I62" s="44"/>
      <c r="J62" s="68">
        <v>20.687586367880485</v>
      </c>
      <c r="K62" s="44"/>
      <c r="L62" s="68">
        <v>49.707296800326894</v>
      </c>
      <c r="M62" s="29"/>
      <c r="N62" s="29"/>
      <c r="O62" s="29"/>
    </row>
    <row r="63" spans="1:15" ht="15.75" thickBot="1">
      <c r="A63" s="30"/>
      <c r="B63" s="17">
        <v>33</v>
      </c>
      <c r="C63" s="44"/>
      <c r="D63" s="68">
        <v>28.798541666666672</v>
      </c>
      <c r="E63" s="44"/>
      <c r="F63" s="68">
        <v>68.093523469994054</v>
      </c>
      <c r="G63" s="44"/>
      <c r="H63" s="68">
        <v>42.425770308123255</v>
      </c>
      <c r="I63" s="44"/>
      <c r="J63" s="68">
        <v>14.214756944444446</v>
      </c>
      <c r="K63" s="44"/>
      <c r="L63" s="68">
        <v>40.704631878637088</v>
      </c>
      <c r="M63" s="29"/>
      <c r="N63" s="29"/>
      <c r="O63" s="29"/>
    </row>
    <row r="64" spans="1:15" ht="15.75" thickBot="1">
      <c r="B64" s="17">
        <v>34</v>
      </c>
      <c r="C64" s="44"/>
      <c r="D64" s="68">
        <v>21.577450396825398</v>
      </c>
      <c r="E64" s="44"/>
      <c r="F64" s="68">
        <v>53.672147950089126</v>
      </c>
      <c r="G64" s="44"/>
      <c r="H64" s="68">
        <v>27.73750700280112</v>
      </c>
      <c r="I64" s="44"/>
      <c r="J64" s="68">
        <v>10.354305555555555</v>
      </c>
      <c r="K64" s="44"/>
      <c r="L64" s="68">
        <v>29.675329396508474</v>
      </c>
      <c r="M64" s="29"/>
      <c r="N64" s="29"/>
      <c r="O64" s="29"/>
    </row>
    <row r="65" spans="1:25" ht="15.75" thickBot="1">
      <c r="B65" s="17">
        <v>35</v>
      </c>
      <c r="C65" s="44"/>
      <c r="D65" s="68">
        <v>10.832589285714285</v>
      </c>
      <c r="E65" s="44"/>
      <c r="F65" s="68">
        <v>27.343604108309993</v>
      </c>
      <c r="G65" s="44"/>
      <c r="H65" s="68">
        <v>17.936806722689077</v>
      </c>
      <c r="I65" s="44"/>
      <c r="J65" s="68">
        <v>6.3904166666666677</v>
      </c>
      <c r="K65" s="44"/>
      <c r="L65" s="68">
        <v>16.355499603389191</v>
      </c>
      <c r="M65" s="29"/>
      <c r="N65" s="29"/>
      <c r="O65" s="29"/>
    </row>
    <row r="66" spans="1:25" ht="15.75" thickBot="1">
      <c r="B66" s="17">
        <v>36</v>
      </c>
      <c r="C66" s="44"/>
      <c r="D66" s="44">
        <v>11.182341269841269</v>
      </c>
      <c r="E66" s="44"/>
      <c r="F66" s="44">
        <v>36.4375</v>
      </c>
      <c r="G66" s="44"/>
      <c r="H66" s="44">
        <v>13.824166666666667</v>
      </c>
      <c r="I66" s="44"/>
      <c r="J66" s="44">
        <v>4.9405555555555551</v>
      </c>
      <c r="K66" s="44"/>
      <c r="L66" s="44">
        <v>16.633715393133997</v>
      </c>
      <c r="M66" s="29"/>
      <c r="N66" s="20"/>
      <c r="O66" s="29"/>
    </row>
    <row r="67" spans="1:25" ht="15.75" thickBot="1">
      <c r="B67" s="17">
        <v>37</v>
      </c>
      <c r="C67" s="44"/>
      <c r="D67" s="44">
        <v>8.1348888888888897</v>
      </c>
      <c r="E67" s="44"/>
      <c r="F67" s="44">
        <v>34.333333333333329</v>
      </c>
      <c r="G67" s="44"/>
      <c r="H67" s="44">
        <v>11.08</v>
      </c>
      <c r="I67" s="44"/>
      <c r="J67" s="44">
        <v>3.1222222222222227</v>
      </c>
      <c r="K67" s="44"/>
      <c r="L67" s="44">
        <v>14.293387000596303</v>
      </c>
      <c r="M67" s="20"/>
      <c r="N67" s="20"/>
      <c r="O67" s="29"/>
    </row>
    <row r="68" spans="1:25" ht="15.75" thickBot="1"/>
    <row r="69" spans="1:25">
      <c r="A69" t="s">
        <v>369</v>
      </c>
      <c r="B69" s="15"/>
      <c r="C69" s="105" t="s">
        <v>370</v>
      </c>
      <c r="D69" s="116"/>
      <c r="E69" s="106"/>
      <c r="F69" s="105" t="s">
        <v>371</v>
      </c>
      <c r="G69" s="116"/>
      <c r="H69" s="106"/>
      <c r="I69" s="105" t="s">
        <v>372</v>
      </c>
      <c r="J69" s="116"/>
      <c r="K69" s="106"/>
      <c r="L69" s="105" t="s">
        <v>373</v>
      </c>
      <c r="M69" s="116"/>
      <c r="N69" s="106"/>
      <c r="Q69" s="47"/>
      <c r="R69" s="52"/>
    </row>
    <row r="70" spans="1:25">
      <c r="B70" s="16"/>
      <c r="C70" s="117"/>
      <c r="D70" s="118"/>
      <c r="E70" s="119"/>
      <c r="F70" s="117"/>
      <c r="G70" s="118"/>
      <c r="H70" s="119"/>
      <c r="I70" s="117" t="s">
        <v>374</v>
      </c>
      <c r="J70" s="118"/>
      <c r="K70" s="119"/>
      <c r="L70" s="117"/>
      <c r="M70" s="118"/>
      <c r="N70" s="119"/>
      <c r="P70" s="47"/>
      <c r="Q70" s="52"/>
      <c r="R70" s="52"/>
      <c r="S70" s="52"/>
      <c r="T70" s="47"/>
      <c r="U70" s="47"/>
      <c r="V70" s="47"/>
      <c r="W70" s="47"/>
      <c r="X70" s="47"/>
      <c r="Y70" s="47"/>
    </row>
    <row r="71" spans="1:25" ht="15.75" thickBot="1">
      <c r="B71" s="16"/>
      <c r="C71" s="107"/>
      <c r="D71" s="120"/>
      <c r="E71" s="108"/>
      <c r="F71" s="107"/>
      <c r="G71" s="120"/>
      <c r="H71" s="108"/>
      <c r="I71" s="96"/>
      <c r="J71" s="104"/>
      <c r="K71" s="97"/>
      <c r="L71" s="107"/>
      <c r="M71" s="120"/>
      <c r="N71" s="108"/>
      <c r="P71" s="47"/>
      <c r="Q71" s="52"/>
      <c r="R71" s="30"/>
      <c r="S71" s="30"/>
      <c r="T71" s="70"/>
      <c r="U71" s="71"/>
      <c r="V71" s="71"/>
    </row>
    <row r="72" spans="1:25" ht="24.75" thickBot="1">
      <c r="B72" s="17" t="s">
        <v>344</v>
      </c>
      <c r="C72" s="22" t="s">
        <v>335</v>
      </c>
      <c r="D72" s="22" t="s">
        <v>336</v>
      </c>
      <c r="E72" s="20" t="s">
        <v>375</v>
      </c>
      <c r="F72" s="22" t="s">
        <v>335</v>
      </c>
      <c r="G72" s="22" t="s">
        <v>336</v>
      </c>
      <c r="H72" s="20" t="s">
        <v>375</v>
      </c>
      <c r="I72" s="22" t="s">
        <v>335</v>
      </c>
      <c r="J72" s="22" t="s">
        <v>336</v>
      </c>
      <c r="K72" s="20" t="s">
        <v>375</v>
      </c>
      <c r="L72" s="22" t="s">
        <v>335</v>
      </c>
      <c r="M72" s="22" t="s">
        <v>336</v>
      </c>
      <c r="N72" s="20" t="s">
        <v>375</v>
      </c>
      <c r="Q72" s="30"/>
      <c r="R72" s="30"/>
      <c r="S72" s="30"/>
      <c r="T72" s="70"/>
      <c r="U72" s="71"/>
      <c r="V72" s="71"/>
    </row>
    <row r="73" spans="1:25" ht="24.75" thickBot="1">
      <c r="B73" s="17" t="s">
        <v>350</v>
      </c>
      <c r="C73" s="45">
        <f>'Total Number Ind Examined '!I8</f>
        <v>18</v>
      </c>
      <c r="D73" s="45">
        <f>'Total Number Ind Examined '!J8</f>
        <v>39</v>
      </c>
      <c r="E73" s="45">
        <f>C73+D73</f>
        <v>57</v>
      </c>
      <c r="F73" s="46">
        <f>'Total Number of Pools Examined'!H8</f>
        <v>9</v>
      </c>
      <c r="G73" s="46">
        <f>'Total Number of Pools Examined'!I8</f>
        <v>8</v>
      </c>
      <c r="H73" s="46">
        <f>F73+G73</f>
        <v>17</v>
      </c>
      <c r="I73" s="46">
        <f>'Total Number of WNV + Pools'!G7</f>
        <v>0</v>
      </c>
      <c r="J73" s="46">
        <f>'Total Number of WNV + Pools'!H7</f>
        <v>0</v>
      </c>
      <c r="K73" s="46">
        <f>'Total Number of WNV + Pools'!I7</f>
        <v>0</v>
      </c>
      <c r="L73" s="29">
        <f>ZONEINFRATE!C2</f>
        <v>0</v>
      </c>
      <c r="M73" s="29">
        <f>ZONEINFRATE!C3</f>
        <v>0</v>
      </c>
      <c r="N73" s="29">
        <v>0</v>
      </c>
      <c r="Q73" s="47"/>
      <c r="R73" s="52"/>
      <c r="S73" s="30"/>
      <c r="T73" s="70"/>
      <c r="U73" s="71"/>
      <c r="V73" s="71"/>
    </row>
    <row r="74" spans="1:25" ht="24.75" thickBot="1">
      <c r="B74" s="17" t="s">
        <v>351</v>
      </c>
      <c r="C74" s="45">
        <f>'Total Number Ind Examined '!I7</f>
        <v>9</v>
      </c>
      <c r="D74" s="45">
        <f>'Total Number Ind Examined '!J7</f>
        <v>9</v>
      </c>
      <c r="E74" s="45">
        <f>C74+D74</f>
        <v>18</v>
      </c>
      <c r="F74" s="46">
        <f>'Total Number of Pools Examined'!H7</f>
        <v>5</v>
      </c>
      <c r="G74" s="46">
        <f>'Total Number of Pools Examined'!I7</f>
        <v>5</v>
      </c>
      <c r="H74" s="46">
        <f>F74+G74</f>
        <v>10</v>
      </c>
      <c r="I74" s="46">
        <f>'Total Number of WNV + Pools'!G8</f>
        <v>0</v>
      </c>
      <c r="J74" s="46">
        <f>'Total Number of WNV + Pools'!H8</f>
        <v>0</v>
      </c>
      <c r="K74" s="46">
        <f>'Total Number of WNV + Pools'!I8</f>
        <v>0</v>
      </c>
      <c r="L74" s="29">
        <f>ZONEINFRATE!C4</f>
        <v>0</v>
      </c>
      <c r="M74" s="29">
        <f>ZONEINFRATE!C5</f>
        <v>0</v>
      </c>
      <c r="N74" s="29">
        <v>0</v>
      </c>
      <c r="R74" s="30"/>
      <c r="S74" s="30"/>
      <c r="T74" s="70"/>
      <c r="U74" s="71"/>
      <c r="V74" s="71"/>
    </row>
    <row r="75" spans="1:25" ht="24.75" thickBot="1">
      <c r="B75" s="17" t="s">
        <v>352</v>
      </c>
      <c r="C75" s="45">
        <f>'Total Number Ind Examined '!I9</f>
        <v>23</v>
      </c>
      <c r="D75" s="45">
        <f>'Total Number Ind Examined '!J9</f>
        <v>74</v>
      </c>
      <c r="E75" s="45">
        <f>C75+D75</f>
        <v>97</v>
      </c>
      <c r="F75" s="46">
        <f>'Total Number of Pools Examined'!H9</f>
        <v>8</v>
      </c>
      <c r="G75" s="46">
        <f>'Total Number of Pools Examined'!I9</f>
        <v>16</v>
      </c>
      <c r="H75" s="46">
        <f>F75+G75</f>
        <v>24</v>
      </c>
      <c r="I75" s="46">
        <f>'Total Number of WNV + Pools'!G9</f>
        <v>0</v>
      </c>
      <c r="J75" s="46">
        <f>'Total Number of WNV + Pools'!H9</f>
        <v>0</v>
      </c>
      <c r="K75" s="46">
        <f>'Total Number of WNV + Pools'!I9</f>
        <v>0</v>
      </c>
      <c r="L75" s="29">
        <f>ZONEINFRATE!C6</f>
        <v>0</v>
      </c>
      <c r="M75" s="29">
        <f>ZONEINFRATE!C7</f>
        <v>0</v>
      </c>
      <c r="N75" s="29">
        <v>0</v>
      </c>
      <c r="R75" s="30"/>
      <c r="S75" s="30"/>
      <c r="T75" s="70"/>
      <c r="U75" s="71"/>
      <c r="V75" s="71"/>
    </row>
    <row r="76" spans="1:25" ht="24.75" thickBot="1">
      <c r="B76" s="17" t="s">
        <v>353</v>
      </c>
      <c r="C76" s="45">
        <f>'Total Number Ind Examined '!I10</f>
        <v>17</v>
      </c>
      <c r="D76" s="45">
        <f>'Total Number Ind Examined '!J10</f>
        <v>49</v>
      </c>
      <c r="E76" s="45">
        <f>C76+D76</f>
        <v>66</v>
      </c>
      <c r="F76" s="46">
        <f>'Total Number of Pools Examined'!H10</f>
        <v>6</v>
      </c>
      <c r="G76" s="46">
        <f>'Total Number of Pools Examined'!I10</f>
        <v>7</v>
      </c>
      <c r="H76" s="46">
        <f>F76+G76</f>
        <v>13</v>
      </c>
      <c r="I76" s="46">
        <f>'Total Number of WNV + Pools'!G10</f>
        <v>0</v>
      </c>
      <c r="J76" s="46">
        <f>'Total Number of WNV + Pools'!H10</f>
        <v>0</v>
      </c>
      <c r="K76" s="46">
        <f>'Total Number of WNV + Pools'!I10</f>
        <v>0</v>
      </c>
      <c r="L76" s="29">
        <f>ZONEINFRATE!C8</f>
        <v>0</v>
      </c>
      <c r="M76" s="29">
        <f>ZONEINFRATE!C9</f>
        <v>0</v>
      </c>
      <c r="N76" s="29">
        <v>0</v>
      </c>
      <c r="R76" s="30"/>
      <c r="S76" s="30"/>
      <c r="T76" s="70"/>
      <c r="U76" s="71"/>
      <c r="V76" s="71"/>
    </row>
    <row r="77" spans="1:25" ht="24.75" thickBot="1">
      <c r="B77" s="17" t="s">
        <v>354</v>
      </c>
      <c r="C77" s="45">
        <f>SUM(C73:C76)</f>
        <v>67</v>
      </c>
      <c r="D77" s="45">
        <f>SUM(D73:D76)</f>
        <v>171</v>
      </c>
      <c r="E77" s="45">
        <f>C77+D77</f>
        <v>238</v>
      </c>
      <c r="F77" s="46">
        <f t="shared" ref="F77:K77" si="7">SUM(F73:F76)</f>
        <v>28</v>
      </c>
      <c r="G77" s="46">
        <f t="shared" si="7"/>
        <v>36</v>
      </c>
      <c r="H77" s="46">
        <f>F77+G77</f>
        <v>64</v>
      </c>
      <c r="I77" s="46">
        <f t="shared" si="7"/>
        <v>0</v>
      </c>
      <c r="J77" s="46">
        <f t="shared" si="7"/>
        <v>0</v>
      </c>
      <c r="K77" s="46">
        <f t="shared" si="7"/>
        <v>0</v>
      </c>
      <c r="L77" s="29">
        <f>CITYINFRATE!C2</f>
        <v>0</v>
      </c>
      <c r="M77" s="29">
        <f>CITYINFRATE!C3</f>
        <v>0</v>
      </c>
      <c r="N77" s="29">
        <v>0</v>
      </c>
      <c r="R77" s="30"/>
      <c r="S77" s="30"/>
      <c r="T77" s="70"/>
      <c r="U77" s="71"/>
      <c r="V77" s="71"/>
    </row>
    <row r="78" spans="1:25" ht="15.75" thickBot="1">
      <c r="B78" s="17"/>
      <c r="C78" s="46"/>
      <c r="D78" s="46"/>
      <c r="E78" s="46"/>
      <c r="F78" s="46"/>
      <c r="G78" s="46"/>
      <c r="H78" s="46"/>
      <c r="I78" s="46"/>
      <c r="J78" s="46"/>
      <c r="K78" s="46"/>
      <c r="L78" s="29"/>
      <c r="M78" s="29"/>
      <c r="N78" s="29"/>
      <c r="P78" s="30"/>
      <c r="R78" s="30"/>
      <c r="S78" s="30"/>
    </row>
    <row r="79" spans="1:25" ht="15.75" thickBot="1">
      <c r="B79" s="17" t="s">
        <v>33</v>
      </c>
      <c r="C79" s="46">
        <f>'Total Number Ind Examined '!I6</f>
        <v>5</v>
      </c>
      <c r="D79" s="46">
        <f>'Total Number Ind Examined '!J6</f>
        <v>152</v>
      </c>
      <c r="E79" s="46">
        <f>C79+D79</f>
        <v>157</v>
      </c>
      <c r="F79" s="46">
        <f>'Total Number of Pools Examined'!H6</f>
        <v>2</v>
      </c>
      <c r="G79" s="46">
        <f>'Total Number of Pools Examined'!I6</f>
        <v>7</v>
      </c>
      <c r="H79" s="46">
        <f>F79+G79</f>
        <v>9</v>
      </c>
      <c r="I79" s="46">
        <f>'Total Number of WNV + Pools'!G11</f>
        <v>0</v>
      </c>
      <c r="J79" s="46">
        <f>'Total Number of WNV + Pools'!H11</f>
        <v>0</v>
      </c>
      <c r="K79" s="46">
        <f>I79+J79</f>
        <v>0</v>
      </c>
      <c r="L79" s="29">
        <v>0</v>
      </c>
      <c r="M79" s="29">
        <v>0</v>
      </c>
      <c r="N79" s="29">
        <v>0</v>
      </c>
      <c r="R79" s="30"/>
      <c r="S79" s="30"/>
      <c r="T79" s="30"/>
    </row>
    <row r="80" spans="1:25" ht="15.75" thickBot="1">
      <c r="B80" s="17" t="s">
        <v>127</v>
      </c>
      <c r="C80" s="46">
        <f>'Total Number Ind Examined '!I11</f>
        <v>0</v>
      </c>
      <c r="D80" s="46">
        <f>'Total Number Ind Examined '!J11</f>
        <v>64</v>
      </c>
      <c r="E80" s="46">
        <f>C80+D80</f>
        <v>64</v>
      </c>
      <c r="F80" s="46">
        <f>'Total Number of Pools Examined'!H11</f>
        <v>0</v>
      </c>
      <c r="G80" s="46">
        <f>'Total Number of Pools Examined'!I11</f>
        <v>5</v>
      </c>
      <c r="H80" s="46">
        <f>F80+G80</f>
        <v>5</v>
      </c>
      <c r="I80" s="46">
        <f>'Total Number of WNV + Pools'!G12</f>
        <v>0</v>
      </c>
      <c r="J80" s="46">
        <f>'Total Number of WNV + Pools'!H12</f>
        <v>0</v>
      </c>
      <c r="K80" s="46">
        <f>I80+J80</f>
        <v>0</v>
      </c>
      <c r="L80" s="29" t="s">
        <v>337</v>
      </c>
      <c r="M80" s="29">
        <v>0</v>
      </c>
      <c r="N80" s="29">
        <v>0</v>
      </c>
      <c r="Q80" s="47"/>
      <c r="R80" s="52"/>
      <c r="S80" s="30"/>
      <c r="T80" s="30"/>
    </row>
    <row r="81" spans="1:20" ht="15.75" thickBot="1">
      <c r="B81" s="17" t="s">
        <v>323</v>
      </c>
      <c r="C81" s="46" t="s">
        <v>337</v>
      </c>
      <c r="D81" s="46" t="s">
        <v>337</v>
      </c>
      <c r="E81" s="46" t="s">
        <v>337</v>
      </c>
      <c r="F81" s="46" t="s">
        <v>337</v>
      </c>
      <c r="G81" s="46" t="s">
        <v>337</v>
      </c>
      <c r="H81" s="46" t="s">
        <v>337</v>
      </c>
      <c r="I81" s="29" t="s">
        <v>337</v>
      </c>
      <c r="J81" s="29" t="s">
        <v>337</v>
      </c>
      <c r="K81" s="29" t="s">
        <v>337</v>
      </c>
      <c r="L81" s="29" t="str">
        <f>CITYINFRATE!C8</f>
        <v>N/A</v>
      </c>
      <c r="M81" s="29" t="str">
        <f>CITYINFRATE!C9</f>
        <v>N/A</v>
      </c>
      <c r="N81" s="29" t="s">
        <v>337</v>
      </c>
      <c r="R81" s="30"/>
      <c r="S81" s="30"/>
      <c r="T81" s="30"/>
    </row>
    <row r="82" spans="1:20" ht="15.75" thickBot="1">
      <c r="R82" s="30"/>
      <c r="S82" s="52"/>
      <c r="T82" s="30"/>
    </row>
    <row r="83" spans="1:20" ht="15" customHeight="1">
      <c r="A83" t="s">
        <v>376</v>
      </c>
      <c r="B83" s="15"/>
      <c r="C83" s="105" t="s">
        <v>350</v>
      </c>
      <c r="D83" s="106"/>
      <c r="E83" s="105" t="s">
        <v>351</v>
      </c>
      <c r="F83" s="106"/>
      <c r="G83" s="105" t="s">
        <v>352</v>
      </c>
      <c r="H83" s="106"/>
      <c r="I83" s="105" t="s">
        <v>353</v>
      </c>
      <c r="J83" s="106"/>
      <c r="K83" s="105" t="s">
        <v>354</v>
      </c>
      <c r="L83" s="106"/>
      <c r="M83" s="18"/>
      <c r="N83" s="18"/>
      <c r="O83" s="18"/>
      <c r="S83" s="30"/>
    </row>
    <row r="84" spans="1:20" ht="15.75" thickBot="1">
      <c r="B84" s="16"/>
      <c r="C84" s="107"/>
      <c r="D84" s="108"/>
      <c r="E84" s="107"/>
      <c r="F84" s="108"/>
      <c r="G84" s="107"/>
      <c r="H84" s="108"/>
      <c r="I84" s="107"/>
      <c r="J84" s="108"/>
      <c r="K84" s="107"/>
      <c r="L84" s="108"/>
      <c r="M84" s="19"/>
      <c r="N84" s="19"/>
      <c r="O84" s="19"/>
      <c r="S84" s="30"/>
    </row>
    <row r="85" spans="1:20" ht="26.25" thickBot="1">
      <c r="B85" s="17" t="s">
        <v>13</v>
      </c>
      <c r="C85" s="20" t="s">
        <v>357</v>
      </c>
      <c r="D85" s="20" t="s">
        <v>358</v>
      </c>
      <c r="E85" s="20" t="s">
        <v>357</v>
      </c>
      <c r="F85" s="20" t="s">
        <v>358</v>
      </c>
      <c r="G85" s="20" t="s">
        <v>357</v>
      </c>
      <c r="H85" s="20" t="s">
        <v>358</v>
      </c>
      <c r="I85" s="20" t="s">
        <v>357</v>
      </c>
      <c r="J85" s="20" t="s">
        <v>358</v>
      </c>
      <c r="K85" s="20" t="s">
        <v>357</v>
      </c>
      <c r="L85" s="20" t="s">
        <v>358</v>
      </c>
      <c r="M85" s="20" t="s">
        <v>33</v>
      </c>
      <c r="N85" s="20" t="s">
        <v>127</v>
      </c>
      <c r="O85" s="20" t="s">
        <v>323</v>
      </c>
      <c r="S85" s="30"/>
    </row>
    <row r="86" spans="1:20" ht="15.75" thickBot="1">
      <c r="B86" s="17">
        <v>23</v>
      </c>
      <c r="C86" s="44">
        <v>0</v>
      </c>
      <c r="D86" s="44">
        <v>0</v>
      </c>
      <c r="E86" s="44">
        <v>0</v>
      </c>
      <c r="F86" s="44">
        <v>0</v>
      </c>
      <c r="G86" s="44">
        <v>0</v>
      </c>
      <c r="H86" s="44">
        <v>1.5957902434690654</v>
      </c>
      <c r="I86" s="44">
        <v>0</v>
      </c>
      <c r="J86" s="44">
        <v>0</v>
      </c>
      <c r="K86" s="44">
        <v>0</v>
      </c>
      <c r="L86" s="44">
        <v>0.51978053605517371</v>
      </c>
      <c r="M86" s="29">
        <v>0</v>
      </c>
      <c r="N86" s="29">
        <v>0</v>
      </c>
      <c r="O86" s="29" t="s">
        <v>337</v>
      </c>
      <c r="S86" s="30"/>
    </row>
    <row r="87" spans="1:20" ht="15.75" thickBot="1">
      <c r="B87" s="17">
        <v>24</v>
      </c>
      <c r="C87" s="44"/>
      <c r="D87" s="42">
        <v>0</v>
      </c>
      <c r="E87" s="44"/>
      <c r="F87" s="42">
        <v>0</v>
      </c>
      <c r="G87" s="44"/>
      <c r="H87" s="42">
        <v>0.85745500904972305</v>
      </c>
      <c r="I87" s="44"/>
      <c r="J87" s="42">
        <v>0</v>
      </c>
      <c r="K87" s="44"/>
      <c r="L87" s="42">
        <v>0.32773515114852142</v>
      </c>
      <c r="M87" s="29"/>
      <c r="N87" s="29"/>
      <c r="O87" s="29"/>
    </row>
    <row r="88" spans="1:20" ht="15.75" thickBot="1">
      <c r="B88" s="17">
        <v>25</v>
      </c>
      <c r="C88" s="44"/>
      <c r="D88" s="42">
        <v>0</v>
      </c>
      <c r="E88" s="44"/>
      <c r="F88" s="42">
        <v>0.36605640702446324</v>
      </c>
      <c r="G88" s="44"/>
      <c r="H88" s="42">
        <v>0</v>
      </c>
      <c r="I88" s="44"/>
      <c r="J88" s="42">
        <v>0</v>
      </c>
      <c r="K88" s="44"/>
      <c r="L88" s="42">
        <v>4.8220337720628483E-2</v>
      </c>
      <c r="M88" s="29"/>
      <c r="N88" s="29"/>
      <c r="O88" s="29"/>
    </row>
    <row r="89" spans="1:20" ht="15.75" thickBot="1">
      <c r="B89" s="17">
        <v>26</v>
      </c>
      <c r="C89" s="44"/>
      <c r="D89" s="42">
        <v>0</v>
      </c>
      <c r="E89" s="44"/>
      <c r="F89" s="42">
        <v>6.352941176470589E-2</v>
      </c>
      <c r="G89" s="44"/>
      <c r="H89" s="42">
        <v>0.27749164104927154</v>
      </c>
      <c r="I89" s="44"/>
      <c r="J89" s="42">
        <v>0.28360394237760067</v>
      </c>
      <c r="K89" s="44"/>
      <c r="L89" s="42">
        <v>0.17237391164376478</v>
      </c>
      <c r="M89" s="29"/>
      <c r="N89" s="29"/>
      <c r="O89" s="29"/>
    </row>
    <row r="90" spans="1:20" ht="15.75" thickBot="1">
      <c r="B90" s="17">
        <v>27</v>
      </c>
      <c r="C90" s="44"/>
      <c r="D90" s="42">
        <v>0</v>
      </c>
      <c r="E90" s="44"/>
      <c r="F90" s="42">
        <v>0.14278311692191059</v>
      </c>
      <c r="G90" s="44"/>
      <c r="H90" s="42">
        <v>0.28298285958199054</v>
      </c>
      <c r="I90" s="44"/>
      <c r="J90" s="42">
        <v>0</v>
      </c>
      <c r="K90" s="44"/>
      <c r="L90" s="42">
        <v>0.20336792194129294</v>
      </c>
      <c r="M90" s="29"/>
      <c r="N90" s="29"/>
      <c r="O90" s="29"/>
    </row>
    <row r="91" spans="1:20" ht="15.75" thickBot="1">
      <c r="B91" s="17">
        <v>28</v>
      </c>
      <c r="C91" s="44"/>
      <c r="D91" s="42">
        <v>0</v>
      </c>
      <c r="E91" s="44"/>
      <c r="F91" s="42">
        <v>0.41886806644640395</v>
      </c>
      <c r="G91" s="44"/>
      <c r="H91" s="42">
        <v>0.758822702939557</v>
      </c>
      <c r="I91" s="44"/>
      <c r="J91" s="42">
        <v>0.58876392471659955</v>
      </c>
      <c r="K91" s="44"/>
      <c r="L91" s="42">
        <v>0.50519643051425234</v>
      </c>
      <c r="M91" s="29"/>
      <c r="N91" s="29"/>
      <c r="O91" s="29"/>
    </row>
    <row r="92" spans="1:20" ht="15.75" thickBot="1">
      <c r="B92" s="17">
        <v>29</v>
      </c>
      <c r="C92" s="44"/>
      <c r="D92" s="42">
        <v>1.3732826375342058</v>
      </c>
      <c r="E92" s="44"/>
      <c r="F92" s="42">
        <v>0.85695902545791058</v>
      </c>
      <c r="G92" s="44"/>
      <c r="H92" s="42">
        <v>2.1010753836463549</v>
      </c>
      <c r="I92" s="44"/>
      <c r="J92" s="42">
        <v>0.83778009081791438</v>
      </c>
      <c r="K92" s="44"/>
      <c r="L92" s="42">
        <v>1.3804236262299407</v>
      </c>
      <c r="M92" s="29"/>
      <c r="N92" s="29"/>
      <c r="O92" s="29"/>
    </row>
    <row r="93" spans="1:20" ht="15.75" thickBot="1">
      <c r="B93" s="17">
        <v>30</v>
      </c>
      <c r="C93" s="44"/>
      <c r="D93" s="42">
        <v>1.9745747343112214</v>
      </c>
      <c r="E93" s="44"/>
      <c r="F93" s="42">
        <v>1.6150257157968575</v>
      </c>
      <c r="G93" s="44"/>
      <c r="H93" s="42">
        <v>3.4662808153471794</v>
      </c>
      <c r="I93" s="44"/>
      <c r="J93" s="42">
        <v>2.0638222771464401</v>
      </c>
      <c r="K93" s="44"/>
      <c r="L93" s="42">
        <v>2.4046206774437886</v>
      </c>
      <c r="M93" s="29"/>
      <c r="N93" s="29"/>
      <c r="O93" s="29"/>
    </row>
    <row r="94" spans="1:20" ht="15.75" thickBot="1">
      <c r="B94" s="17">
        <v>31</v>
      </c>
      <c r="C94" s="44"/>
      <c r="D94" s="42">
        <v>2.9406405300610863</v>
      </c>
      <c r="E94" s="44"/>
      <c r="F94" s="42">
        <v>1.822063718205875</v>
      </c>
      <c r="G94" s="44"/>
      <c r="H94" s="42">
        <v>4.7719803887323691</v>
      </c>
      <c r="I94" s="44"/>
      <c r="J94" s="42">
        <v>3.3815060766691087</v>
      </c>
      <c r="K94" s="44"/>
      <c r="L94" s="42">
        <v>3.2751365177055627</v>
      </c>
      <c r="M94" s="29"/>
      <c r="N94" s="29"/>
      <c r="O94" s="29"/>
    </row>
    <row r="95" spans="1:20" ht="15.75" thickBot="1">
      <c r="B95" s="17">
        <v>32</v>
      </c>
      <c r="C95" s="44"/>
      <c r="D95" s="42">
        <v>4.305863475680777</v>
      </c>
      <c r="E95" s="44"/>
      <c r="F95" s="42">
        <v>4.5374478004994607</v>
      </c>
      <c r="G95" s="44"/>
      <c r="H95" s="42">
        <v>6.8581492307747354</v>
      </c>
      <c r="I95" s="44"/>
      <c r="J95" s="42">
        <v>9.2152118251185922</v>
      </c>
      <c r="K95" s="44"/>
      <c r="L95" s="42">
        <v>5.2342026460405799</v>
      </c>
      <c r="M95" s="29"/>
      <c r="N95" s="29"/>
      <c r="O95" s="29"/>
    </row>
    <row r="96" spans="1:20" ht="15.75" thickBot="1">
      <c r="B96" s="17">
        <v>33</v>
      </c>
      <c r="C96" s="44"/>
      <c r="D96" s="42">
        <v>6.4033103726557705</v>
      </c>
      <c r="E96" s="44"/>
      <c r="F96" s="42">
        <v>6.5090495561608703</v>
      </c>
      <c r="G96" s="44"/>
      <c r="H96" s="42">
        <v>9.369823327443374</v>
      </c>
      <c r="I96" s="44"/>
      <c r="J96" s="42">
        <v>6.6714912749310633</v>
      </c>
      <c r="K96" s="44"/>
      <c r="L96" s="42">
        <v>7.5049653193465451</v>
      </c>
      <c r="M96" s="29"/>
      <c r="N96" s="29"/>
      <c r="O96" s="29"/>
    </row>
    <row r="97" spans="2:16" ht="15.75" thickBot="1">
      <c r="B97" s="17">
        <v>34</v>
      </c>
      <c r="C97" s="44"/>
      <c r="D97" s="42">
        <v>7.8854783949382794</v>
      </c>
      <c r="E97" s="44"/>
      <c r="F97" s="42">
        <v>4.0479116778716273</v>
      </c>
      <c r="G97" s="44"/>
      <c r="H97" s="42">
        <v>10.376473339005011</v>
      </c>
      <c r="I97" s="44"/>
      <c r="J97" s="42">
        <v>9.8839425326464614</v>
      </c>
      <c r="K97" s="44"/>
      <c r="L97" s="42">
        <v>7.3883439619212679</v>
      </c>
      <c r="M97" s="29"/>
      <c r="N97" s="29"/>
      <c r="O97" s="29"/>
      <c r="P97" s="30"/>
    </row>
    <row r="98" spans="2:16" ht="15.75" thickBot="1">
      <c r="B98" s="17">
        <v>35</v>
      </c>
      <c r="C98" s="44"/>
      <c r="D98" s="42">
        <v>9.3874224749527464</v>
      </c>
      <c r="E98" s="44"/>
      <c r="F98" s="42">
        <v>5.8082953630952145</v>
      </c>
      <c r="G98" s="44"/>
      <c r="H98" s="42">
        <v>14.700408282990322</v>
      </c>
      <c r="I98" s="44"/>
      <c r="J98" s="42">
        <v>35.980255315934627</v>
      </c>
      <c r="K98" s="44"/>
      <c r="L98" s="42">
        <v>10.131448498495482</v>
      </c>
      <c r="M98" s="29"/>
      <c r="N98" s="29"/>
      <c r="O98" s="29"/>
    </row>
    <row r="99" spans="2:16" ht="15.75" thickBot="1">
      <c r="B99" s="17">
        <v>36</v>
      </c>
      <c r="C99" s="44"/>
      <c r="D99" s="43">
        <v>6.9360992311561231</v>
      </c>
      <c r="E99" s="44"/>
      <c r="F99" s="43">
        <v>1.9789351595307674</v>
      </c>
      <c r="G99" s="44"/>
      <c r="H99" s="43">
        <v>3.5496845436541529</v>
      </c>
      <c r="I99" s="44"/>
      <c r="J99" s="43">
        <v>6.450541709825834</v>
      </c>
      <c r="K99" s="44"/>
      <c r="L99" s="43">
        <v>2.7611492767455195</v>
      </c>
      <c r="M99" s="29"/>
      <c r="N99" s="20"/>
      <c r="O99" s="29"/>
    </row>
    <row r="100" spans="2:16" ht="15.75" thickBot="1">
      <c r="B100" s="17">
        <v>37</v>
      </c>
      <c r="C100" s="44"/>
      <c r="D100" s="44">
        <v>3.5334792310345762</v>
      </c>
      <c r="E100" s="44"/>
      <c r="F100" s="44">
        <v>3.0431402395166351</v>
      </c>
      <c r="G100" s="44"/>
      <c r="H100" s="44">
        <v>3.5602749120622774</v>
      </c>
      <c r="I100" s="44"/>
      <c r="J100" s="44">
        <v>0</v>
      </c>
      <c r="K100" s="44"/>
      <c r="L100" s="44">
        <v>3.9714321965814525</v>
      </c>
      <c r="M100" s="20"/>
      <c r="N100" s="20"/>
      <c r="O100" s="29"/>
    </row>
  </sheetData>
  <mergeCells count="41">
    <mergeCell ref="L69:N71"/>
    <mergeCell ref="C83:D84"/>
    <mergeCell ref="E83:F84"/>
    <mergeCell ref="G83:H84"/>
    <mergeCell ref="I83:J84"/>
    <mergeCell ref="K83:L84"/>
    <mergeCell ref="C69:E71"/>
    <mergeCell ref="F69:H71"/>
    <mergeCell ref="I69:K69"/>
    <mergeCell ref="I70:K70"/>
    <mergeCell ref="I71:K71"/>
    <mergeCell ref="C50:D51"/>
    <mergeCell ref="E50:F51"/>
    <mergeCell ref="G50:H51"/>
    <mergeCell ref="I50:J51"/>
    <mergeCell ref="K50:L51"/>
    <mergeCell ref="C35:E35"/>
    <mergeCell ref="C36:E36"/>
    <mergeCell ref="C37:E37"/>
    <mergeCell ref="G35:I37"/>
    <mergeCell ref="C38:C39"/>
    <mergeCell ref="D38:D39"/>
    <mergeCell ref="E38:E39"/>
    <mergeCell ref="G38:G39"/>
    <mergeCell ref="H38:H39"/>
    <mergeCell ref="C16:D17"/>
    <mergeCell ref="E16:F17"/>
    <mergeCell ref="G16:H17"/>
    <mergeCell ref="I16:J17"/>
    <mergeCell ref="K16:L17"/>
    <mergeCell ref="C4:C5"/>
    <mergeCell ref="D4:D5"/>
    <mergeCell ref="G4:G5"/>
    <mergeCell ref="H4:H5"/>
    <mergeCell ref="C1:D3"/>
    <mergeCell ref="E1:F1"/>
    <mergeCell ref="E2:F2"/>
    <mergeCell ref="E3:F3"/>
    <mergeCell ref="G1:I1"/>
    <mergeCell ref="G2:I2"/>
    <mergeCell ref="G3:I3"/>
  </mergeCells>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8f9834a-47db-4dd9-9f26-213cbb22c8a0">
      <Terms xmlns="http://schemas.microsoft.com/office/infopath/2007/PartnerControls"/>
    </lcf76f155ced4ddcb4097134ff3c332f>
    <TaxCatchAll xmlns="50bf555d-2b28-452c-9b06-416f2f267a7f"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A215D7414098A47AE0058BB79CA1FAC" ma:contentTypeVersion="13" ma:contentTypeDescription="Create a new document." ma:contentTypeScope="" ma:versionID="99600bc529288f7394c1d40d0e8463b8">
  <xsd:schema xmlns:xsd="http://www.w3.org/2001/XMLSchema" xmlns:xs="http://www.w3.org/2001/XMLSchema" xmlns:p="http://schemas.microsoft.com/office/2006/metadata/properties" xmlns:ns2="68f9834a-47db-4dd9-9f26-213cbb22c8a0" xmlns:ns3="50bf555d-2b28-452c-9b06-416f2f267a7f" targetNamespace="http://schemas.microsoft.com/office/2006/metadata/properties" ma:root="true" ma:fieldsID="a7132ee0333719944cfc193eb779b4a0" ns2:_="" ns3:_="">
    <xsd:import namespace="68f9834a-47db-4dd9-9f26-213cbb22c8a0"/>
    <xsd:import namespace="50bf555d-2b28-452c-9b06-416f2f267a7f"/>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ObjectDetectorVersions" minOccurs="0"/>
                <xsd:element ref="ns2:MediaServiceLocation" minOccurs="0"/>
                <xsd:element ref="ns2:MediaServiceGenerationTime" minOccurs="0"/>
                <xsd:element ref="ns2:MediaServiceEventHashCode" minOccurs="0"/>
                <xsd:element ref="ns2:MediaLengthInSeconds" minOccurs="0"/>
                <xsd:element ref="ns2:lcf76f155ced4ddcb4097134ff3c332f" minOccurs="0"/>
                <xsd:element ref="ns3:TaxCatchAll" minOccurs="0"/>
                <xsd:element ref="ns2:MediaServiceOCR"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f9834a-47db-4dd9-9f26-213cbb22c8a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dexed="true" ma:internalName="MediaServiceDateTaken" ma:readOnly="true">
      <xsd:simpleType>
        <xsd:restriction base="dms:Text"/>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Location" ma:index="12" nillable="true" ma:displayName="Location" ma:indexed="true"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5809afe7-41e7-411a-ade2-84efccde1b30" ma:termSetId="09814cd3-568e-fe90-9814-8d621ff8fb84" ma:anchorId="fba54fb3-c3e1-fe81-a776-ca4b69148c4d" ma:open="true" ma:isKeyword="false">
      <xsd:complexType>
        <xsd:sequence>
          <xsd:element ref="pc:Terms" minOccurs="0" maxOccurs="1"/>
        </xsd:sequence>
      </xsd:complexType>
    </xsd:element>
    <xsd:element name="MediaServiceOCR" ma:index="19" nillable="true" ma:displayName="Extracted Text" ma:internalName="MediaServiceOCR" ma:readOnly="true">
      <xsd:simpleType>
        <xsd:restriction base="dms:Note">
          <xsd:maxLength value="255"/>
        </xsd:restriction>
      </xsd:simpleType>
    </xsd:element>
    <xsd:element name="MediaServiceSearchProperties" ma:index="20"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0bf555d-2b28-452c-9b06-416f2f267a7f"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b5d093b3-3192-4ec2-b7b4-11078e9575d6}" ma:internalName="TaxCatchAll" ma:showField="CatchAllData" ma:web="50bf555d-2b28-452c-9b06-416f2f267a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3C9C640F-22AD-44EF-9360-D64417C2259B}"/>
</file>

<file path=customXml/itemProps2.xml><?xml version="1.0" encoding="utf-8"?>
<ds:datastoreItem xmlns:ds="http://schemas.openxmlformats.org/officeDocument/2006/customXml" ds:itemID="{14C21CA6-0C7F-47E4-9003-9A92352DB526}"/>
</file>

<file path=customXml/itemProps3.xml><?xml version="1.0" encoding="utf-8"?>
<ds:datastoreItem xmlns:ds="http://schemas.openxmlformats.org/officeDocument/2006/customXml" ds:itemID="{E3404E64-1DF3-4F03-946F-99410FD9BCED}"/>
</file>

<file path=docProps/app.xml><?xml version="1.0" encoding="utf-8"?>
<Properties xmlns="http://schemas.openxmlformats.org/officeDocument/2006/extended-properties" xmlns:vt="http://schemas.openxmlformats.org/officeDocument/2006/docPropsVTypes">
  <Application>Microsoft Excel Online</Application>
  <Manager/>
  <Company>Hewlett-Packard</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Joseph Fauver</dc:creator>
  <cp:keywords/>
  <dc:description/>
  <cp:lastModifiedBy>Williams,Landon</cp:lastModifiedBy>
  <cp:revision/>
  <dcterms:created xsi:type="dcterms:W3CDTF">2014-05-12T19:16:27Z</dcterms:created>
  <dcterms:modified xsi:type="dcterms:W3CDTF">2023-07-24T16:07:02Z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0x0101003A215D7414098A47AE0058BB79CA1FAC</vt:lpwstr>
  </property>
  <property fmtid="{D5CDD505-2E9C-101B-9397-08002B2CF9AE}" pid="3" name="Order">
    <vt:r8>1322600</vt:r8>
  </property>
  <property fmtid="{D5CDD505-2E9C-101B-9397-08002B2CF9AE}" pid="4" name="MediaServiceImageTags">
    <vt:lpwstr/>
  </property>
</Properties>
</file>