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8"/>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3\WNV-s 2023 (LNW)\Week 26\"/>
    </mc:Choice>
  </mc:AlternateContent>
  <xr:revisionPtr revIDLastSave="0" documentId="13_ncr:1_{46315276-E85F-4C21-9C8D-109B9D571126}" xr6:coauthVersionLast="47" xr6:coauthVersionMax="47" xr10:uidLastSave="{00000000-0000-0000-0000-000000000000}"/>
  <bookViews>
    <workbookView xWindow="1560" yWindow="495" windowWidth="17880" windowHeight="11850" tabRatio="869" firstSheet="13" activeTab="13" xr2:uid="{00000000-000D-0000-FFFF-FFFF00000000}"/>
  </bookViews>
  <sheets>
    <sheet name="READ ME" sheetId="65" r:id="rId1"/>
    <sheet name="Weekly Data Input" sheetId="2" r:id="rId2"/>
    <sheet name="InfRateTotal" sheetId="85" r:id="rId3"/>
    <sheet name="InfRateZone" sheetId="81" r:id="rId4"/>
    <sheet name="InfRateZO" sheetId="79" r:id="rId5"/>
    <sheet name="InfRateCI" sheetId="77"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8"/>
  <pivotCaches>
    <pivotCache cacheId="9805" r:id="rId15"/>
    <pivotCache cacheId="9806"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0" i="59" l="1"/>
  <c r="K131" i="59"/>
  <c r="K132" i="59"/>
  <c r="K133" i="59"/>
  <c r="K134" i="59"/>
  <c r="K135" i="59"/>
  <c r="K136" i="59"/>
  <c r="K137" i="59"/>
  <c r="K138" i="59"/>
  <c r="K139" i="59"/>
  <c r="K140" i="59"/>
  <c r="K141" i="59"/>
  <c r="K142" i="59"/>
  <c r="K143" i="59"/>
  <c r="K144" i="59"/>
  <c r="K145" i="59"/>
  <c r="J130" i="59"/>
  <c r="J131" i="59"/>
  <c r="J132" i="59"/>
  <c r="J133" i="59"/>
  <c r="J134" i="59"/>
  <c r="J135" i="59"/>
  <c r="J136" i="59"/>
  <c r="J137" i="59"/>
  <c r="J138" i="59"/>
  <c r="J139" i="59"/>
  <c r="J140" i="59"/>
  <c r="J141" i="59"/>
  <c r="J142" i="59"/>
  <c r="J143" i="59"/>
  <c r="J144" i="59"/>
  <c r="J145" i="59"/>
  <c r="E13" i="5"/>
  <c r="F14" i="5"/>
  <c r="H5" i="63"/>
  <c r="J125" i="59" l="1"/>
  <c r="K125" i="59"/>
  <c r="J126" i="59"/>
  <c r="K126" i="59"/>
  <c r="J127" i="59"/>
  <c r="K127" i="59"/>
  <c r="J128" i="59"/>
  <c r="K128" i="59"/>
  <c r="J129" i="59"/>
  <c r="K129" i="59"/>
  <c r="J101" i="59"/>
  <c r="K101" i="59"/>
  <c r="J102" i="59"/>
  <c r="K102" i="59"/>
  <c r="J103" i="59"/>
  <c r="K103" i="59"/>
  <c r="J104" i="59"/>
  <c r="K104" i="59"/>
  <c r="J105" i="59"/>
  <c r="K105" i="59"/>
  <c r="J106" i="59"/>
  <c r="K106" i="59"/>
  <c r="J107" i="59"/>
  <c r="K107" i="59"/>
  <c r="J108" i="59"/>
  <c r="K108" i="59"/>
  <c r="J109" i="59"/>
  <c r="K109" i="59"/>
  <c r="J110" i="59"/>
  <c r="K110" i="59"/>
  <c r="J111" i="59"/>
  <c r="K111" i="59"/>
  <c r="J112" i="59"/>
  <c r="K112" i="59"/>
  <c r="J113" i="59"/>
  <c r="K113" i="59"/>
  <c r="J114" i="59"/>
  <c r="K114" i="59"/>
  <c r="J115" i="59"/>
  <c r="K115" i="59"/>
  <c r="J116" i="59"/>
  <c r="K116" i="59"/>
  <c r="J117" i="59"/>
  <c r="K117" i="59"/>
  <c r="J118" i="59"/>
  <c r="K118" i="59"/>
  <c r="J119" i="59"/>
  <c r="K119" i="59"/>
  <c r="J120" i="59"/>
  <c r="K120" i="59"/>
  <c r="J121" i="59"/>
  <c r="K121" i="59"/>
  <c r="J122" i="59"/>
  <c r="K122" i="59"/>
  <c r="J123" i="59"/>
  <c r="K123" i="59"/>
  <c r="J124" i="59"/>
  <c r="K124" i="59"/>
  <c r="J10" i="63"/>
  <c r="I10" i="63"/>
  <c r="H10" i="63"/>
  <c r="G13" i="6"/>
  <c r="G8" i="6"/>
  <c r="I13" i="6"/>
  <c r="G9" i="6"/>
  <c r="G14" i="6"/>
  <c r="G11" i="6"/>
  <c r="G7" i="6"/>
  <c r="G10" i="6"/>
  <c r="G12" i="6"/>
  <c r="H13" i="6"/>
  <c r="H12" i="64"/>
  <c r="J12" i="64"/>
  <c r="I12" i="64"/>
  <c r="K12" i="61"/>
  <c r="J12" i="61"/>
  <c r="I12" i="61"/>
  <c r="I81" i="5" l="1"/>
  <c r="G81" i="5"/>
  <c r="F81" i="5"/>
  <c r="C81" i="5"/>
  <c r="D81" i="5"/>
  <c r="J2" i="59"/>
  <c r="K2" i="59"/>
  <c r="J3" i="59"/>
  <c r="K3" i="59"/>
  <c r="J4" i="59"/>
  <c r="K4" i="59"/>
  <c r="J5" i="59"/>
  <c r="K5" i="59"/>
  <c r="J6" i="59"/>
  <c r="K6" i="59"/>
  <c r="J7" i="59"/>
  <c r="K7" i="59"/>
  <c r="J8" i="59"/>
  <c r="K8" i="59"/>
  <c r="J9" i="59"/>
  <c r="K9" i="59"/>
  <c r="J10" i="59"/>
  <c r="K10" i="59"/>
  <c r="J11" i="59"/>
  <c r="K11" i="59"/>
  <c r="J12" i="59"/>
  <c r="K12" i="59"/>
  <c r="J13" i="59"/>
  <c r="K13" i="59"/>
  <c r="J14" i="59"/>
  <c r="K14" i="59"/>
  <c r="J15" i="59"/>
  <c r="K15" i="59"/>
  <c r="J16" i="59"/>
  <c r="K16" i="59"/>
  <c r="J17" i="59"/>
  <c r="K17" i="59"/>
  <c r="J18" i="59"/>
  <c r="K18" i="59"/>
  <c r="J19" i="59"/>
  <c r="K19" i="59"/>
  <c r="J20" i="59"/>
  <c r="K20" i="59"/>
  <c r="J21" i="59"/>
  <c r="K21" i="59"/>
  <c r="J22" i="59"/>
  <c r="K22" i="59"/>
  <c r="J23" i="59"/>
  <c r="K23" i="59"/>
  <c r="J24" i="59"/>
  <c r="K24" i="59"/>
  <c r="J25" i="59"/>
  <c r="K25" i="59"/>
  <c r="J26" i="59"/>
  <c r="K26" i="59"/>
  <c r="J27" i="59"/>
  <c r="K27" i="59"/>
  <c r="J28" i="59"/>
  <c r="K28" i="59"/>
  <c r="J29" i="59"/>
  <c r="K29" i="59"/>
  <c r="J30" i="59"/>
  <c r="K30" i="59"/>
  <c r="J31" i="59"/>
  <c r="K31" i="59"/>
  <c r="J32" i="59"/>
  <c r="K32" i="59"/>
  <c r="J33" i="59"/>
  <c r="K33" i="59"/>
  <c r="J34" i="59"/>
  <c r="K34" i="59"/>
  <c r="J35" i="59"/>
  <c r="K35" i="59"/>
  <c r="J36" i="59"/>
  <c r="K36" i="59"/>
  <c r="J37" i="59"/>
  <c r="K37" i="59"/>
  <c r="J38" i="59"/>
  <c r="K38" i="59"/>
  <c r="J39" i="59"/>
  <c r="K39" i="59"/>
  <c r="J40" i="59"/>
  <c r="K40" i="59"/>
  <c r="J41" i="59"/>
  <c r="K41" i="59"/>
  <c r="J42" i="59"/>
  <c r="K42" i="59"/>
  <c r="J43" i="59"/>
  <c r="K43" i="59"/>
  <c r="J44" i="59"/>
  <c r="K44" i="59"/>
  <c r="J45" i="59"/>
  <c r="K45" i="59"/>
  <c r="J46" i="59"/>
  <c r="K46" i="59"/>
  <c r="J47" i="59"/>
  <c r="K47" i="59"/>
  <c r="J48" i="59"/>
  <c r="K48" i="59"/>
  <c r="J49" i="59"/>
  <c r="K49" i="59"/>
  <c r="J50" i="59"/>
  <c r="K50" i="59"/>
  <c r="J51" i="59"/>
  <c r="K51" i="59"/>
  <c r="J52" i="59"/>
  <c r="K52" i="59"/>
  <c r="J53" i="59"/>
  <c r="K53" i="59"/>
  <c r="J54" i="59"/>
  <c r="K54" i="59"/>
  <c r="J55" i="59"/>
  <c r="K55" i="59"/>
  <c r="J56" i="59"/>
  <c r="K56" i="59"/>
  <c r="J57" i="59"/>
  <c r="K57" i="59"/>
  <c r="J58" i="59"/>
  <c r="K58" i="59"/>
  <c r="J59" i="59"/>
  <c r="K59" i="59"/>
  <c r="J60" i="59"/>
  <c r="K60" i="59"/>
  <c r="J61" i="59"/>
  <c r="K61" i="59"/>
  <c r="J62" i="59"/>
  <c r="K62" i="59"/>
  <c r="J63" i="59"/>
  <c r="K63" i="59"/>
  <c r="J64" i="59"/>
  <c r="K64" i="59"/>
  <c r="J65" i="59"/>
  <c r="K65" i="59"/>
  <c r="J66" i="59"/>
  <c r="K66" i="59"/>
  <c r="J67" i="59"/>
  <c r="K67" i="59"/>
  <c r="J68" i="59"/>
  <c r="K68" i="59"/>
  <c r="J69" i="59"/>
  <c r="K69" i="59"/>
  <c r="J70" i="59"/>
  <c r="K70" i="59"/>
  <c r="J71" i="59"/>
  <c r="K71" i="59"/>
  <c r="J72" i="59"/>
  <c r="K72" i="59"/>
  <c r="J73" i="59"/>
  <c r="K73" i="59"/>
  <c r="J74" i="59"/>
  <c r="K74" i="59"/>
  <c r="J75" i="59"/>
  <c r="K75" i="59"/>
  <c r="J76" i="59"/>
  <c r="K76" i="59"/>
  <c r="J77" i="59"/>
  <c r="K77" i="59"/>
  <c r="J78" i="59"/>
  <c r="K78" i="59"/>
  <c r="J79" i="59"/>
  <c r="K79" i="59"/>
  <c r="J80" i="59"/>
  <c r="K80" i="59"/>
  <c r="J81" i="59"/>
  <c r="K81" i="59"/>
  <c r="J82" i="59"/>
  <c r="K82" i="59"/>
  <c r="J83" i="59"/>
  <c r="K83" i="59"/>
  <c r="J84" i="59"/>
  <c r="K84" i="59"/>
  <c r="J85" i="59"/>
  <c r="K85" i="59"/>
  <c r="J86" i="59"/>
  <c r="K86" i="59"/>
  <c r="J87" i="59"/>
  <c r="K87" i="59"/>
  <c r="J88" i="59"/>
  <c r="K88" i="59"/>
  <c r="J89" i="59"/>
  <c r="K89" i="59"/>
  <c r="J90" i="59"/>
  <c r="K90" i="59"/>
  <c r="J91" i="59"/>
  <c r="K91" i="59"/>
  <c r="J92" i="59"/>
  <c r="K92" i="59"/>
  <c r="J93" i="59"/>
  <c r="K93" i="59"/>
  <c r="J94" i="59"/>
  <c r="K94" i="59"/>
  <c r="J95" i="59"/>
  <c r="K95" i="59"/>
  <c r="J96" i="59"/>
  <c r="K96" i="59"/>
  <c r="J97" i="59"/>
  <c r="K97" i="59"/>
  <c r="J98" i="59"/>
  <c r="K98" i="59"/>
  <c r="J99" i="59"/>
  <c r="K99" i="59"/>
  <c r="J100" i="59"/>
  <c r="K100" i="59"/>
  <c r="I11" i="63"/>
  <c r="H11" i="63"/>
  <c r="J11" i="63"/>
  <c r="H8" i="64"/>
  <c r="H11" i="64"/>
  <c r="H9" i="64"/>
  <c r="H7" i="64"/>
  <c r="H10" i="64"/>
  <c r="H6" i="64"/>
  <c r="J7" i="61"/>
  <c r="J10" i="61"/>
  <c r="J8" i="61"/>
  <c r="J9" i="61"/>
  <c r="I8" i="61"/>
  <c r="J6" i="61"/>
  <c r="I11" i="61"/>
  <c r="I10" i="61"/>
  <c r="I9" i="61"/>
  <c r="I7" i="61"/>
  <c r="I6" i="61"/>
  <c r="J11" i="61"/>
  <c r="H81" i="5" l="1"/>
  <c r="E81" i="5"/>
  <c r="E48" i="5"/>
  <c r="I48" i="5" s="1"/>
  <c r="C48" i="5"/>
  <c r="G48" i="5" s="1"/>
  <c r="D48" i="5"/>
  <c r="H48" i="5" s="1"/>
  <c r="D14" i="5" s="1"/>
  <c r="C73" i="5"/>
  <c r="L73" i="5" l="1"/>
  <c r="M73" i="5"/>
  <c r="L74" i="5"/>
  <c r="M74" i="5"/>
  <c r="L75" i="5"/>
  <c r="M75" i="5"/>
  <c r="L76" i="5"/>
  <c r="M76" i="5"/>
  <c r="L77" i="5"/>
  <c r="M77" i="5"/>
  <c r="L81" i="5"/>
  <c r="M81" i="5"/>
  <c r="F44" i="5" l="1"/>
  <c r="H11" i="6"/>
  <c r="H12" i="6"/>
  <c r="H14" i="6"/>
  <c r="H8" i="6"/>
  <c r="H10" i="6"/>
  <c r="H9" i="6"/>
  <c r="H7" i="6"/>
  <c r="I14" i="6"/>
  <c r="J6" i="64"/>
  <c r="I7" i="64"/>
  <c r="J9" i="64"/>
  <c r="I11" i="64"/>
  <c r="I8" i="64"/>
  <c r="J7" i="64"/>
  <c r="I9" i="64"/>
  <c r="I10" i="64"/>
  <c r="J8" i="64"/>
  <c r="I6" i="64"/>
  <c r="J81" i="5" l="1"/>
  <c r="K81" i="5" s="1"/>
  <c r="C76" i="5"/>
  <c r="G76" i="5"/>
  <c r="I75" i="5"/>
  <c r="J76" i="5"/>
  <c r="F74" i="5"/>
  <c r="F75" i="5"/>
  <c r="J79" i="5"/>
  <c r="I80" i="5"/>
  <c r="F80" i="5"/>
  <c r="G73" i="5"/>
  <c r="G74" i="5"/>
  <c r="J75" i="5"/>
  <c r="I73" i="5"/>
  <c r="I76" i="5"/>
  <c r="C79" i="5"/>
  <c r="G75" i="5"/>
  <c r="J73" i="5"/>
  <c r="F79" i="5"/>
  <c r="C75" i="5"/>
  <c r="J74" i="5"/>
  <c r="F73" i="5"/>
  <c r="F76" i="5"/>
  <c r="H76" i="5" s="1"/>
  <c r="C80" i="5"/>
  <c r="C74" i="5"/>
  <c r="G79" i="5"/>
  <c r="G80" i="5"/>
  <c r="I79" i="5"/>
  <c r="I74" i="5"/>
  <c r="J80" i="5"/>
  <c r="H79" i="5" l="1"/>
  <c r="H75" i="5"/>
  <c r="J77" i="5"/>
  <c r="G77" i="5"/>
  <c r="K80" i="5"/>
  <c r="H74" i="5"/>
  <c r="C77" i="5"/>
  <c r="I77" i="5"/>
  <c r="K79" i="5"/>
  <c r="H80" i="5"/>
  <c r="H73" i="5"/>
  <c r="F77" i="5"/>
  <c r="I12" i="6"/>
  <c r="J11" i="64"/>
  <c r="K11" i="61"/>
  <c r="H77" i="5" l="1"/>
  <c r="D80" i="5"/>
  <c r="E80" i="5" s="1"/>
  <c r="C47" i="5"/>
  <c r="D47" i="5"/>
  <c r="H47" i="5" s="1"/>
  <c r="E47" i="5" l="1"/>
  <c r="I47" i="5" s="1"/>
  <c r="F13" i="5" l="1"/>
  <c r="J5" i="63"/>
  <c r="I5" i="63"/>
  <c r="I11" i="6"/>
  <c r="J10" i="64"/>
  <c r="K10" i="61"/>
  <c r="D76" i="5" l="1"/>
  <c r="E76" i="5" s="1"/>
  <c r="D13" i="5"/>
  <c r="H13" i="5" s="1"/>
  <c r="G47" i="5"/>
  <c r="C13" i="5" s="1"/>
  <c r="F12" i="5" l="1"/>
  <c r="E12" i="5"/>
  <c r="E10" i="5"/>
  <c r="F10" i="5"/>
  <c r="F9" i="5"/>
  <c r="F8" i="5"/>
  <c r="F7" i="5"/>
  <c r="F6" i="5"/>
  <c r="E9" i="5"/>
  <c r="E8" i="5"/>
  <c r="E7" i="5"/>
  <c r="E6" i="5"/>
  <c r="J7" i="63"/>
  <c r="J6" i="63"/>
  <c r="I8" i="63"/>
  <c r="J8" i="63"/>
  <c r="H9" i="63"/>
  <c r="H6" i="63"/>
  <c r="H8" i="63"/>
  <c r="I7" i="63"/>
  <c r="J9" i="63"/>
  <c r="I6" i="63"/>
  <c r="H7" i="63"/>
  <c r="I9" i="63"/>
  <c r="I7" i="6"/>
  <c r="I10" i="6"/>
  <c r="I8" i="6"/>
  <c r="I9" i="6"/>
  <c r="K7" i="61"/>
  <c r="K9" i="61"/>
  <c r="K6" i="61"/>
  <c r="K8" i="61"/>
  <c r="K73" i="5" l="1"/>
  <c r="K76" i="5"/>
  <c r="K74" i="5"/>
  <c r="K75" i="5"/>
  <c r="D79" i="5"/>
  <c r="E79" i="5" s="1"/>
  <c r="D75" i="5"/>
  <c r="D73" i="5"/>
  <c r="E73" i="5" s="1"/>
  <c r="D74" i="5"/>
  <c r="E74" i="5" s="1"/>
  <c r="C42" i="5"/>
  <c r="D40" i="5"/>
  <c r="C46" i="5"/>
  <c r="G46" i="5" s="1"/>
  <c r="C43" i="5"/>
  <c r="D42" i="5"/>
  <c r="C41" i="5"/>
  <c r="D46" i="5"/>
  <c r="H46" i="5" s="1"/>
  <c r="D43" i="5"/>
  <c r="H43" i="5" s="1"/>
  <c r="D9" i="5" s="1"/>
  <c r="C40" i="5"/>
  <c r="D41" i="5"/>
  <c r="K77" i="5" l="1"/>
  <c r="D77" i="5"/>
  <c r="E77" i="5" s="1"/>
  <c r="E75" i="5"/>
  <c r="D12" i="5"/>
  <c r="H12" i="5" s="1"/>
  <c r="C12" i="5"/>
  <c r="G12" i="5" s="1"/>
  <c r="E46" i="5"/>
  <c r="I46" i="5" s="1"/>
  <c r="I12" i="5" l="1"/>
  <c r="H42" i="5" l="1"/>
  <c r="H41" i="5"/>
  <c r="G43" i="5"/>
  <c r="G41" i="5"/>
  <c r="G40" i="5"/>
  <c r="H40" i="5" l="1"/>
  <c r="D6" i="5" s="1"/>
  <c r="G42" i="5"/>
  <c r="C8" i="5" s="1"/>
  <c r="E40" i="5"/>
  <c r="D44" i="5"/>
  <c r="C44" i="5"/>
  <c r="E41" i="5"/>
  <c r="I41" i="5" s="1"/>
  <c r="E43" i="5"/>
  <c r="I43" i="5" s="1"/>
  <c r="E42" i="5"/>
  <c r="I42" i="5" s="1"/>
  <c r="D8" i="5"/>
  <c r="D7" i="5"/>
  <c r="C9" i="5"/>
  <c r="C7" i="5"/>
  <c r="C6" i="5"/>
  <c r="I40" i="5" l="1"/>
  <c r="G44" i="5"/>
  <c r="C10" i="5" s="1"/>
  <c r="G10" i="5" s="1"/>
  <c r="H44" i="5"/>
  <c r="D10" i="5" s="1"/>
  <c r="H10" i="5" s="1"/>
  <c r="E44" i="5"/>
  <c r="I44" i="5" s="1"/>
  <c r="G8" i="5"/>
  <c r="G9" i="5"/>
  <c r="G6" i="5"/>
  <c r="H6" i="5"/>
  <c r="G7" i="5"/>
  <c r="H7" i="5"/>
  <c r="H8" i="5"/>
  <c r="H9" i="5"/>
  <c r="I6" i="5" l="1"/>
  <c r="I10" i="5"/>
  <c r="I9" i="5"/>
  <c r="I8" i="5"/>
  <c r="I7" i="5"/>
</calcChain>
</file>

<file path=xl/sharedStrings.xml><?xml version="1.0" encoding="utf-8"?>
<sst xmlns="http://schemas.openxmlformats.org/spreadsheetml/2006/main" count="4337" uniqueCount="605">
  <si>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</si>
  <si>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</si>
  <si>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</si>
  <si>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</si>
  <si>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</si>
  <si>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</si>
  <si>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</si>
  <si>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</si>
  <si>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</si>
  <si>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</si>
  <si>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</si>
  <si>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</si>
  <si>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</si>
  <si>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</si>
  <si>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</si>
  <si>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</si>
  <si>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</si>
  <si>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</si>
  <si>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</si>
  <si>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</si>
  <si>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</si>
  <si>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</si>
  <si>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</si>
  <si>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</si>
  <si>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</si>
  <si>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</si>
  <si>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</si>
  <si>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</si>
  <si>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</si>
  <si>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</si>
  <si>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</si>
  <si>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CSU-19454</t>
  </si>
  <si>
    <t>LC</t>
  </si>
  <si>
    <t>LV</t>
  </si>
  <si>
    <t>LV-069</t>
  </si>
  <si>
    <t>L</t>
  </si>
  <si>
    <t>Cx.</t>
  </si>
  <si>
    <t>Tarsalis</t>
  </si>
  <si>
    <t>F</t>
  </si>
  <si>
    <t>Negative</t>
  </si>
  <si>
    <t>LV-Tar</t>
  </si>
  <si>
    <t>CSU-19455</t>
  </si>
  <si>
    <t>CSU-19456</t>
  </si>
  <si>
    <t>LV-095</t>
  </si>
  <si>
    <t>CSU-19457</t>
  </si>
  <si>
    <t>CSU-19458</t>
  </si>
  <si>
    <t>CSU-19459</t>
  </si>
  <si>
    <t>CSU-19460</t>
  </si>
  <si>
    <t>CSU-19461</t>
  </si>
  <si>
    <t>CSU-19462</t>
  </si>
  <si>
    <t>CSU-19463</t>
  </si>
  <si>
    <t>CSU-19464</t>
  </si>
  <si>
    <t>CSU-19465</t>
  </si>
  <si>
    <t>CSU-19466</t>
  </si>
  <si>
    <t>Pipiens</t>
  </si>
  <si>
    <t>LV-Pip</t>
  </si>
  <si>
    <t>CSU-19467</t>
  </si>
  <si>
    <t>FC</t>
  </si>
  <si>
    <t>FC-034</t>
  </si>
  <si>
    <t>NE</t>
  </si>
  <si>
    <t>FC-Tar</t>
  </si>
  <si>
    <t>NE-Tar</t>
  </si>
  <si>
    <t>CSU-19468</t>
  </si>
  <si>
    <t>CSU-19469</t>
  </si>
  <si>
    <t>CSU-19470</t>
  </si>
  <si>
    <t>CSU-19471</t>
  </si>
  <si>
    <t>FC-040</t>
  </si>
  <si>
    <t>CSU-19472</t>
  </si>
  <si>
    <t>CSU-19473</t>
  </si>
  <si>
    <t>CSU-19474</t>
  </si>
  <si>
    <t>FC-Pip</t>
  </si>
  <si>
    <t>NE-Pip</t>
  </si>
  <si>
    <t>CSU-19475</t>
  </si>
  <si>
    <t>FC-040gr</t>
  </si>
  <si>
    <t>G</t>
  </si>
  <si>
    <t>CSU-19476</t>
  </si>
  <si>
    <t>FC-069</t>
  </si>
  <si>
    <t>CSU-19477</t>
  </si>
  <si>
    <t>CSU-19478</t>
  </si>
  <si>
    <t>CSU-19479</t>
  </si>
  <si>
    <t>FC-092gr</t>
  </si>
  <si>
    <t>CSU-19480</t>
  </si>
  <si>
    <t>FC-091gr</t>
  </si>
  <si>
    <t>CSU-19481</t>
  </si>
  <si>
    <t>FC-066gr</t>
  </si>
  <si>
    <t>CSU-19482</t>
  </si>
  <si>
    <t>FC-036</t>
  </si>
  <si>
    <t>NW</t>
  </si>
  <si>
    <t>NW-Tar</t>
  </si>
  <si>
    <t>CSU-19483</t>
  </si>
  <si>
    <t>CSU-19484</t>
  </si>
  <si>
    <t>FC-006</t>
  </si>
  <si>
    <t>CSU-19485</t>
  </si>
  <si>
    <t>CSU-19486</t>
  </si>
  <si>
    <t>CSU-19487</t>
  </si>
  <si>
    <t>CSU-19488</t>
  </si>
  <si>
    <t>FC-072</t>
  </si>
  <si>
    <t>CSU-19489</t>
  </si>
  <si>
    <t>CSU-19490</t>
  </si>
  <si>
    <t>CSU-19491</t>
  </si>
  <si>
    <t>CSU-19492</t>
  </si>
  <si>
    <t>CSU-19493</t>
  </si>
  <si>
    <t>CSU-19494</t>
  </si>
  <si>
    <t>FC-038</t>
  </si>
  <si>
    <t>CSU-19495</t>
  </si>
  <si>
    <t>CSU-19496</t>
  </si>
  <si>
    <t>FC-019</t>
  </si>
  <si>
    <t>CSU-19497</t>
  </si>
  <si>
    <t>CSU-19498</t>
  </si>
  <si>
    <t>CSU-19499</t>
  </si>
  <si>
    <t>FC-066</t>
  </si>
  <si>
    <t>CSU-19500</t>
  </si>
  <si>
    <t>CSU-19501</t>
  </si>
  <si>
    <t>CSU-19502</t>
  </si>
  <si>
    <t>CSU-19503</t>
  </si>
  <si>
    <t>FC-014</t>
  </si>
  <si>
    <t>CSU-19504</t>
  </si>
  <si>
    <t>CSU-19505</t>
  </si>
  <si>
    <t>CSU-19506</t>
  </si>
  <si>
    <t>CSU-19507</t>
  </si>
  <si>
    <t>CSU-19508</t>
  </si>
  <si>
    <t>FC-067</t>
  </si>
  <si>
    <t>CSU-19509</t>
  </si>
  <si>
    <t>CSU-19510</t>
  </si>
  <si>
    <t>LV-110</t>
  </si>
  <si>
    <t>CSU-19511</t>
  </si>
  <si>
    <t>LV-104</t>
  </si>
  <si>
    <t>CSU-19512</t>
  </si>
  <si>
    <t>CSU-19513</t>
  </si>
  <si>
    <t>CSU-19514</t>
  </si>
  <si>
    <t>CSU-19515</t>
  </si>
  <si>
    <t>FC-039</t>
  </si>
  <si>
    <t>SE</t>
  </si>
  <si>
    <t>SE-Tar</t>
  </si>
  <si>
    <t>CSU-19516</t>
  </si>
  <si>
    <t>CSU-19517</t>
  </si>
  <si>
    <t>FC-053</t>
  </si>
  <si>
    <t>CSU-19518</t>
  </si>
  <si>
    <t>CSU-19519</t>
  </si>
  <si>
    <t>FC-075gr</t>
  </si>
  <si>
    <t>CSU-19520</t>
  </si>
  <si>
    <t>SE-Pip</t>
  </si>
  <si>
    <t>CSU-19521</t>
  </si>
  <si>
    <t>LV-089</t>
  </si>
  <si>
    <t>CSU-19522</t>
  </si>
  <si>
    <t>CSU-19523</t>
  </si>
  <si>
    <t>CSU-19524</t>
  </si>
  <si>
    <t>CSU-19525</t>
  </si>
  <si>
    <t>CSU-19526</t>
  </si>
  <si>
    <t>CSU-19527</t>
  </si>
  <si>
    <t>CSU-19528</t>
  </si>
  <si>
    <t>CSU-19529</t>
  </si>
  <si>
    <t>CSU-19530</t>
  </si>
  <si>
    <t>CSU-19531</t>
  </si>
  <si>
    <t>CSU-19532</t>
  </si>
  <si>
    <t>CSU-19533</t>
  </si>
  <si>
    <t>FC-088gr</t>
  </si>
  <si>
    <t>CSU-19534</t>
  </si>
  <si>
    <t>FC-050</t>
  </si>
  <si>
    <t>CSU-19535</t>
  </si>
  <si>
    <t>CSU-19536</t>
  </si>
  <si>
    <t>FC-023</t>
  </si>
  <si>
    <t>CSU-19537</t>
  </si>
  <si>
    <t>CSU-19538</t>
  </si>
  <si>
    <t>FC-075</t>
  </si>
  <si>
    <t>CSU-19539</t>
  </si>
  <si>
    <t>CSU-19540</t>
  </si>
  <si>
    <t>CSU-19541</t>
  </si>
  <si>
    <t>CSU-19542</t>
  </si>
  <si>
    <t>CSU-19543</t>
  </si>
  <si>
    <t>CSU-19544</t>
  </si>
  <si>
    <t>CSU-19545</t>
  </si>
  <si>
    <t>FC-074</t>
  </si>
  <si>
    <t>CSU-19546</t>
  </si>
  <si>
    <t>CSU-19547</t>
  </si>
  <si>
    <t>CSU-19548</t>
  </si>
  <si>
    <t>CSU-19549</t>
  </si>
  <si>
    <t>CSU-19550</t>
  </si>
  <si>
    <t>CSU-19551</t>
  </si>
  <si>
    <t>CSU-19552</t>
  </si>
  <si>
    <t>FC-064</t>
  </si>
  <si>
    <t>CSU-19553</t>
  </si>
  <si>
    <t>CSU-19554</t>
  </si>
  <si>
    <t>CSU-19555</t>
  </si>
  <si>
    <t>CSU-19556</t>
  </si>
  <si>
    <t>CSU-19557</t>
  </si>
  <si>
    <t>CSU-19558</t>
  </si>
  <si>
    <t>Positive</t>
  </si>
  <si>
    <t>CSU-19559</t>
  </si>
  <si>
    <t>CSU-19560</t>
  </si>
  <si>
    <t>CSU-19561</t>
  </si>
  <si>
    <t>CSU-19562</t>
  </si>
  <si>
    <t>CSU-19563</t>
  </si>
  <si>
    <t>CSU-19564</t>
  </si>
  <si>
    <t>CSU-19565</t>
  </si>
  <si>
    <t>CSU-19566</t>
  </si>
  <si>
    <t>FC-046</t>
  </si>
  <si>
    <t>CSU-19567</t>
  </si>
  <si>
    <t>CSU-19568</t>
  </si>
  <si>
    <t>CSU-19569</t>
  </si>
  <si>
    <t>CSU-19570</t>
  </si>
  <si>
    <t>FC-004</t>
  </si>
  <si>
    <t>CSU-19571</t>
  </si>
  <si>
    <t>CSU-19572</t>
  </si>
  <si>
    <t>CSU-19573</t>
  </si>
  <si>
    <t>CSU-19574</t>
  </si>
  <si>
    <t>CSU-19575</t>
  </si>
  <si>
    <t>CSU-19576</t>
  </si>
  <si>
    <t>FC-031</t>
  </si>
  <si>
    <t>CSU-19577</t>
  </si>
  <si>
    <t>CSU-19578</t>
  </si>
  <si>
    <t>CSU-19579</t>
  </si>
  <si>
    <t>CSU-19580</t>
  </si>
  <si>
    <t>CSU-19581</t>
  </si>
  <si>
    <t>CSU-19582</t>
  </si>
  <si>
    <t>CSU-19583</t>
  </si>
  <si>
    <t>FC-059</t>
  </si>
  <si>
    <t>CSU-19584</t>
  </si>
  <si>
    <t>CSU-19585</t>
  </si>
  <si>
    <t>CSU-19586</t>
  </si>
  <si>
    <t>CSU-19587</t>
  </si>
  <si>
    <t>CSU-19588</t>
  </si>
  <si>
    <t>FC-047</t>
  </si>
  <si>
    <t>CSU-19589</t>
  </si>
  <si>
    <t>CSU-19590</t>
  </si>
  <si>
    <t>FC-027</t>
  </si>
  <si>
    <t>CSU-19591</t>
  </si>
  <si>
    <t>CSU-19592</t>
  </si>
  <si>
    <t>CSU-19593</t>
  </si>
  <si>
    <t>CSU-19594</t>
  </si>
  <si>
    <t>CSU-19595</t>
  </si>
  <si>
    <t>CSU-19596</t>
  </si>
  <si>
    <t>FC-090gr</t>
  </si>
  <si>
    <t>NW-Pip</t>
  </si>
  <si>
    <t>CSU-19597</t>
  </si>
  <si>
    <t>FC-060</t>
  </si>
  <si>
    <t>CSU-19598</t>
  </si>
  <si>
    <t>CSU-19599</t>
  </si>
  <si>
    <t>FC-063gr</t>
  </si>
  <si>
    <t>CSU-19600</t>
  </si>
  <si>
    <t>FC-011</t>
  </si>
  <si>
    <t>CSU-19601</t>
  </si>
  <si>
    <t>CSU-19602</t>
  </si>
  <si>
    <t>FC-058</t>
  </si>
  <si>
    <t>SW</t>
  </si>
  <si>
    <t>SW-Tar</t>
  </si>
  <si>
    <t>CSU-19603</t>
  </si>
  <si>
    <t>FC-052</t>
  </si>
  <si>
    <t>CSU-19604</t>
  </si>
  <si>
    <t>CSU-19605</t>
  </si>
  <si>
    <t>CSU-19606</t>
  </si>
  <si>
    <t>FC-049</t>
  </si>
  <si>
    <t>CSU-19607</t>
  </si>
  <si>
    <t>CSU-19608</t>
  </si>
  <si>
    <t>FC-015</t>
  </si>
  <si>
    <t>CSU-19609</t>
  </si>
  <si>
    <t>BE</t>
  </si>
  <si>
    <t>LC-054</t>
  </si>
  <si>
    <t>BE-Tar</t>
  </si>
  <si>
    <t>CSU-19610</t>
  </si>
  <si>
    <t>CSU-19611</t>
  </si>
  <si>
    <t>CSU-19612</t>
  </si>
  <si>
    <t>BE-Pip</t>
  </si>
  <si>
    <t>CSU-19613</t>
  </si>
  <si>
    <t>LC-053</t>
  </si>
  <si>
    <t>CSU-19614</t>
  </si>
  <si>
    <t>CSU-19615</t>
  </si>
  <si>
    <t>CSU-19616</t>
  </si>
  <si>
    <t>WC-055</t>
  </si>
  <si>
    <t>CSU-19617</t>
  </si>
  <si>
    <t>CSU-19618</t>
  </si>
  <si>
    <t>CSU-19619</t>
  </si>
  <si>
    <t>LC-049</t>
  </si>
  <si>
    <t>CSU-19620</t>
  </si>
  <si>
    <t>LC-001</t>
  </si>
  <si>
    <t>CSU-19621</t>
  </si>
  <si>
    <t>CSU-19622</t>
  </si>
  <si>
    <t>CSU-19623</t>
  </si>
  <si>
    <t>CSU-19624</t>
  </si>
  <si>
    <t>LV-020</t>
  </si>
  <si>
    <t>CSU-19625</t>
  </si>
  <si>
    <t>CSU-19626</t>
  </si>
  <si>
    <t>CSU-19627</t>
  </si>
  <si>
    <t>CSU-19628</t>
  </si>
  <si>
    <t>CSU-19629</t>
  </si>
  <si>
    <t>CSU-19630</t>
  </si>
  <si>
    <t>CSU-19631</t>
  </si>
  <si>
    <t>CSU-19632</t>
  </si>
  <si>
    <t>CSU-19633</t>
  </si>
  <si>
    <t>CSU-19634</t>
  </si>
  <si>
    <t>FC-061</t>
  </si>
  <si>
    <t>CSU-19635</t>
  </si>
  <si>
    <t>CSU-19636</t>
  </si>
  <si>
    <t>CSU-19637</t>
  </si>
  <si>
    <t>CSU-19638</t>
  </si>
  <si>
    <t>FC-073</t>
  </si>
  <si>
    <t>CSU-19639</t>
  </si>
  <si>
    <t>CSU-19640</t>
  </si>
  <si>
    <t>CSU-19641</t>
  </si>
  <si>
    <t>CSU-19642</t>
  </si>
  <si>
    <t>CSU-19643</t>
  </si>
  <si>
    <t>CSU-19644</t>
  </si>
  <si>
    <t>CSU-19645</t>
  </si>
  <si>
    <t>FC-063</t>
  </si>
  <si>
    <t>CSU-19646</t>
  </si>
  <si>
    <t>FC-041</t>
  </si>
  <si>
    <t>CSU-19647</t>
  </si>
  <si>
    <t>CSU-19648</t>
  </si>
  <si>
    <t>CSU-19649</t>
  </si>
  <si>
    <t>CSU-19650</t>
  </si>
  <si>
    <t>CSU-19651</t>
  </si>
  <si>
    <t>CSU-19652</t>
  </si>
  <si>
    <t>CSU-19653</t>
  </si>
  <si>
    <t>CSU-19654</t>
  </si>
  <si>
    <t>CSU-19655</t>
  </si>
  <si>
    <t>CSU-19656</t>
  </si>
  <si>
    <t>CSU-19657</t>
  </si>
  <si>
    <t>FC-001</t>
  </si>
  <si>
    <t>CSU-19658</t>
  </si>
  <si>
    <t>CSU-19659</t>
  </si>
  <si>
    <t>CSU-19660</t>
  </si>
  <si>
    <t>SW-Pip</t>
  </si>
  <si>
    <t>CSU-19661</t>
  </si>
  <si>
    <t>FC-029gr</t>
  </si>
  <si>
    <t>CSU-19662</t>
  </si>
  <si>
    <t>CSU-19663</t>
  </si>
  <si>
    <t>FC-029</t>
  </si>
  <si>
    <t>CSU-19664</t>
  </si>
  <si>
    <t>FC-068</t>
  </si>
  <si>
    <t>CSU-19665</t>
  </si>
  <si>
    <t>FC-054</t>
  </si>
  <si>
    <t>CSU-19666</t>
  </si>
  <si>
    <t>CSU-19667</t>
  </si>
  <si>
    <t>CSU-19668</t>
  </si>
  <si>
    <t>CSU-19669</t>
  </si>
  <si>
    <t>CSU-19670</t>
  </si>
  <si>
    <t>CSU-19671</t>
  </si>
  <si>
    <t>CSU-19672</t>
  </si>
  <si>
    <t>CSU-19673</t>
  </si>
  <si>
    <t>CSU-19674</t>
  </si>
  <si>
    <t>CSU-19675</t>
  </si>
  <si>
    <t>CSU-19676</t>
  </si>
  <si>
    <t>CSU-19677</t>
  </si>
  <si>
    <t>CSU-19678</t>
  </si>
  <si>
    <t>CSU-19679</t>
  </si>
  <si>
    <t>FC-062</t>
  </si>
  <si>
    <t>CSU-19680</t>
  </si>
  <si>
    <t>CSU-19681</t>
  </si>
  <si>
    <t>CSU-19682</t>
  </si>
  <si>
    <t>CSU-19683</t>
  </si>
  <si>
    <t>FC-089gr</t>
  </si>
  <si>
    <t>CSU-19684</t>
  </si>
  <si>
    <t>CSU-19685</t>
  </si>
  <si>
    <t>FC-057</t>
  </si>
  <si>
    <t>CSU-19686</t>
  </si>
  <si>
    <t>FC-071</t>
  </si>
  <si>
    <t>CSU-19687</t>
  </si>
  <si>
    <t>CSU-19688</t>
  </si>
  <si>
    <t>CSU-19689</t>
  </si>
  <si>
    <t>CSU-19690</t>
  </si>
  <si>
    <t>FC-037</t>
  </si>
  <si>
    <t>CSU-19691</t>
  </si>
  <si>
    <t>CSU-19692</t>
  </si>
  <si>
    <t>CSU-19693</t>
  </si>
  <si>
    <t>CSU-19694</t>
  </si>
  <si>
    <t>CSU-19695</t>
  </si>
  <si>
    <t>CSU-19696</t>
  </si>
  <si>
    <t>CSU-19697</t>
  </si>
  <si>
    <t>BOU-00145</t>
  </si>
  <si>
    <t>N/A</t>
  </si>
  <si>
    <t>BC</t>
  </si>
  <si>
    <t>BC-19</t>
  </si>
  <si>
    <t>BC-Tar</t>
  </si>
  <si>
    <t>BOU-00146</t>
  </si>
  <si>
    <t>BC-15</t>
  </si>
  <si>
    <t>BOU-00147</t>
  </si>
  <si>
    <t>BC-04</t>
  </si>
  <si>
    <t>BOU-00148</t>
  </si>
  <si>
    <t>BC-18</t>
  </si>
  <si>
    <t>BOU-00149</t>
  </si>
  <si>
    <t>BC-17</t>
  </si>
  <si>
    <t>Infection Rate</t>
  </si>
  <si>
    <t>Lower Limit</t>
  </si>
  <si>
    <t>Upper Limit</t>
  </si>
  <si>
    <t>Scale</t>
  </si>
  <si>
    <t>Point Est Method</t>
  </si>
  <si>
    <t>CI Method</t>
  </si>
  <si>
    <t>Num Pools</t>
  </si>
  <si>
    <t>Num Pos Pools</t>
  </si>
  <si>
    <t>Num Individuals</t>
  </si>
  <si>
    <t>MLE</t>
  </si>
  <si>
    <t>Score</t>
  </si>
  <si>
    <t>Bias Corrected MLE</t>
  </si>
  <si>
    <t>Corrected Score</t>
  </si>
  <si>
    <t>Contract</t>
  </si>
  <si>
    <t>Location</t>
  </si>
  <si>
    <t>Species</t>
  </si>
  <si>
    <t>Total CX</t>
  </si>
  <si>
    <t>Type</t>
  </si>
  <si>
    <t>Trap Number</t>
  </si>
  <si>
    <t>Cx tarsalis</t>
  </si>
  <si>
    <t>Cx pipiens</t>
  </si>
  <si>
    <t>Berthoud</t>
  </si>
  <si>
    <t>Berthoud Park</t>
  </si>
  <si>
    <t>Culex tarsalis</t>
  </si>
  <si>
    <t>CDC Light Trap</t>
  </si>
  <si>
    <t>Culex pipiens</t>
  </si>
  <si>
    <t>Berthoud North</t>
  </si>
  <si>
    <t>Berthoud West</t>
  </si>
  <si>
    <t>Berthoud Point</t>
  </si>
  <si>
    <t>Berthoud East</t>
  </si>
  <si>
    <t>Fort Collins</t>
  </si>
  <si>
    <t>N. Linden</t>
  </si>
  <si>
    <t>FC Visitor Center</t>
  </si>
  <si>
    <t>Edora Park</t>
  </si>
  <si>
    <t>Country Club</t>
  </si>
  <si>
    <t>Hemlock</t>
  </si>
  <si>
    <t>Lochside Lane</t>
  </si>
  <si>
    <t>Redwood</t>
  </si>
  <si>
    <t>Prospect Ponds</t>
  </si>
  <si>
    <t>Poudre River Trail</t>
  </si>
  <si>
    <t>Linden Lake Rd</t>
  </si>
  <si>
    <t>422 Lake Dr</t>
  </si>
  <si>
    <t>Big Horn</t>
  </si>
  <si>
    <t>Boltz</t>
  </si>
  <si>
    <t>3001 San Luis</t>
  </si>
  <si>
    <t>Willow Springs</t>
  </si>
  <si>
    <t>Fossil Creek South</t>
  </si>
  <si>
    <t>Westshore Ct</t>
  </si>
  <si>
    <t>Keeneland And Twin Oak</t>
  </si>
  <si>
    <t>Golden Meadows Ditch</t>
  </si>
  <si>
    <t>Egret and Rookery</t>
  </si>
  <si>
    <t>Springwood and Lochwood</t>
  </si>
  <si>
    <t>West Chase</t>
  </si>
  <si>
    <t>Rock Creek</t>
  </si>
  <si>
    <t>Sage Creek North</t>
  </si>
  <si>
    <t>Golden Current</t>
  </si>
  <si>
    <t>Stuart and Dorset</t>
  </si>
  <si>
    <t>Fishback</t>
  </si>
  <si>
    <t>Casa Grande and Downing</t>
  </si>
  <si>
    <t>603 Gilgalad Way</t>
  </si>
  <si>
    <t>Spring Creek Trail-- Michener Dr</t>
  </si>
  <si>
    <t>808 Ponderosa</t>
  </si>
  <si>
    <t>Holley Plant Research Center</t>
  </si>
  <si>
    <t>Red Fox Meadows</t>
  </si>
  <si>
    <t>118 S Grant</t>
  </si>
  <si>
    <t>Magic Carpet</t>
  </si>
  <si>
    <t>Ben's Park</t>
  </si>
  <si>
    <t>Chelsea Ridge</t>
  </si>
  <si>
    <t>737 Parliament</t>
  </si>
  <si>
    <t>Registry Ridge</t>
  </si>
  <si>
    <t>Water's Edge at Blue Mesa</t>
  </si>
  <si>
    <t>5029 Crest Dr</t>
  </si>
  <si>
    <t>Silvergate Rd</t>
  </si>
  <si>
    <t>Loveland</t>
  </si>
  <si>
    <t>29th and Madison</t>
  </si>
  <si>
    <t>LV-004</t>
  </si>
  <si>
    <t>Outlet Mall Apartments</t>
  </si>
  <si>
    <t>LV-066</t>
  </si>
  <si>
    <t>Horseshoe Pennninsula</t>
  </si>
  <si>
    <t>7 Lakes Park</t>
  </si>
  <si>
    <t>LV-078</t>
  </si>
  <si>
    <t>Harding and Reagan</t>
  </si>
  <si>
    <t>LV-080</t>
  </si>
  <si>
    <t>2229 Arikaree</t>
  </si>
  <si>
    <t>LV-088</t>
  </si>
  <si>
    <t>Pond at Silver Lake</t>
  </si>
  <si>
    <t>LV-093</t>
  </si>
  <si>
    <t>Boyd Lake</t>
  </si>
  <si>
    <t>Sundisk and 13E</t>
  </si>
  <si>
    <t>LV-116</t>
  </si>
  <si>
    <t>Centerra</t>
  </si>
  <si>
    <t>LV-117</t>
  </si>
  <si>
    <t>Jefferson and 11th</t>
  </si>
  <si>
    <t>LV-074</t>
  </si>
  <si>
    <t>1105 East 1st Street</t>
  </si>
  <si>
    <t>LV-077</t>
  </si>
  <si>
    <t>9th and DesMoines</t>
  </si>
  <si>
    <t>Blue Tree Realty</t>
  </si>
  <si>
    <t>LV-100</t>
  </si>
  <si>
    <t>Cr 20 and 9</t>
  </si>
  <si>
    <t>Big Thompson </t>
  </si>
  <si>
    <t>915 S Boise</t>
  </si>
  <si>
    <t>LV-112</t>
  </si>
  <si>
    <t>Springs at Marianna</t>
  </si>
  <si>
    <t>LV-113</t>
  </si>
  <si>
    <t>Golf Vista</t>
  </si>
  <si>
    <t>LV-118</t>
  </si>
  <si>
    <t>Bldg D190, 815 14th Street Southwest, Loveland, CO 80537, USA</t>
  </si>
  <si>
    <t>LV-124</t>
  </si>
  <si>
    <t>8th And No Name</t>
  </si>
  <si>
    <t>LV-125</t>
  </si>
  <si>
    <t>Jocelyn and Eagle</t>
  </si>
  <si>
    <t>LV-019</t>
  </si>
  <si>
    <t>Cattail Pond</t>
  </si>
  <si>
    <t>Linda and 26th</t>
  </si>
  <si>
    <t>LV-021</t>
  </si>
  <si>
    <t>2001 S Douglas</t>
  </si>
  <si>
    <t>LV-042</t>
  </si>
  <si>
    <t>Del Norte Private Park</t>
  </si>
  <si>
    <t>LV-067</t>
  </si>
  <si>
    <t>Derby Hill</t>
  </si>
  <si>
    <t>LV-087</t>
  </si>
  <si>
    <t>Jill Drive Pond</t>
  </si>
  <si>
    <t>LV-114</t>
  </si>
  <si>
    <t>End of City Limits North</t>
  </si>
  <si>
    <t>LV-120</t>
  </si>
  <si>
    <t>Estrella Park</t>
  </si>
  <si>
    <t>LV-014</t>
  </si>
  <si>
    <t>Farasita at Rist Benson</t>
  </si>
  <si>
    <t>LV-097</t>
  </si>
  <si>
    <t>Benson Sculpture Park</t>
  </si>
  <si>
    <t>LV-098</t>
  </si>
  <si>
    <t>Cattails Golfcourse</t>
  </si>
  <si>
    <t>LV-099</t>
  </si>
  <si>
    <t>Glen Isle Ditch</t>
  </si>
  <si>
    <t>LV-102</t>
  </si>
  <si>
    <t>West 43rd Railroad</t>
  </si>
  <si>
    <t>LV-105</t>
  </si>
  <si>
    <t>Bayfield and Windsor</t>
  </si>
  <si>
    <t>LV-121</t>
  </si>
  <si>
    <t>Fallgold</t>
  </si>
  <si>
    <t>LV-122</t>
  </si>
  <si>
    <t>Timnath</t>
  </si>
  <si>
    <t>Timnath - 5th and Kern</t>
  </si>
  <si>
    <t>TT</t>
  </si>
  <si>
    <t>LC-010</t>
  </si>
  <si>
    <t>Timnath - Golf Course</t>
  </si>
  <si>
    <t>LC-022</t>
  </si>
  <si>
    <t>Timnath - Summerfields</t>
  </si>
  <si>
    <t>LC-048</t>
  </si>
  <si>
    <t>Timnath - Wildwing</t>
  </si>
  <si>
    <t>LC-050</t>
  </si>
  <si>
    <t>Timnath - Serratoga Falls</t>
  </si>
  <si>
    <t>LC-051</t>
  </si>
  <si>
    <t>Timnath - Walmart</t>
  </si>
  <si>
    <t>LC-052</t>
  </si>
  <si>
    <t>Timnath - Trailside</t>
  </si>
  <si>
    <t>LC-057</t>
  </si>
  <si>
    <t>Boulder</t>
  </si>
  <si>
    <t>Tom Watson Park</t>
  </si>
  <si>
    <t>Sombrero Marsh</t>
  </si>
  <si>
    <t>Goose Creek</t>
  </si>
  <si>
    <t>Sawhill Ponds</t>
  </si>
  <si>
    <t>Stazio Ballfields</t>
  </si>
  <si>
    <t>FROM 009 FILE</t>
  </si>
  <si>
    <t>Corresponds to 2a</t>
  </si>
  <si>
    <t>(All)</t>
  </si>
  <si>
    <t>Row Labels</t>
  </si>
  <si>
    <t>Sum of Cx pipiens</t>
  </si>
  <si>
    <t>Sum of Cx tarsalis</t>
  </si>
  <si>
    <t>Sum of Total CX</t>
  </si>
  <si>
    <t>Grand Total</t>
  </si>
  <si>
    <t>FROM WEEKLY DATA INPUT</t>
  </si>
  <si>
    <t>Corresponds to 3a</t>
  </si>
  <si>
    <t>Sum of Total</t>
  </si>
  <si>
    <t>Column Labels</t>
  </si>
  <si>
    <t>pipiens</t>
  </si>
  <si>
    <t>tarsalis</t>
  </si>
  <si>
    <t>Count of CSU Pool Number     (CMC enters)</t>
  </si>
  <si>
    <t>Sum of Test code (CSU enters)</t>
  </si>
  <si>
    <t>Count of CSU Pool</t>
  </si>
  <si>
    <t>CITY</t>
  </si>
  <si>
    <t>SPECIES</t>
  </si>
  <si>
    <t>Cx. pipiens</t>
  </si>
  <si>
    <t>Cx. tarsalis</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</si>
  <si>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</si>
  <si>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</si>
  <si>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</si>
  <si>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</si>
  <si>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</si>
  <si>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</si>
  <si>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Week: 26</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</si>
  <si>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</si>
  <si>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</si>
  <si>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</si>
  <si>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</si>
  <si>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</si>
  <si>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</si>
  <si>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</si>
  <si>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</si>
  <si>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</si>
  <si>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</si>
  <si>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</si>
  <si>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 xml:space="preserve">Week </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</si>
  <si>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</si>
  <si>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</si>
  <si>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</si>
  <si>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</si>
  <si>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</si>
  <si>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</si>
  <si>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</si>
  <si>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</si>
  <si>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</si>
  <si>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</si>
  <si>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</si>
  <si>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</si>
  <si>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</si>
  <si>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</si>
  <si>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</si>
  <si>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</si>
  <si>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</si>
  <si>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</si>
  <si>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</si>
  <si>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Graph 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</si>
</sst>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8"/>
      <color rgb="FF000000"/>
      <name val="Arial"/>
      <family val="2"/>
    </font>
    <font>
      <sz val="10"/>
      <color rgb="FF000000"/>
      <name val="Helvetica Neue"/>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
      <patternFill patternType="solid">
        <fgColor rgb="FFFFC00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27">
    <xf numFmtId="0" fontId="0" fillId="0" borderId="0" xfId="0"/>
    <xf numFmtId="0" fontId="0" fillId="0" borderId="0" xfId="0" applyAlignment="1">
      <alignment horizontal="left"/>
    </xf>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0" borderId="15" xfId="0" applyFont="1" applyBorder="1" applyAlignment="1">
      <alignmen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2" fontId="8" fillId="0" borderId="3" xfId="0" applyNumberFormat="1" applyFont="1" applyBorder="1" applyAlignment="1">
      <alignment horizontal="right" vertical="center" wrapText="1"/>
    </xf>
    <xf numFmtId="14" fontId="0" fillId="0" borderId="0" xfId="0" applyNumberFormat="1"/>
    <xf numFmtId="169" fontId="0" fillId="0" borderId="0" xfId="0" applyNumberFormat="1"/>
    <xf numFmtId="0" fontId="0" fillId="0" borderId="0" xfId="0" applyAlignment="1">
      <alignment horizontal="right"/>
    </xf>
    <xf numFmtId="0" fontId="12" fillId="2" borderId="16" xfId="0" applyFont="1" applyFill="1" applyBorder="1" applyAlignment="1">
      <alignment horizontal="left"/>
    </xf>
    <xf numFmtId="0" fontId="12" fillId="2" borderId="16" xfId="0" applyFont="1" applyFill="1" applyBorder="1"/>
    <xf numFmtId="0" fontId="19" fillId="0" borderId="13" xfId="0" applyFont="1" applyBorder="1" applyAlignment="1">
      <alignment horizontal="right" wrapText="1"/>
    </xf>
    <xf numFmtId="49" fontId="19" fillId="0" borderId="13" xfId="0" applyNumberFormat="1" applyFont="1" applyBorder="1" applyAlignment="1">
      <alignment horizontal="left" wrapText="1"/>
    </xf>
    <xf numFmtId="0" fontId="17" fillId="0" borderId="13" xfId="0" applyFont="1" applyBorder="1" applyAlignment="1">
      <alignment horizontal="right"/>
    </xf>
    <xf numFmtId="0" fontId="19" fillId="0" borderId="13" xfId="0" applyFont="1" applyBorder="1" applyAlignment="1">
      <alignment horizontal="right" vertical="top"/>
    </xf>
    <xf numFmtId="164" fontId="17" fillId="0" borderId="13" xfId="0" applyNumberFormat="1" applyFont="1" applyBorder="1"/>
    <xf numFmtId="0" fontId="19" fillId="0" borderId="13" xfId="0" applyFont="1" applyBorder="1" applyAlignment="1">
      <alignment horizontal="left" wrapText="1"/>
    </xf>
    <xf numFmtId="0" fontId="19" fillId="0" borderId="13" xfId="0" applyFont="1" applyBorder="1" applyAlignment="1">
      <alignment horizontal="left" vertical="top"/>
    </xf>
    <xf numFmtId="0" fontId="19" fillId="0" borderId="13" xfId="0" applyFont="1" applyBorder="1" applyAlignment="1">
      <alignment vertical="top"/>
    </xf>
    <xf numFmtId="0" fontId="17" fillId="0" borderId="13" xfId="0" applyFont="1" applyBorder="1"/>
    <xf numFmtId="0" fontId="17" fillId="0" borderId="15" xfId="0" applyFont="1" applyBorder="1"/>
    <xf numFmtId="0" fontId="20" fillId="0" borderId="0" xfId="0" applyFont="1"/>
    <xf numFmtId="2" fontId="2" fillId="0" borderId="8" xfId="0" applyNumberFormat="1" applyFont="1" applyBorder="1" applyAlignment="1">
      <alignment horizontal="right" vertical="center" wrapText="1"/>
    </xf>
    <xf numFmtId="14" fontId="20" fillId="0" borderId="0" xfId="0" applyNumberFormat="1" applyFont="1"/>
    <xf numFmtId="0" fontId="14" fillId="7" borderId="13" xfId="0" applyFont="1" applyFill="1" applyBorder="1" applyAlignment="1">
      <alignment vertical="center"/>
    </xf>
    <xf numFmtId="0" fontId="14" fillId="7" borderId="13" xfId="0" applyFont="1" applyFill="1" applyBorder="1" applyAlignment="1">
      <alignment horizontal="left" vertical="center"/>
    </xf>
    <xf numFmtId="0" fontId="17" fillId="7" borderId="13" xfId="0" applyFont="1" applyFill="1" applyBorder="1" applyAlignment="1">
      <alignment horizontal="right"/>
    </xf>
    <xf numFmtId="0" fontId="14" fillId="7" borderId="13" xfId="0" applyFont="1" applyFill="1" applyBorder="1" applyAlignment="1">
      <alignment horizontal="right" vertical="center"/>
    </xf>
    <xf numFmtId="164" fontId="17" fillId="7" borderId="13" xfId="0" applyNumberFormat="1" applyFont="1" applyFill="1" applyBorder="1"/>
    <xf numFmtId="0" fontId="17" fillId="7" borderId="13" xfId="0" applyFont="1" applyFill="1" applyBorder="1"/>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07.460246759256" createdVersion="8" refreshedVersion="8" minRefreshableVersion="3" recordCount="144" xr:uid="{FE241DC4-57B5-C84E-BD74-CEDC05A050E9}">
  <cacheSource type="worksheet">
    <worksheetSource ref="A1:K145" sheet="Weekly 009 input"/>
  </cacheSource>
  <cacheFields count="11">
    <cacheField name="Week" numFmtId="0">
      <sharedItems containsSemiMixedTypes="0" containsString="0" containsNumber="1" containsInteger="1" minValue="26" maxValue="26" count="1">
        <n v="26"/>
      </sharedItems>
    </cacheField>
    <cacheField name="Trap Date" numFmtId="14">
      <sharedItems containsSemiMixedTypes="0" containsNonDate="0" containsDate="1" containsString="0" minDate="2023-06-25T00:00:00" maxDate="2023-06-29T00:00:00"/>
    </cacheField>
    <cacheField name="Contract" numFmtId="0">
      <sharedItems/>
    </cacheField>
    <cacheField name="Location" numFmtId="0">
      <sharedItems/>
    </cacheField>
    <cacheField name="Zone" numFmtId="0">
      <sharedItems count="8">
        <s v="BE"/>
        <s v="NE"/>
        <s v="NW"/>
        <s v="SE"/>
        <s v="SW"/>
        <s v="LV"/>
        <s v="TT"/>
        <s v="BC"/>
      </sharedItems>
    </cacheField>
    <cacheField name="Species" numFmtId="0">
      <sharedItems/>
    </cacheField>
    <cacheField name="Total CX" numFmtId="0">
      <sharedItems containsSemiMixedTypes="0" containsString="0" containsNumber="1" containsInteger="1" minValue="1" maxValue="1815"/>
    </cacheField>
    <cacheField name="Type" numFmtId="0">
      <sharedItems/>
    </cacheField>
    <cacheField name="Trap Number" numFmtId="0">
      <sharedItems/>
    </cacheField>
    <cacheField name="Cx tarsalis" numFmtId="0">
      <sharedItems containsSemiMixedTypes="0" containsString="0" containsNumber="1" containsInteger="1" minValue="0" maxValue="1815"/>
    </cacheField>
    <cacheField name="Cx pipiens" numFmtId="0">
      <sharedItems containsSemiMixedTypes="0" containsString="0" containsNumber="1" containsInteger="1" minValue="0" maxValue="6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07.555027083334" createdVersion="6" refreshedVersion="6" minRefreshableVersion="3" recordCount="249" xr:uid="{C37B2B94-DAF0-4A32-8915-E2952C2B0C72}">
  <cacheSource type="worksheet">
    <worksheetSource ref="A1:R250" sheet="Weekly Data Input"/>
  </cacheSource>
  <cacheFields count="18">
    <cacheField name="Year" numFmtId="0">
      <sharedItems containsSemiMixedTypes="0" containsString="0" containsNumber="1" containsInteger="1" minValue="2023" maxValue="2023"/>
    </cacheField>
    <cacheField name="CSU Pool Number     (CMC enters)" numFmtId="0">
      <sharedItems/>
    </cacheField>
    <cacheField name="IDA Pool (CSU enters, leave blank)" numFmtId="0">
      <sharedItems containsMixedTypes="1" containsNumber="1" containsInteger="1" minValue="29060" maxValue="29303"/>
    </cacheField>
    <cacheField name="Week" numFmtId="0">
      <sharedItems containsSemiMixedTypes="0" containsString="0" containsNumber="1" containsInteger="1" minValue="26" maxValue="26" count="1">
        <n v="26"/>
      </sharedItems>
    </cacheField>
    <cacheField name="Trap Date" numFmtId="164">
      <sharedItems containsSemiMixedTypes="0" containsNonDate="0" containsDate="1" containsString="0" minDate="2023-06-26T00:00:00" maxDate="2023-06-30T00:00:00" count="4">
        <d v="2023-06-26T00:00:00"/>
        <d v="2023-06-27T00:00:00"/>
        <d v="2023-06-28T00:00:00"/>
        <d v="2023-06-29T00:00:00"/>
      </sharedItems>
    </cacheField>
    <cacheField name="County" numFmtId="0">
      <sharedItems/>
    </cacheField>
    <cacheField name="Account" numFmtId="0">
      <sharedItems/>
    </cacheField>
    <cacheField name="Collection Site (Trap ID)" numFmtId="0">
      <sharedItems/>
    </cacheField>
    <cacheField name="Zone" numFmtId="0">
      <sharedItems count="7">
        <s v="LV"/>
        <s v="NE"/>
        <s v="NW"/>
        <s v="SE"/>
        <s v="SW"/>
        <s v="BE"/>
        <s v="BC"/>
      </sharedItems>
    </cacheField>
    <cacheField name="Method (Light or Gravid)" numFmtId="0">
      <sharedItems/>
    </cacheField>
    <cacheField name="Genus" numFmtId="0">
      <sharedItems/>
    </cacheField>
    <cacheField name="Spp" numFmtId="0">
      <sharedItems count="3">
        <s v="Tarsalis"/>
        <s v="Pipiens"/>
        <s v="Tarsalis " u="1"/>
      </sharedItems>
    </cacheField>
    <cacheField name="Sex" numFmtId="0">
      <sharedItems/>
    </cacheField>
    <cacheField name="No. Gravid" numFmtId="0">
      <sharedItems containsString="0" containsBlank="1" containsNumber="1" containsInteger="1" minValue="1" maxValue="29"/>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x v="0"/>
    <d v="2023-06-27T00:00:00"/>
    <s v="Berthoud"/>
    <s v="Berthoud Park"/>
    <x v="0"/>
    <s v="Culex tarsalis"/>
    <n v="370"/>
    <s v="CDC Light Trap"/>
    <s v="LC-001"/>
    <n v="370"/>
    <n v="0"/>
  </r>
  <r>
    <x v="0"/>
    <d v="2023-06-27T00:00:00"/>
    <s v="Berthoud"/>
    <s v="Berthoud Park"/>
    <x v="0"/>
    <s v="Culex pipiens"/>
    <n v="4"/>
    <s v="CDC Light Trap"/>
    <s v="LC-001"/>
    <n v="0"/>
    <n v="4"/>
  </r>
  <r>
    <x v="0"/>
    <d v="2023-06-27T00:00:00"/>
    <s v="Berthoud"/>
    <s v="Berthoud Park"/>
    <x v="0"/>
    <s v="Culex tarsalis"/>
    <n v="150"/>
    <s v="CDC Light Trap"/>
    <s v="LC-001"/>
    <n v="150"/>
    <n v="0"/>
  </r>
  <r>
    <x v="0"/>
    <d v="2023-06-27T00:00:00"/>
    <s v="Berthoud"/>
    <s v="Berthoud North"/>
    <x v="0"/>
    <s v="Culex tarsalis"/>
    <n v="138"/>
    <s v="CDC Light Trap"/>
    <s v="LC-049"/>
    <n v="138"/>
    <n v="0"/>
  </r>
  <r>
    <x v="0"/>
    <d v="2023-06-27T00:00:00"/>
    <s v="Berthoud"/>
    <s v="Berthoud North"/>
    <x v="0"/>
    <s v="Culex tarsalis"/>
    <n v="46"/>
    <s v="CDC Light Trap"/>
    <s v="LC-049"/>
    <n v="46"/>
    <n v="0"/>
  </r>
  <r>
    <x v="0"/>
    <d v="2023-06-27T00:00:00"/>
    <s v="Berthoud"/>
    <s v="Berthoud West"/>
    <x v="0"/>
    <s v="Culex tarsalis"/>
    <n v="150"/>
    <s v="CDC Light Trap"/>
    <s v="LC-053"/>
    <n v="150"/>
    <n v="0"/>
  </r>
  <r>
    <x v="0"/>
    <d v="2023-06-27T00:00:00"/>
    <s v="Berthoud"/>
    <s v="Berthoud West"/>
    <x v="0"/>
    <s v="Culex tarsalis"/>
    <n v="1050"/>
    <s v="CDC Light Trap"/>
    <s v="LC-053"/>
    <n v="1050"/>
    <n v="0"/>
  </r>
  <r>
    <x v="0"/>
    <d v="2023-06-27T00:00:00"/>
    <s v="Berthoud"/>
    <s v="Berthoud Point"/>
    <x v="0"/>
    <s v="Culex pipiens"/>
    <n v="1"/>
    <s v="CDC Light Trap"/>
    <s v="LC-054"/>
    <n v="0"/>
    <n v="1"/>
  </r>
  <r>
    <x v="0"/>
    <d v="2023-06-27T00:00:00"/>
    <s v="Berthoud"/>
    <s v="Berthoud Point"/>
    <x v="0"/>
    <s v="Culex tarsalis"/>
    <n v="1815"/>
    <s v="CDC Light Trap"/>
    <s v="LC-054"/>
    <n v="1815"/>
    <n v="0"/>
  </r>
  <r>
    <x v="0"/>
    <d v="2023-06-27T00:00:00"/>
    <s v="Berthoud"/>
    <s v="Berthoud Point"/>
    <x v="0"/>
    <s v="Culex pipiens"/>
    <n v="15"/>
    <s v="CDC Light Trap"/>
    <s v="LC-054"/>
    <n v="0"/>
    <n v="15"/>
  </r>
  <r>
    <x v="0"/>
    <d v="2023-06-27T00:00:00"/>
    <s v="Berthoud"/>
    <s v="Berthoud Point"/>
    <x v="0"/>
    <s v="Culex tarsalis"/>
    <n v="121"/>
    <s v="CDC Light Trap"/>
    <s v="LC-054"/>
    <n v="121"/>
    <n v="0"/>
  </r>
  <r>
    <x v="0"/>
    <d v="2023-06-27T00:00:00"/>
    <s v="Berthoud"/>
    <s v="Berthoud East"/>
    <x v="0"/>
    <s v="Culex tarsalis"/>
    <n v="234"/>
    <s v="CDC Light Trap"/>
    <s v="WC-055"/>
    <n v="234"/>
    <n v="0"/>
  </r>
  <r>
    <x v="0"/>
    <d v="2023-06-27T00:00:00"/>
    <s v="Berthoud"/>
    <s v="Berthoud East"/>
    <x v="0"/>
    <s v="Culex tarsalis"/>
    <n v="150"/>
    <s v="CDC Light Trap"/>
    <s v="WC-055"/>
    <n v="150"/>
    <n v="0"/>
  </r>
  <r>
    <x v="0"/>
    <d v="2023-06-25T00:00:00"/>
    <s v="Fort Collins"/>
    <s v="N. Linden"/>
    <x v="1"/>
    <s v="Culex tarsalis"/>
    <n v="118"/>
    <s v="CDC Light Trap"/>
    <s v="FC-006"/>
    <n v="118"/>
    <n v="0"/>
  </r>
  <r>
    <x v="0"/>
    <d v="2023-06-25T00:00:00"/>
    <s v="Fort Collins"/>
    <s v="N. Linden"/>
    <x v="1"/>
    <s v="Culex pipiens"/>
    <n v="23"/>
    <s v="CDC Light Trap"/>
    <s v="FC-006"/>
    <n v="0"/>
    <n v="23"/>
  </r>
  <r>
    <x v="0"/>
    <d v="2023-06-25T00:00:00"/>
    <s v="Fort Collins"/>
    <s v="FC Visitor Center"/>
    <x v="1"/>
    <s v="Culex pipiens"/>
    <n v="11"/>
    <s v="CDC Light Trap"/>
    <s v="FC-014"/>
    <n v="0"/>
    <n v="11"/>
  </r>
  <r>
    <x v="0"/>
    <d v="2023-06-25T00:00:00"/>
    <s v="Fort Collins"/>
    <s v="FC Visitor Center"/>
    <x v="1"/>
    <s v="Culex tarsalis"/>
    <n v="161"/>
    <s v="CDC Light Trap"/>
    <s v="FC-014"/>
    <n v="161"/>
    <n v="0"/>
  </r>
  <r>
    <x v="0"/>
    <d v="2023-06-25T00:00:00"/>
    <s v="Fort Collins"/>
    <s v="Edora Park"/>
    <x v="1"/>
    <s v="Culex pipiens"/>
    <n v="4"/>
    <s v="CDC Light Trap"/>
    <s v="FC-019"/>
    <n v="0"/>
    <n v="4"/>
  </r>
  <r>
    <x v="0"/>
    <d v="2023-06-25T00:00:00"/>
    <s v="Fort Collins"/>
    <s v="Edora Park"/>
    <x v="1"/>
    <s v="Culex tarsalis"/>
    <n v="76"/>
    <s v="CDC Light Trap"/>
    <s v="FC-019"/>
    <n v="76"/>
    <n v="0"/>
  </r>
  <r>
    <x v="0"/>
    <d v="2023-06-25T00:00:00"/>
    <s v="Fort Collins"/>
    <s v="Country Club"/>
    <x v="1"/>
    <s v="Culex tarsalis"/>
    <n v="169"/>
    <s v="CDC Light Trap"/>
    <s v="FC-034"/>
    <n v="169"/>
    <n v="0"/>
  </r>
  <r>
    <x v="0"/>
    <d v="2023-06-25T00:00:00"/>
    <s v="Fort Collins"/>
    <s v="Hemlock"/>
    <x v="2"/>
    <s v="Culex tarsalis"/>
    <n v="59"/>
    <s v="CDC Light Trap"/>
    <s v="FC-036"/>
    <n v="59"/>
    <n v="0"/>
  </r>
  <r>
    <x v="0"/>
    <d v="2023-06-25T00:00:00"/>
    <s v="Fort Collins"/>
    <s v="Lochside Lane"/>
    <x v="1"/>
    <s v="Culex tarsalis"/>
    <n v="86"/>
    <s v="CDC Light Trap"/>
    <s v="FC-038"/>
    <n v="86"/>
    <n v="0"/>
  </r>
  <r>
    <x v="0"/>
    <d v="2023-06-25T00:00:00"/>
    <s v="Fort Collins"/>
    <s v="Redwood"/>
    <x v="1"/>
    <s v="Culex tarsalis"/>
    <n v="147"/>
    <s v="CDC Light Trap"/>
    <s v="FC-040"/>
    <n v="147"/>
    <n v="0"/>
  </r>
  <r>
    <x v="0"/>
    <d v="2023-06-25T00:00:00"/>
    <s v="Fort Collins"/>
    <s v="Redwood"/>
    <x v="1"/>
    <s v="Culex pipiens"/>
    <n v="11"/>
    <s v="CDC Light Trap"/>
    <s v="FC-040"/>
    <n v="0"/>
    <n v="11"/>
  </r>
  <r>
    <x v="0"/>
    <d v="2023-06-25T00:00:00"/>
    <s v="Fort Collins"/>
    <s v="Prospect Ponds"/>
    <x v="1"/>
    <s v="Culex tarsalis"/>
    <n v="120"/>
    <s v="CDC Light Trap"/>
    <s v="FC-066"/>
    <n v="120"/>
    <n v="0"/>
  </r>
  <r>
    <x v="0"/>
    <d v="2023-06-25T00:00:00"/>
    <s v="Fort Collins"/>
    <s v="Prospect Ponds"/>
    <x v="1"/>
    <s v="Culex pipiens"/>
    <n v="30"/>
    <s v="CDC Light Trap"/>
    <s v="FC-066"/>
    <n v="0"/>
    <n v="30"/>
  </r>
  <r>
    <x v="0"/>
    <d v="2023-06-25T00:00:00"/>
    <s v="Fort Collins"/>
    <s v="Poudre River Trail"/>
    <x v="1"/>
    <s v="Culex tarsalis"/>
    <n v="29"/>
    <s v="CDC Light Trap"/>
    <s v="FC-067"/>
    <n v="29"/>
    <n v="0"/>
  </r>
  <r>
    <x v="0"/>
    <d v="2023-06-25T00:00:00"/>
    <s v="Fort Collins"/>
    <s v="Poudre River Trail"/>
    <x v="1"/>
    <s v="Culex pipiens"/>
    <n v="4"/>
    <s v="CDC Light Trap"/>
    <s v="FC-067"/>
    <n v="0"/>
    <n v="4"/>
  </r>
  <r>
    <x v="0"/>
    <d v="2023-06-25T00:00:00"/>
    <s v="Fort Collins"/>
    <s v="Linden Lake Rd"/>
    <x v="1"/>
    <s v="Culex pipiens"/>
    <n v="1"/>
    <s v="CDC Light Trap"/>
    <s v="FC-069"/>
    <n v="0"/>
    <n v="1"/>
  </r>
  <r>
    <x v="0"/>
    <d v="2023-06-25T00:00:00"/>
    <s v="Fort Collins"/>
    <s v="Linden Lake Rd"/>
    <x v="1"/>
    <s v="Culex tarsalis"/>
    <n v="67"/>
    <s v="CDC Light Trap"/>
    <s v="FC-069"/>
    <n v="67"/>
    <n v="0"/>
  </r>
  <r>
    <x v="0"/>
    <d v="2023-06-25T00:00:00"/>
    <s v="Fort Collins"/>
    <s v="422 Lake Dr"/>
    <x v="1"/>
    <s v="Culex pipiens"/>
    <n v="16"/>
    <s v="CDC Light Trap"/>
    <s v="FC-072"/>
    <n v="0"/>
    <n v="16"/>
  </r>
  <r>
    <x v="0"/>
    <d v="2023-06-25T00:00:00"/>
    <s v="Fort Collins"/>
    <s v="422 Lake Dr"/>
    <x v="1"/>
    <s v="Culex tarsalis"/>
    <n v="212"/>
    <s v="CDC Light Trap"/>
    <s v="FC-072"/>
    <n v="212"/>
    <n v="0"/>
  </r>
  <r>
    <x v="0"/>
    <d v="2023-06-26T00:00:00"/>
    <s v="Fort Collins"/>
    <s v="Big Horn"/>
    <x v="3"/>
    <s v="Culex pipiens"/>
    <n v="3"/>
    <s v="CDC Light Trap"/>
    <s v="FC-004"/>
    <n v="0"/>
    <n v="3"/>
  </r>
  <r>
    <x v="0"/>
    <d v="2023-06-26T00:00:00"/>
    <s v="Fort Collins"/>
    <s v="Big Horn"/>
    <x v="3"/>
    <s v="Culex tarsalis"/>
    <n v="212"/>
    <s v="CDC Light Trap"/>
    <s v="FC-004"/>
    <n v="212"/>
    <n v="0"/>
  </r>
  <r>
    <x v="0"/>
    <d v="2023-06-26T00:00:00"/>
    <s v="Fort Collins"/>
    <s v="Boltz"/>
    <x v="3"/>
    <s v="Culex tarsalis"/>
    <n v="93"/>
    <s v="CDC Light Trap"/>
    <s v="FC-023"/>
    <n v="93"/>
    <n v="0"/>
  </r>
  <r>
    <x v="0"/>
    <d v="2023-06-26T00:00:00"/>
    <s v="Fort Collins"/>
    <s v="3001 San Luis"/>
    <x v="3"/>
    <s v="Culex pipiens"/>
    <n v="14"/>
    <s v="CDC Light Trap"/>
    <s v="FC-027"/>
    <n v="0"/>
    <n v="14"/>
  </r>
  <r>
    <x v="0"/>
    <d v="2023-06-26T00:00:00"/>
    <s v="Fort Collins"/>
    <s v="3001 San Luis"/>
    <x v="3"/>
    <s v="Culex tarsalis"/>
    <n v="246"/>
    <s v="CDC Light Trap"/>
    <s v="FC-027"/>
    <n v="246"/>
    <n v="0"/>
  </r>
  <r>
    <x v="0"/>
    <d v="2023-06-26T00:00:00"/>
    <s v="Fort Collins"/>
    <s v="Willow Springs"/>
    <x v="3"/>
    <s v="Culex tarsalis"/>
    <n v="350"/>
    <s v="CDC Light Trap"/>
    <s v="FC-031"/>
    <n v="350"/>
    <n v="0"/>
  </r>
  <r>
    <x v="0"/>
    <d v="2023-06-26T00:00:00"/>
    <s v="Fort Collins"/>
    <s v="Fossil Creek South"/>
    <x v="3"/>
    <s v="Culex tarsalis"/>
    <n v="54"/>
    <s v="CDC Light Trap"/>
    <s v="FC-039"/>
    <n v="54"/>
    <n v="0"/>
  </r>
  <r>
    <x v="0"/>
    <d v="2023-06-26T00:00:00"/>
    <s v="Fort Collins"/>
    <s v="Westshore Ct"/>
    <x v="3"/>
    <s v="Culex pipiens"/>
    <n v="6"/>
    <s v="CDC Light Trap"/>
    <s v="FC-046"/>
    <n v="0"/>
    <n v="6"/>
  </r>
  <r>
    <x v="0"/>
    <d v="2023-06-26T00:00:00"/>
    <s v="Fort Collins"/>
    <s v="Westshore Ct"/>
    <x v="3"/>
    <s v="Culex tarsalis"/>
    <n v="128"/>
    <s v="CDC Light Trap"/>
    <s v="FC-046"/>
    <n v="128"/>
    <n v="0"/>
  </r>
  <r>
    <x v="0"/>
    <d v="2023-06-26T00:00:00"/>
    <s v="Fort Collins"/>
    <s v="Keeneland And Twin Oak"/>
    <x v="3"/>
    <s v="Culex tarsalis"/>
    <n v="53"/>
    <s v="CDC Light Trap"/>
    <s v="FC-047"/>
    <n v="53"/>
    <n v="0"/>
  </r>
  <r>
    <x v="0"/>
    <d v="2023-06-26T00:00:00"/>
    <s v="Fort Collins"/>
    <s v="Golden Meadows Ditch"/>
    <x v="3"/>
    <s v="Culex tarsalis"/>
    <n v="55"/>
    <s v="CDC Light Trap"/>
    <s v="FC-050"/>
    <n v="55"/>
    <n v="0"/>
  </r>
  <r>
    <x v="0"/>
    <d v="2023-06-26T00:00:00"/>
    <s v="Fort Collins"/>
    <s v="Egret and Rookery"/>
    <x v="3"/>
    <s v="Culex tarsalis"/>
    <n v="51"/>
    <s v="CDC Light Trap"/>
    <s v="FC-053"/>
    <n v="51"/>
    <n v="0"/>
  </r>
  <r>
    <x v="0"/>
    <d v="2023-06-26T00:00:00"/>
    <s v="Fort Collins"/>
    <s v="Springwood and Lochwood"/>
    <x v="3"/>
    <s v="Culex tarsalis"/>
    <n v="152"/>
    <s v="CDC Light Trap"/>
    <s v="FC-059"/>
    <n v="152"/>
    <n v="0"/>
  </r>
  <r>
    <x v="0"/>
    <d v="2023-06-26T00:00:00"/>
    <s v="Fort Collins"/>
    <s v="Springwood and Lochwood"/>
    <x v="3"/>
    <s v="Culex pipiens"/>
    <n v="4"/>
    <s v="CDC Light Trap"/>
    <s v="FC-059"/>
    <n v="0"/>
    <n v="4"/>
  </r>
  <r>
    <x v="0"/>
    <d v="2023-06-26T00:00:00"/>
    <s v="Fort Collins"/>
    <s v="West Chase"/>
    <x v="3"/>
    <s v="Culex tarsalis"/>
    <n v="610"/>
    <s v="CDC Light Trap"/>
    <s v="FC-064"/>
    <n v="610"/>
    <n v="0"/>
  </r>
  <r>
    <x v="0"/>
    <d v="2023-06-26T00:00:00"/>
    <s v="Fort Collins"/>
    <s v="West Chase"/>
    <x v="3"/>
    <s v="Culex pipiens"/>
    <n v="18"/>
    <s v="CDC Light Trap"/>
    <s v="FC-064"/>
    <n v="0"/>
    <n v="18"/>
  </r>
  <r>
    <x v="0"/>
    <d v="2023-06-26T00:00:00"/>
    <s v="Fort Collins"/>
    <s v="Rock Creek"/>
    <x v="3"/>
    <s v="Culex tarsalis"/>
    <n v="336"/>
    <s v="CDC Light Trap"/>
    <s v="FC-074"/>
    <n v="336"/>
    <n v="0"/>
  </r>
  <r>
    <x v="0"/>
    <d v="2023-06-26T00:00:00"/>
    <s v="Fort Collins"/>
    <s v="Sage Creek North"/>
    <x v="3"/>
    <s v="Culex tarsalis"/>
    <n v="271"/>
    <s v="CDC Light Trap"/>
    <s v="FC-075"/>
    <n v="271"/>
    <n v="0"/>
  </r>
  <r>
    <x v="0"/>
    <d v="2023-06-26T00:00:00"/>
    <s v="Fort Collins"/>
    <s v="Sage Creek North"/>
    <x v="3"/>
    <s v="Culex pipiens"/>
    <n v="20"/>
    <s v="CDC Light Trap"/>
    <s v="FC-075"/>
    <n v="0"/>
    <n v="20"/>
  </r>
  <r>
    <x v="0"/>
    <d v="2023-06-27T00:00:00"/>
    <s v="Fort Collins"/>
    <s v="Golden Current"/>
    <x v="2"/>
    <s v="Culex pipiens"/>
    <n v="1"/>
    <s v="CDC Light Trap"/>
    <s v="FC-011"/>
    <n v="0"/>
    <n v="1"/>
  </r>
  <r>
    <x v="0"/>
    <d v="2023-06-27T00:00:00"/>
    <s v="Fort Collins"/>
    <s v="Golden Current"/>
    <x v="2"/>
    <s v="Culex tarsalis"/>
    <n v="10"/>
    <s v="CDC Light Trap"/>
    <s v="FC-011"/>
    <n v="10"/>
    <n v="0"/>
  </r>
  <r>
    <x v="0"/>
    <d v="2023-06-27T00:00:00"/>
    <s v="Fort Collins"/>
    <s v="Stuart and Dorset"/>
    <x v="2"/>
    <s v="Culex tarsalis"/>
    <n v="27"/>
    <s v="CDC Light Trap"/>
    <s v="FC-015"/>
    <n v="27"/>
    <n v="0"/>
  </r>
  <r>
    <x v="0"/>
    <d v="2023-06-27T00:00:00"/>
    <s v="Fort Collins"/>
    <s v="Fishback"/>
    <x v="2"/>
    <s v="Culex pipiens"/>
    <n v="17"/>
    <s v="CDC Light Trap"/>
    <s v="FC-041"/>
    <n v="0"/>
    <n v="17"/>
  </r>
  <r>
    <x v="0"/>
    <d v="2023-06-27T00:00:00"/>
    <s v="Fort Collins"/>
    <s v="Fishback"/>
    <x v="2"/>
    <s v="Culex tarsalis"/>
    <n v="452"/>
    <s v="CDC Light Trap"/>
    <s v="FC-041"/>
    <n v="452"/>
    <n v="0"/>
  </r>
  <r>
    <x v="0"/>
    <d v="2023-06-27T00:00:00"/>
    <s v="Fort Collins"/>
    <s v="Casa Grande and Downing"/>
    <x v="4"/>
    <s v="Culex tarsalis"/>
    <n v="67"/>
    <s v="CDC Light Trap"/>
    <s v="FC-049"/>
    <n v="67"/>
    <n v="0"/>
  </r>
  <r>
    <x v="0"/>
    <d v="2023-06-27T00:00:00"/>
    <s v="Fort Collins"/>
    <s v="603 Gilgalad Way"/>
    <x v="2"/>
    <s v="Culex tarsalis"/>
    <n v="91"/>
    <s v="CDC Light Trap"/>
    <s v="FC-052"/>
    <n v="91"/>
    <n v="0"/>
  </r>
  <r>
    <x v="0"/>
    <d v="2023-06-27T00:00:00"/>
    <s v="Fort Collins"/>
    <s v="603 Gilgalad Way"/>
    <x v="2"/>
    <s v="Culex pipiens"/>
    <n v="1"/>
    <s v="CDC Light Trap"/>
    <s v="FC-052"/>
    <n v="0"/>
    <n v="1"/>
  </r>
  <r>
    <x v="0"/>
    <d v="2023-06-27T00:00:00"/>
    <s v="Fort Collins"/>
    <s v="Spring Creek Trail-- Michener Dr"/>
    <x v="4"/>
    <s v="Culex tarsalis"/>
    <n v="11"/>
    <s v="CDC Light Trap"/>
    <s v="FC-058"/>
    <n v="11"/>
    <n v="0"/>
  </r>
  <r>
    <x v="0"/>
    <d v="2023-06-27T00:00:00"/>
    <s v="Fort Collins"/>
    <s v="808 Ponderosa"/>
    <x v="2"/>
    <s v="Culex tarsalis"/>
    <n v="30"/>
    <s v="CDC Light Trap"/>
    <s v="FC-060"/>
    <n v="30"/>
    <n v="0"/>
  </r>
  <r>
    <x v="0"/>
    <d v="2023-06-27T00:00:00"/>
    <s v="Fort Collins"/>
    <s v="808 Ponderosa"/>
    <x v="2"/>
    <s v="Culex pipiens"/>
    <n v="2"/>
    <s v="CDC Light Trap"/>
    <s v="FC-060"/>
    <n v="0"/>
    <n v="2"/>
  </r>
  <r>
    <x v="0"/>
    <d v="2023-06-27T00:00:00"/>
    <s v="Fort Collins"/>
    <s v="Holley Plant Research Center"/>
    <x v="2"/>
    <s v="Culex tarsalis"/>
    <n v="179"/>
    <s v="CDC Light Trap"/>
    <s v="FC-061"/>
    <n v="179"/>
    <n v="0"/>
  </r>
  <r>
    <x v="0"/>
    <d v="2023-06-27T00:00:00"/>
    <s v="Fort Collins"/>
    <s v="Red Fox Meadows"/>
    <x v="2"/>
    <s v="Culex tarsalis"/>
    <n v="11"/>
    <s v="CDC Light Trap"/>
    <s v="FC-063"/>
    <n v="11"/>
    <n v="0"/>
  </r>
  <r>
    <x v="0"/>
    <d v="2023-06-27T00:00:00"/>
    <s v="Fort Collins"/>
    <s v="118 S Grant"/>
    <x v="2"/>
    <s v="Culex pipiens"/>
    <n v="9"/>
    <s v="CDC Light Trap"/>
    <s v="FC-073"/>
    <n v="0"/>
    <n v="9"/>
  </r>
  <r>
    <x v="0"/>
    <d v="2023-06-27T00:00:00"/>
    <s v="Fort Collins"/>
    <s v="118 S Grant"/>
    <x v="2"/>
    <s v="Culex tarsalis"/>
    <n v="251"/>
    <s v="CDC Light Trap"/>
    <s v="FC-073"/>
    <n v="251"/>
    <n v="0"/>
  </r>
  <r>
    <x v="0"/>
    <d v="2023-06-28T00:00:00"/>
    <s v="Fort Collins"/>
    <s v="Magic Carpet"/>
    <x v="4"/>
    <s v="Culex tarsalis"/>
    <n v="149"/>
    <s v="CDC Light Trap"/>
    <s v="FC-001"/>
    <n v="149"/>
    <n v="0"/>
  </r>
  <r>
    <x v="0"/>
    <d v="2023-06-28T00:00:00"/>
    <s v="Fort Collins"/>
    <s v="Magic Carpet"/>
    <x v="4"/>
    <s v="Culex pipiens"/>
    <n v="17"/>
    <s v="CDC Light Trap"/>
    <s v="FC-001"/>
    <n v="0"/>
    <n v="17"/>
  </r>
  <r>
    <x v="0"/>
    <d v="2023-06-28T00:00:00"/>
    <s v="Fort Collins"/>
    <s v="Ben's Park"/>
    <x v="3"/>
    <s v="Culex tarsalis"/>
    <n v="10"/>
    <s v="CDC Light Trap"/>
    <s v="FC-029"/>
    <n v="10"/>
    <n v="0"/>
  </r>
  <r>
    <x v="0"/>
    <d v="2023-06-28T00:00:00"/>
    <s v="Fort Collins"/>
    <s v="Chelsea Ridge"/>
    <x v="4"/>
    <s v="Culex pipiens"/>
    <n v="3"/>
    <s v="CDC Light Trap"/>
    <s v="FC-037"/>
    <n v="0"/>
    <n v="3"/>
  </r>
  <r>
    <x v="0"/>
    <d v="2023-06-28T00:00:00"/>
    <s v="Fort Collins"/>
    <s v="Chelsea Ridge"/>
    <x v="4"/>
    <s v="Culex tarsalis"/>
    <n v="312"/>
    <s v="CDC Light Trap"/>
    <s v="FC-037"/>
    <n v="312"/>
    <n v="0"/>
  </r>
  <r>
    <x v="0"/>
    <d v="2023-06-28T00:00:00"/>
    <s v="Fort Collins"/>
    <s v="737 Parliament"/>
    <x v="3"/>
    <s v="Culex tarsalis"/>
    <n v="642"/>
    <s v="CDC Light Trap"/>
    <s v="FC-054"/>
    <n v="642"/>
    <n v="0"/>
  </r>
  <r>
    <x v="0"/>
    <d v="2023-06-28T00:00:00"/>
    <s v="Fort Collins"/>
    <s v="737 Parliament"/>
    <x v="3"/>
    <s v="Culex pipiens"/>
    <n v="15"/>
    <s v="CDC Light Trap"/>
    <s v="FC-054"/>
    <n v="0"/>
    <n v="15"/>
  </r>
  <r>
    <x v="0"/>
    <d v="2023-06-28T00:00:00"/>
    <s v="Fort Collins"/>
    <s v="Registry Ridge"/>
    <x v="4"/>
    <s v="Culex tarsalis"/>
    <n v="6"/>
    <s v="CDC Light Trap"/>
    <s v="FC-057"/>
    <n v="6"/>
    <n v="0"/>
  </r>
  <r>
    <x v="0"/>
    <d v="2023-06-28T00:00:00"/>
    <s v="Fort Collins"/>
    <s v="Water's Edge at Blue Mesa"/>
    <x v="4"/>
    <s v="Culex pipiens"/>
    <n v="22"/>
    <s v="CDC Light Trap"/>
    <s v="FC-062"/>
    <n v="0"/>
    <n v="22"/>
  </r>
  <r>
    <x v="0"/>
    <d v="2023-06-28T00:00:00"/>
    <s v="Fort Collins"/>
    <s v="Water's Edge at Blue Mesa"/>
    <x v="4"/>
    <s v="Culex tarsalis"/>
    <n v="142"/>
    <s v="CDC Light Trap"/>
    <s v="FC-062"/>
    <n v="142"/>
    <n v="0"/>
  </r>
  <r>
    <x v="0"/>
    <d v="2023-06-28T00:00:00"/>
    <s v="Fort Collins"/>
    <s v="5029 Crest Dr"/>
    <x v="4"/>
    <s v="Culex tarsalis"/>
    <n v="8"/>
    <s v="CDC Light Trap"/>
    <s v="FC-068"/>
    <n v="8"/>
    <n v="0"/>
  </r>
  <r>
    <x v="0"/>
    <d v="2023-06-28T00:00:00"/>
    <s v="Fort Collins"/>
    <s v="Silvergate Rd"/>
    <x v="4"/>
    <s v="Culex pipiens"/>
    <n v="2"/>
    <s v="CDC Light Trap"/>
    <s v="FC-071"/>
    <n v="0"/>
    <n v="2"/>
  </r>
  <r>
    <x v="0"/>
    <d v="2023-06-28T00:00:00"/>
    <s v="Fort Collins"/>
    <s v="Silvergate Rd"/>
    <x v="4"/>
    <s v="Culex tarsalis"/>
    <n v="130"/>
    <s v="CDC Light Trap"/>
    <s v="FC-071"/>
    <n v="130"/>
    <n v="0"/>
  </r>
  <r>
    <x v="0"/>
    <d v="2023-06-25T00:00:00"/>
    <s v="Loveland"/>
    <s v="29th and Madison"/>
    <x v="5"/>
    <s v="Culex tarsalis"/>
    <n v="688"/>
    <s v="CDC Light Trap"/>
    <s v="LV-004"/>
    <n v="688"/>
    <n v="0"/>
  </r>
  <r>
    <x v="0"/>
    <d v="2023-06-25T00:00:00"/>
    <s v="Loveland"/>
    <s v="Outlet Mall Apartments"/>
    <x v="5"/>
    <s v="Culex tarsalis"/>
    <n v="696"/>
    <s v="CDC Light Trap"/>
    <s v="LV-066"/>
    <n v="696"/>
    <n v="0"/>
  </r>
  <r>
    <x v="0"/>
    <d v="2023-06-25T00:00:00"/>
    <s v="Loveland"/>
    <s v="Horseshoe Pennninsula"/>
    <x v="5"/>
    <s v="Culex tarsalis"/>
    <n v="81"/>
    <s v="CDC Light Trap"/>
    <s v="LV-069"/>
    <n v="81"/>
    <n v="0"/>
  </r>
  <r>
    <x v="0"/>
    <d v="2023-06-25T00:00:00"/>
    <s v="Loveland"/>
    <s v="7 Lakes Park"/>
    <x v="5"/>
    <s v="Culex tarsalis"/>
    <n v="244"/>
    <s v="CDC Light Trap"/>
    <s v="LV-078"/>
    <n v="244"/>
    <n v="0"/>
  </r>
  <r>
    <x v="0"/>
    <d v="2023-06-25T00:00:00"/>
    <s v="Loveland"/>
    <s v="Harding and Reagan"/>
    <x v="5"/>
    <s v="Culex pipiens"/>
    <n v="4"/>
    <s v="CDC Light Trap"/>
    <s v="LV-080"/>
    <n v="0"/>
    <n v="4"/>
  </r>
  <r>
    <x v="0"/>
    <d v="2023-06-25T00:00:00"/>
    <s v="Loveland"/>
    <s v="Harding and Reagan"/>
    <x v="5"/>
    <s v="Culex tarsalis"/>
    <n v="552"/>
    <s v="CDC Light Trap"/>
    <s v="LV-080"/>
    <n v="552"/>
    <n v="0"/>
  </r>
  <r>
    <x v="0"/>
    <d v="2023-06-25T00:00:00"/>
    <s v="Loveland"/>
    <s v="2229 Arikaree"/>
    <x v="5"/>
    <s v="Culex pipiens"/>
    <n v="4"/>
    <s v="CDC Light Trap"/>
    <s v="LV-088"/>
    <n v="0"/>
    <n v="4"/>
  </r>
  <r>
    <x v="0"/>
    <d v="2023-06-25T00:00:00"/>
    <s v="Loveland"/>
    <s v="2229 Arikaree"/>
    <x v="5"/>
    <s v="Culex tarsalis"/>
    <n v="288"/>
    <s v="CDC Light Trap"/>
    <s v="LV-088"/>
    <n v="288"/>
    <n v="0"/>
  </r>
  <r>
    <x v="0"/>
    <d v="2023-06-25T00:00:00"/>
    <s v="Loveland"/>
    <s v="Pond at Silver Lake"/>
    <x v="5"/>
    <s v="Culex pipiens"/>
    <n v="1"/>
    <s v="CDC Light Trap"/>
    <s v="LV-093"/>
    <n v="0"/>
    <n v="1"/>
  </r>
  <r>
    <x v="0"/>
    <d v="2023-06-25T00:00:00"/>
    <s v="Loveland"/>
    <s v="Pond at Silver Lake"/>
    <x v="5"/>
    <s v="Culex tarsalis"/>
    <n v="5"/>
    <s v="CDC Light Trap"/>
    <s v="LV-093"/>
    <n v="5"/>
    <n v="0"/>
  </r>
  <r>
    <x v="0"/>
    <d v="2023-06-25T00:00:00"/>
    <s v="Loveland"/>
    <s v="Boyd Lake"/>
    <x v="5"/>
    <s v="Culex pipiens"/>
    <n v="15"/>
    <s v="CDC Light Trap"/>
    <s v="LV-095"/>
    <n v="0"/>
    <n v="15"/>
  </r>
  <r>
    <x v="0"/>
    <d v="2023-06-25T00:00:00"/>
    <s v="Loveland"/>
    <s v="Boyd Lake"/>
    <x v="5"/>
    <s v="Culex tarsalis"/>
    <n v="454"/>
    <s v="CDC Light Trap"/>
    <s v="LV-095"/>
    <n v="454"/>
    <n v="0"/>
  </r>
  <r>
    <x v="0"/>
    <d v="2023-06-25T00:00:00"/>
    <s v="Loveland"/>
    <s v="Sundisk and 13E"/>
    <x v="5"/>
    <s v="Culex tarsalis"/>
    <n v="216"/>
    <s v="CDC Light Trap"/>
    <s v="LV-116"/>
    <n v="216"/>
    <n v="0"/>
  </r>
  <r>
    <x v="0"/>
    <d v="2023-06-25T00:00:00"/>
    <s v="Loveland"/>
    <s v="Centerra"/>
    <x v="5"/>
    <s v="Culex tarsalis"/>
    <n v="40"/>
    <s v="CDC Light Trap"/>
    <s v="LV-117"/>
    <n v="40"/>
    <n v="0"/>
  </r>
  <r>
    <x v="0"/>
    <d v="2023-06-26T00:00:00"/>
    <s v="Loveland"/>
    <s v="Jefferson and 11th"/>
    <x v="5"/>
    <s v="Culex tarsalis"/>
    <n v="17"/>
    <s v="CDC Light Trap"/>
    <s v="LV-074"/>
    <n v="17"/>
    <n v="0"/>
  </r>
  <r>
    <x v="0"/>
    <d v="2023-06-26T00:00:00"/>
    <s v="Loveland"/>
    <s v="1105 East 1st Street"/>
    <x v="5"/>
    <s v="Culex tarsalis"/>
    <n v="27"/>
    <s v="CDC Light Trap"/>
    <s v="LV-077"/>
    <n v="27"/>
    <n v="0"/>
  </r>
  <r>
    <x v="0"/>
    <d v="2023-06-26T00:00:00"/>
    <s v="Loveland"/>
    <s v="1105 East 1st Street"/>
    <x v="5"/>
    <s v="Culex pipiens"/>
    <n v="1"/>
    <s v="CDC Light Trap"/>
    <s v="LV-077"/>
    <n v="0"/>
    <n v="1"/>
  </r>
  <r>
    <x v="0"/>
    <d v="2023-06-26T00:00:00"/>
    <s v="Loveland"/>
    <s v="9th and DesMoines"/>
    <x v="5"/>
    <s v="Culex tarsalis"/>
    <n v="579"/>
    <s v="CDC Light Trap"/>
    <s v="LV-089"/>
    <n v="579"/>
    <n v="0"/>
  </r>
  <r>
    <x v="0"/>
    <d v="2023-06-26T00:00:00"/>
    <s v="Loveland"/>
    <s v="Blue Tree Realty"/>
    <x v="5"/>
    <s v="Culex tarsalis"/>
    <n v="252"/>
    <s v="CDC Light Trap"/>
    <s v="LV-100"/>
    <n v="252"/>
    <n v="0"/>
  </r>
  <r>
    <x v="0"/>
    <d v="2023-06-26T00:00:00"/>
    <s v="Loveland"/>
    <s v="Blue Tree Realty"/>
    <x v="5"/>
    <s v="Culex pipiens"/>
    <n v="8"/>
    <s v="CDC Light Trap"/>
    <s v="LV-100"/>
    <n v="0"/>
    <n v="8"/>
  </r>
  <r>
    <x v="0"/>
    <d v="2023-06-26T00:00:00"/>
    <s v="Loveland"/>
    <s v="Cr 20 and 9"/>
    <x v="5"/>
    <s v="Culex tarsalis"/>
    <n v="127"/>
    <s v="CDC Light Trap"/>
    <s v="LV-104"/>
    <n v="127"/>
    <n v="0"/>
  </r>
  <r>
    <x v="0"/>
    <d v="2023-06-26T00:00:00"/>
    <s v="Loveland"/>
    <s v="Cr 20 and 9"/>
    <x v="5"/>
    <s v="Culex pipiens"/>
    <n v="6"/>
    <s v="CDC Light Trap"/>
    <s v="LV-104"/>
    <n v="0"/>
    <n v="6"/>
  </r>
  <r>
    <x v="0"/>
    <d v="2023-06-26T00:00:00"/>
    <s v="Loveland"/>
    <s v="Big Thompson "/>
    <x v="5"/>
    <s v="Culex tarsalis"/>
    <n v="23"/>
    <s v="CDC Light Trap"/>
    <s v="LV-110"/>
    <n v="23"/>
    <n v="0"/>
  </r>
  <r>
    <x v="0"/>
    <d v="2023-06-26T00:00:00"/>
    <s v="Loveland"/>
    <s v="915 S Boise"/>
    <x v="5"/>
    <s v="Culex pipiens"/>
    <n v="3"/>
    <s v="CDC Light Trap"/>
    <s v="LV-112"/>
    <n v="0"/>
    <n v="3"/>
  </r>
  <r>
    <x v="0"/>
    <d v="2023-06-26T00:00:00"/>
    <s v="Loveland"/>
    <s v="915 S Boise"/>
    <x v="5"/>
    <s v="Culex tarsalis"/>
    <n v="53"/>
    <s v="CDC Light Trap"/>
    <s v="LV-112"/>
    <n v="53"/>
    <n v="0"/>
  </r>
  <r>
    <x v="0"/>
    <d v="2023-06-26T00:00:00"/>
    <s v="Loveland"/>
    <s v="Springs at Marianna"/>
    <x v="5"/>
    <s v="Culex pipiens"/>
    <n v="1"/>
    <s v="CDC Light Trap"/>
    <s v="LV-113"/>
    <n v="0"/>
    <n v="1"/>
  </r>
  <r>
    <x v="0"/>
    <d v="2023-06-26T00:00:00"/>
    <s v="Loveland"/>
    <s v="Springs at Marianna"/>
    <x v="5"/>
    <s v="Culex tarsalis"/>
    <n v="15"/>
    <s v="CDC Light Trap"/>
    <s v="LV-113"/>
    <n v="15"/>
    <n v="0"/>
  </r>
  <r>
    <x v="0"/>
    <d v="2023-06-26T00:00:00"/>
    <s v="Loveland"/>
    <s v="Golf Vista"/>
    <x v="5"/>
    <s v="Culex tarsalis"/>
    <n v="8"/>
    <s v="CDC Light Trap"/>
    <s v="LV-118"/>
    <n v="8"/>
    <n v="0"/>
  </r>
  <r>
    <x v="0"/>
    <d v="2023-06-26T00:00:00"/>
    <s v="Loveland"/>
    <s v="Bldg D190, 815 14th Street Southwest, Loveland, CO 80537, USA"/>
    <x v="5"/>
    <s v="Culex tarsalis"/>
    <n v="1072"/>
    <s v="CDC Light Trap"/>
    <s v="LV-124"/>
    <n v="1072"/>
    <n v="0"/>
  </r>
  <r>
    <x v="0"/>
    <d v="2023-06-26T00:00:00"/>
    <s v="Loveland"/>
    <s v="Bldg D190, 815 14th Street Southwest, Loveland, CO 80537, USA"/>
    <x v="5"/>
    <s v="Culex pipiens"/>
    <n v="64"/>
    <s v="CDC Light Trap"/>
    <s v="LV-124"/>
    <n v="0"/>
    <n v="64"/>
  </r>
  <r>
    <x v="0"/>
    <d v="2023-06-26T00:00:00"/>
    <s v="Loveland"/>
    <s v="8th And No Name"/>
    <x v="5"/>
    <s v="Culex pipiens"/>
    <n v="8"/>
    <s v="CDC Light Trap"/>
    <s v="LV-125"/>
    <n v="0"/>
    <n v="8"/>
  </r>
  <r>
    <x v="0"/>
    <d v="2023-06-26T00:00:00"/>
    <s v="Loveland"/>
    <s v="8th And No Name"/>
    <x v="5"/>
    <s v="Culex tarsalis"/>
    <n v="56"/>
    <s v="CDC Light Trap"/>
    <s v="LV-125"/>
    <n v="56"/>
    <n v="0"/>
  </r>
  <r>
    <x v="0"/>
    <d v="2023-06-27T00:00:00"/>
    <s v="Loveland"/>
    <s v="Jocelyn and Eagle"/>
    <x v="5"/>
    <s v="Culex tarsalis"/>
    <n v="16"/>
    <s v="CDC Light Trap"/>
    <s v="LV-019"/>
    <n v="16"/>
    <n v="0"/>
  </r>
  <r>
    <x v="0"/>
    <d v="2023-06-27T00:00:00"/>
    <s v="Loveland"/>
    <s v="Cattail Pond"/>
    <x v="5"/>
    <s v="Culex tarsalis"/>
    <n v="495"/>
    <s v="CDC Light Trap"/>
    <s v="LV-020"/>
    <n v="495"/>
    <n v="0"/>
  </r>
  <r>
    <x v="0"/>
    <d v="2023-06-27T00:00:00"/>
    <s v="Loveland"/>
    <s v="Linda and 26th"/>
    <x v="5"/>
    <s v="Culex tarsalis"/>
    <n v="100"/>
    <s v="CDC Light Trap"/>
    <s v="LV-021"/>
    <n v="100"/>
    <n v="0"/>
  </r>
  <r>
    <x v="0"/>
    <d v="2023-06-27T00:00:00"/>
    <s v="Loveland"/>
    <s v="2001 S Douglas"/>
    <x v="5"/>
    <s v="Culex tarsalis"/>
    <n v="312"/>
    <s v="CDC Light Trap"/>
    <s v="LV-042"/>
    <n v="312"/>
    <n v="0"/>
  </r>
  <r>
    <x v="0"/>
    <d v="2023-06-27T00:00:00"/>
    <s v="Loveland"/>
    <s v="2001 S Douglas"/>
    <x v="5"/>
    <s v="Culex pipiens"/>
    <n v="12"/>
    <s v="CDC Light Trap"/>
    <s v="LV-042"/>
    <n v="0"/>
    <n v="12"/>
  </r>
  <r>
    <x v="0"/>
    <d v="2023-06-27T00:00:00"/>
    <s v="Loveland"/>
    <s v="Del Norte Private Park"/>
    <x v="5"/>
    <s v="Culex pipiens"/>
    <n v="16"/>
    <s v="CDC Light Trap"/>
    <s v="LV-067"/>
    <n v="0"/>
    <n v="16"/>
  </r>
  <r>
    <x v="0"/>
    <d v="2023-06-27T00:00:00"/>
    <s v="Loveland"/>
    <s v="Del Norte Private Park"/>
    <x v="5"/>
    <s v="Culex tarsalis"/>
    <n v="280"/>
    <s v="CDC Light Trap"/>
    <s v="LV-067"/>
    <n v="280"/>
    <n v="0"/>
  </r>
  <r>
    <x v="0"/>
    <d v="2023-06-27T00:00:00"/>
    <s v="Loveland"/>
    <s v="Derby Hill"/>
    <x v="5"/>
    <s v="Culex tarsalis"/>
    <n v="464"/>
    <s v="CDC Light Trap"/>
    <s v="LV-087"/>
    <n v="464"/>
    <n v="0"/>
  </r>
  <r>
    <x v="0"/>
    <d v="2023-06-27T00:00:00"/>
    <s v="Loveland"/>
    <s v="Jill Drive Pond"/>
    <x v="5"/>
    <s v="Culex tarsalis"/>
    <n v="108"/>
    <s v="CDC Light Trap"/>
    <s v="LV-114"/>
    <n v="108"/>
    <n v="0"/>
  </r>
  <r>
    <x v="0"/>
    <d v="2023-06-27T00:00:00"/>
    <s v="Loveland"/>
    <s v="End of City Limits North"/>
    <x v="5"/>
    <s v="Culex tarsalis"/>
    <n v="204"/>
    <s v="CDC Light Trap"/>
    <s v="LV-120"/>
    <n v="204"/>
    <n v="0"/>
  </r>
  <r>
    <x v="0"/>
    <d v="2023-06-28T00:00:00"/>
    <s v="Loveland"/>
    <s v="Estrella Park"/>
    <x v="5"/>
    <s v="Culex tarsalis"/>
    <n v="161"/>
    <s v="CDC Light Trap"/>
    <s v="LV-014"/>
    <n v="161"/>
    <n v="0"/>
  </r>
  <r>
    <x v="0"/>
    <d v="2023-06-28T00:00:00"/>
    <s v="Loveland"/>
    <s v="Farasita at Rist Benson"/>
    <x v="5"/>
    <s v="Culex tarsalis"/>
    <n v="312"/>
    <s v="CDC Light Trap"/>
    <s v="LV-097"/>
    <n v="312"/>
    <n v="0"/>
  </r>
  <r>
    <x v="0"/>
    <d v="2023-06-28T00:00:00"/>
    <s v="Loveland"/>
    <s v="Farasita at Rist Benson"/>
    <x v="5"/>
    <s v="Culex pipiens"/>
    <n v="8"/>
    <s v="CDC Light Trap"/>
    <s v="LV-097"/>
    <n v="0"/>
    <n v="8"/>
  </r>
  <r>
    <x v="0"/>
    <d v="2023-06-28T00:00:00"/>
    <s v="Loveland"/>
    <s v="Benson Sculpture Park"/>
    <x v="5"/>
    <s v="Culex tarsalis"/>
    <n v="22"/>
    <s v="CDC Light Trap"/>
    <s v="LV-098"/>
    <n v="22"/>
    <n v="0"/>
  </r>
  <r>
    <x v="0"/>
    <d v="2023-06-28T00:00:00"/>
    <s v="Loveland"/>
    <s v="Cattails Golfcourse"/>
    <x v="5"/>
    <s v="Culex tarsalis"/>
    <n v="38"/>
    <s v="CDC Light Trap"/>
    <s v="LV-099"/>
    <n v="38"/>
    <n v="0"/>
  </r>
  <r>
    <x v="0"/>
    <d v="2023-06-28T00:00:00"/>
    <s v="Loveland"/>
    <s v="Glen Isle Ditch"/>
    <x v="5"/>
    <s v="Culex tarsalis"/>
    <n v="172"/>
    <s v="CDC Light Trap"/>
    <s v="LV-102"/>
    <n v="172"/>
    <n v="0"/>
  </r>
  <r>
    <x v="0"/>
    <d v="2023-06-28T00:00:00"/>
    <s v="Loveland"/>
    <s v="West 43rd Railroad"/>
    <x v="5"/>
    <s v="Culex tarsalis"/>
    <n v="284"/>
    <s v="CDC Light Trap"/>
    <s v="LV-105"/>
    <n v="284"/>
    <n v="0"/>
  </r>
  <r>
    <x v="0"/>
    <d v="2023-06-28T00:00:00"/>
    <s v="Loveland"/>
    <s v="Bayfield and Windsor"/>
    <x v="5"/>
    <s v="Culex pipiens"/>
    <n v="2"/>
    <s v="CDC Light Trap"/>
    <s v="LV-121"/>
    <n v="0"/>
    <n v="2"/>
  </r>
  <r>
    <x v="0"/>
    <d v="2023-06-28T00:00:00"/>
    <s v="Loveland"/>
    <s v="Bayfield and Windsor"/>
    <x v="5"/>
    <s v="Culex tarsalis"/>
    <n v="86"/>
    <s v="CDC Light Trap"/>
    <s v="LV-121"/>
    <n v="86"/>
    <n v="0"/>
  </r>
  <r>
    <x v="0"/>
    <d v="2023-06-28T00:00:00"/>
    <s v="Loveland"/>
    <s v="Fallgold"/>
    <x v="5"/>
    <s v="Culex tarsalis"/>
    <n v="85"/>
    <s v="CDC Light Trap"/>
    <s v="LV-122"/>
    <n v="85"/>
    <n v="0"/>
  </r>
  <r>
    <x v="0"/>
    <d v="2023-06-28T00:00:00"/>
    <s v="Loveland"/>
    <s v="Fallgold"/>
    <x v="5"/>
    <s v="Culex pipiens"/>
    <n v="6"/>
    <s v="CDC Light Trap"/>
    <s v="LV-122"/>
    <n v="0"/>
    <n v="6"/>
  </r>
  <r>
    <x v="0"/>
    <d v="2023-06-25T00:00:00"/>
    <s v="Timnath"/>
    <s v="Timnath - 5th and Kern"/>
    <x v="6"/>
    <s v="Culex tarsalis"/>
    <n v="84"/>
    <s v="CDC Light Trap"/>
    <s v="LC-010"/>
    <n v="84"/>
    <n v="0"/>
  </r>
  <r>
    <x v="0"/>
    <d v="2023-06-25T00:00:00"/>
    <s v="Timnath"/>
    <s v="Timnath - Golf Course"/>
    <x v="6"/>
    <s v="Culex tarsalis"/>
    <n v="52"/>
    <s v="CDC Light Trap"/>
    <s v="LC-022"/>
    <n v="52"/>
    <n v="0"/>
  </r>
  <r>
    <x v="0"/>
    <d v="2023-06-25T00:00:00"/>
    <s v="Timnath"/>
    <s v="Timnath - Summerfields"/>
    <x v="6"/>
    <s v="Culex tarsalis"/>
    <n v="18"/>
    <s v="CDC Light Trap"/>
    <s v="LC-048"/>
    <n v="18"/>
    <n v="0"/>
  </r>
  <r>
    <x v="0"/>
    <d v="2023-06-25T00:00:00"/>
    <s v="Timnath"/>
    <s v="Timnath - Wildwing"/>
    <x v="6"/>
    <s v="Culex tarsalis"/>
    <n v="39"/>
    <s v="CDC Light Trap"/>
    <s v="LC-050"/>
    <n v="39"/>
    <n v="0"/>
  </r>
  <r>
    <x v="0"/>
    <d v="2023-06-25T00:00:00"/>
    <s v="Timnath"/>
    <s v="Timnath - Serratoga Falls"/>
    <x v="6"/>
    <s v="Culex tarsalis"/>
    <n v="236"/>
    <s v="CDC Light Trap"/>
    <s v="LC-051"/>
    <n v="236"/>
    <n v="0"/>
  </r>
  <r>
    <x v="0"/>
    <d v="2023-06-25T00:00:00"/>
    <s v="Timnath"/>
    <s v="Timnath - Walmart"/>
    <x v="6"/>
    <s v="Culex tarsalis"/>
    <n v="440"/>
    <s v="CDC Light Trap"/>
    <s v="LC-052"/>
    <n v="440"/>
    <n v="0"/>
  </r>
  <r>
    <x v="0"/>
    <d v="2023-06-25T00:00:00"/>
    <s v="Timnath"/>
    <s v="Timnath - Trailside"/>
    <x v="6"/>
    <s v="Culex tarsalis"/>
    <n v="320"/>
    <s v="CDC Light Trap"/>
    <s v="LC-057"/>
    <n v="320"/>
    <n v="0"/>
  </r>
  <r>
    <x v="0"/>
    <d v="2023-06-26T00:00:00"/>
    <s v="Boulder"/>
    <s v="Tom Watson Park"/>
    <x v="7"/>
    <s v="Culex tarsalis"/>
    <n v="49"/>
    <s v="CDC Light Trap"/>
    <s v="BC-19"/>
    <n v="49"/>
    <n v="0"/>
  </r>
  <r>
    <x v="0"/>
    <d v="2023-06-26T00:00:00"/>
    <s v="Boulder"/>
    <s v="Sombrero Marsh"/>
    <x v="7"/>
    <s v="Culex tarsalis"/>
    <n v="32"/>
    <s v="CDC Light Trap"/>
    <s v="BC-15"/>
    <n v="32"/>
    <n v="0"/>
  </r>
  <r>
    <x v="0"/>
    <d v="2023-06-26T00:00:00"/>
    <s v="Boulder"/>
    <s v="Goose Creek"/>
    <x v="7"/>
    <s v="Culex tarsalis"/>
    <n v="49"/>
    <s v="CDC Light Trap"/>
    <s v="BC-04"/>
    <n v="49"/>
    <n v="0"/>
  </r>
  <r>
    <x v="0"/>
    <d v="2023-06-26T00:00:00"/>
    <s v="Boulder"/>
    <s v="Sawhill Ponds"/>
    <x v="7"/>
    <s v="Culex tarsalis"/>
    <n v="46"/>
    <s v="CDC Light Trap"/>
    <s v="BC-18"/>
    <n v="46"/>
    <n v="0"/>
  </r>
  <r>
    <x v="0"/>
    <d v="2023-06-26T00:00:00"/>
    <s v="Boulder"/>
    <s v="Stazio Ballfields"/>
    <x v="7"/>
    <s v="Culex tarsalis"/>
    <n v="49"/>
    <s v="CDC Light Trap"/>
    <s v="BC-17"/>
    <n v="49"/>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n v="2023"/>
    <s v="CSU-19454"/>
    <n v="29060"/>
    <x v="0"/>
    <x v="0"/>
    <s v="LC"/>
    <s v="LV"/>
    <s v="LV-069"/>
    <x v="0"/>
    <s v="L"/>
    <s v="Cx."/>
    <x v="0"/>
    <s v="F"/>
    <m/>
    <n v="50"/>
    <n v="50"/>
    <n v="0"/>
    <s v="Negative"/>
  </r>
  <r>
    <n v="2023"/>
    <s v="CSU-19455"/>
    <n v="29061"/>
    <x v="0"/>
    <x v="0"/>
    <s v="LC"/>
    <s v="LV"/>
    <s v="LV-069"/>
    <x v="0"/>
    <s v="L"/>
    <s v="Cx."/>
    <x v="0"/>
    <s v="F"/>
    <m/>
    <n v="31"/>
    <n v="31"/>
    <n v="0"/>
    <s v="Negative"/>
  </r>
  <r>
    <n v="2023"/>
    <s v="CSU-19456"/>
    <n v="29062"/>
    <x v="0"/>
    <x v="0"/>
    <s v="LC"/>
    <s v="LV"/>
    <s v="LV-095"/>
    <x v="0"/>
    <s v="L"/>
    <s v="Cx."/>
    <x v="0"/>
    <s v="F"/>
    <m/>
    <n v="50"/>
    <n v="50"/>
    <n v="0"/>
    <s v="Negative"/>
  </r>
  <r>
    <n v="2023"/>
    <s v="CSU-19457"/>
    <n v="29063"/>
    <x v="0"/>
    <x v="0"/>
    <s v="LC"/>
    <s v="LV"/>
    <s v="LV-095"/>
    <x v="0"/>
    <s v="L"/>
    <s v="Cx."/>
    <x v="0"/>
    <s v="F"/>
    <m/>
    <n v="50"/>
    <n v="50"/>
    <n v="0"/>
    <s v="Negative"/>
  </r>
  <r>
    <n v="2023"/>
    <s v="CSU-19458"/>
    <n v="29064"/>
    <x v="0"/>
    <x v="0"/>
    <s v="LC"/>
    <s v="LV"/>
    <s v="LV-095"/>
    <x v="0"/>
    <s v="L"/>
    <s v="Cx."/>
    <x v="0"/>
    <s v="F"/>
    <m/>
    <n v="50"/>
    <n v="50"/>
    <n v="0"/>
    <s v="Negative"/>
  </r>
  <r>
    <n v="2023"/>
    <s v="CSU-19459"/>
    <n v="29065"/>
    <x v="0"/>
    <x v="0"/>
    <s v="LC"/>
    <s v="LV"/>
    <s v="LV-095"/>
    <x v="0"/>
    <s v="L"/>
    <s v="Cx."/>
    <x v="0"/>
    <s v="F"/>
    <m/>
    <n v="50"/>
    <n v="50"/>
    <n v="0"/>
    <s v="Negative"/>
  </r>
  <r>
    <n v="2023"/>
    <s v="CSU-19460"/>
    <n v="29066"/>
    <x v="0"/>
    <x v="0"/>
    <s v="LC"/>
    <s v="LV"/>
    <s v="LV-095"/>
    <x v="0"/>
    <s v="L"/>
    <s v="Cx."/>
    <x v="0"/>
    <s v="F"/>
    <m/>
    <n v="50"/>
    <n v="50"/>
    <n v="0"/>
    <s v="Negative"/>
  </r>
  <r>
    <n v="2023"/>
    <s v="CSU-19461"/>
    <n v="29067"/>
    <x v="0"/>
    <x v="0"/>
    <s v="LC"/>
    <s v="LV"/>
    <s v="LV-095"/>
    <x v="0"/>
    <s v="L"/>
    <s v="Cx."/>
    <x v="0"/>
    <s v="F"/>
    <m/>
    <n v="50"/>
    <n v="50"/>
    <n v="0"/>
    <s v="Negative"/>
  </r>
  <r>
    <n v="2023"/>
    <s v="CSU-19462"/>
    <n v="29068"/>
    <x v="0"/>
    <x v="0"/>
    <s v="LC"/>
    <s v="LV"/>
    <s v="LV-095"/>
    <x v="0"/>
    <s v="L"/>
    <s v="Cx."/>
    <x v="0"/>
    <s v="F"/>
    <m/>
    <n v="50"/>
    <n v="50"/>
    <n v="0"/>
    <s v="Negative"/>
  </r>
  <r>
    <n v="2023"/>
    <s v="CSU-19463"/>
    <n v="29069"/>
    <x v="0"/>
    <x v="0"/>
    <s v="LC"/>
    <s v="LV"/>
    <s v="LV-095"/>
    <x v="0"/>
    <s v="L"/>
    <s v="Cx."/>
    <x v="0"/>
    <s v="F"/>
    <m/>
    <n v="50"/>
    <n v="50"/>
    <n v="0"/>
    <s v="Negative"/>
  </r>
  <r>
    <n v="2023"/>
    <s v="CSU-19464"/>
    <n v="29070"/>
    <x v="0"/>
    <x v="0"/>
    <s v="LC"/>
    <s v="LV"/>
    <s v="LV-095"/>
    <x v="0"/>
    <s v="L"/>
    <s v="Cx."/>
    <x v="0"/>
    <s v="F"/>
    <m/>
    <n v="50"/>
    <n v="50"/>
    <n v="0"/>
    <s v="Negative"/>
  </r>
  <r>
    <n v="2023"/>
    <s v="CSU-19465"/>
    <n v="29071"/>
    <x v="0"/>
    <x v="0"/>
    <s v="LC"/>
    <s v="LV"/>
    <s v="LV-095"/>
    <x v="0"/>
    <s v="L"/>
    <s v="Cx."/>
    <x v="0"/>
    <s v="F"/>
    <m/>
    <n v="4"/>
    <n v="4"/>
    <n v="0"/>
    <s v="Negative"/>
  </r>
  <r>
    <n v="2023"/>
    <s v="CSU-19466"/>
    <n v="29072"/>
    <x v="0"/>
    <x v="0"/>
    <s v="LC"/>
    <s v="LV"/>
    <s v="LV-095"/>
    <x v="0"/>
    <s v="L"/>
    <s v="Cx."/>
    <x v="1"/>
    <s v="F"/>
    <m/>
    <n v="15"/>
    <n v="15"/>
    <n v="0"/>
    <s v="Negative"/>
  </r>
  <r>
    <n v="2023"/>
    <s v="CSU-19467"/>
    <n v="29073"/>
    <x v="0"/>
    <x v="0"/>
    <s v="LC"/>
    <s v="FC"/>
    <s v="FC-034"/>
    <x v="1"/>
    <s v="L"/>
    <s v="Cx."/>
    <x v="0"/>
    <s v="F"/>
    <m/>
    <n v="50"/>
    <n v="50"/>
    <n v="0"/>
    <s v="Negative"/>
  </r>
  <r>
    <n v="2023"/>
    <s v="CSU-19468"/>
    <n v="29074"/>
    <x v="0"/>
    <x v="0"/>
    <s v="LC"/>
    <s v="FC"/>
    <s v="FC-034"/>
    <x v="1"/>
    <s v="L"/>
    <s v="Cx."/>
    <x v="0"/>
    <s v="F"/>
    <m/>
    <n v="50"/>
    <n v="50"/>
    <n v="0"/>
    <s v="Negative"/>
  </r>
  <r>
    <n v="2023"/>
    <s v="CSU-19469"/>
    <n v="29075"/>
    <x v="0"/>
    <x v="0"/>
    <s v="LC"/>
    <s v="FC"/>
    <s v="FC-034"/>
    <x v="1"/>
    <s v="L"/>
    <s v="Cx."/>
    <x v="0"/>
    <s v="F"/>
    <m/>
    <n v="50"/>
    <n v="50"/>
    <n v="0"/>
    <s v="Negative"/>
  </r>
  <r>
    <n v="2023"/>
    <s v="CSU-19470"/>
    <n v="29076"/>
    <x v="0"/>
    <x v="0"/>
    <s v="LC"/>
    <s v="FC"/>
    <s v="FC-034"/>
    <x v="1"/>
    <s v="L"/>
    <s v="Cx."/>
    <x v="0"/>
    <s v="F"/>
    <m/>
    <n v="19"/>
    <n v="19"/>
    <n v="0"/>
    <s v="Negative"/>
  </r>
  <r>
    <n v="2023"/>
    <s v="CSU-19471"/>
    <n v="29077"/>
    <x v="0"/>
    <x v="0"/>
    <s v="LC"/>
    <s v="FC"/>
    <s v="FC-040"/>
    <x v="1"/>
    <s v="L"/>
    <s v="Cx."/>
    <x v="0"/>
    <s v="F"/>
    <m/>
    <n v="50"/>
    <n v="50"/>
    <n v="0"/>
    <s v="Negative"/>
  </r>
  <r>
    <n v="2023"/>
    <s v="CSU-19472"/>
    <n v="29078"/>
    <x v="0"/>
    <x v="0"/>
    <s v="LC"/>
    <s v="FC"/>
    <s v="FC-040"/>
    <x v="1"/>
    <s v="L"/>
    <s v="Cx."/>
    <x v="0"/>
    <s v="F"/>
    <m/>
    <n v="50"/>
    <n v="50"/>
    <n v="0"/>
    <s v="Negative"/>
  </r>
  <r>
    <n v="2023"/>
    <s v="CSU-19473"/>
    <n v="29079"/>
    <x v="0"/>
    <x v="0"/>
    <s v="LC"/>
    <s v="FC"/>
    <s v="FC-040"/>
    <x v="1"/>
    <s v="L"/>
    <s v="Cx."/>
    <x v="0"/>
    <s v="F"/>
    <m/>
    <n v="47"/>
    <n v="47"/>
    <n v="0"/>
    <s v="Negative"/>
  </r>
  <r>
    <n v="2023"/>
    <s v="CSU-19474"/>
    <n v="29080"/>
    <x v="0"/>
    <x v="0"/>
    <s v="LC"/>
    <s v="FC"/>
    <s v="FC-040"/>
    <x v="1"/>
    <s v="L"/>
    <s v="Cx."/>
    <x v="1"/>
    <s v="F"/>
    <m/>
    <n v="11"/>
    <n v="11"/>
    <n v="0"/>
    <s v="Negative"/>
  </r>
  <r>
    <n v="2023"/>
    <s v="CSU-19475"/>
    <n v="29081"/>
    <x v="0"/>
    <x v="0"/>
    <s v="LC"/>
    <s v="FC"/>
    <s v="FC-040gr"/>
    <x v="1"/>
    <s v="G"/>
    <s v="Cx."/>
    <x v="1"/>
    <s v="F"/>
    <n v="16"/>
    <m/>
    <n v="16"/>
    <n v="0"/>
    <s v="Negative"/>
  </r>
  <r>
    <n v="2023"/>
    <s v="CSU-19476"/>
    <n v="29082"/>
    <x v="0"/>
    <x v="0"/>
    <s v="LC"/>
    <s v="FC"/>
    <s v="FC-069"/>
    <x v="1"/>
    <s v="L"/>
    <s v="Cx."/>
    <x v="0"/>
    <s v="F"/>
    <m/>
    <n v="50"/>
    <n v="50"/>
    <n v="0"/>
    <s v="Negative"/>
  </r>
  <r>
    <n v="2023"/>
    <s v="CSU-19477"/>
    <n v="29083"/>
    <x v="0"/>
    <x v="0"/>
    <s v="LC"/>
    <s v="FC"/>
    <s v="FC-069"/>
    <x v="1"/>
    <s v="L"/>
    <s v="Cx."/>
    <x v="0"/>
    <s v="F"/>
    <m/>
    <n v="17"/>
    <n v="17"/>
    <n v="0"/>
    <s v="Negative"/>
  </r>
  <r>
    <n v="2023"/>
    <s v="CSU-19478"/>
    <n v="29084"/>
    <x v="0"/>
    <x v="0"/>
    <s v="LC"/>
    <s v="FC"/>
    <s v="FC-069"/>
    <x v="1"/>
    <s v="L"/>
    <s v="Cx."/>
    <x v="1"/>
    <s v="F"/>
    <m/>
    <n v="1"/>
    <n v="1"/>
    <n v="0"/>
    <s v="Negative"/>
  </r>
  <r>
    <n v="2023"/>
    <s v="CSU-19479"/>
    <n v="29085"/>
    <x v="0"/>
    <x v="0"/>
    <s v="LC"/>
    <s v="FC"/>
    <s v="FC-092gr"/>
    <x v="1"/>
    <s v="G"/>
    <s v="Cx."/>
    <x v="1"/>
    <s v="F"/>
    <n v="18"/>
    <m/>
    <n v="18"/>
    <n v="0"/>
    <s v="Negative"/>
  </r>
  <r>
    <n v="2023"/>
    <s v="CSU-19480"/>
    <n v="29086"/>
    <x v="0"/>
    <x v="0"/>
    <s v="LC"/>
    <s v="FC"/>
    <s v="FC-091gr"/>
    <x v="1"/>
    <s v="G"/>
    <s v="Cx."/>
    <x v="1"/>
    <s v="F"/>
    <n v="10"/>
    <m/>
    <n v="10"/>
    <n v="0"/>
    <s v="Negative"/>
  </r>
  <r>
    <n v="2023"/>
    <s v="CSU-19481"/>
    <n v="29087"/>
    <x v="0"/>
    <x v="0"/>
    <s v="LC"/>
    <s v="FC"/>
    <s v="FC-066gr"/>
    <x v="1"/>
    <s v="G"/>
    <s v="Cx."/>
    <x v="1"/>
    <s v="F"/>
    <n v="24"/>
    <m/>
    <n v="24"/>
    <n v="0"/>
    <s v="Negative"/>
  </r>
  <r>
    <n v="2023"/>
    <s v="CSU-19482"/>
    <n v="29088"/>
    <x v="0"/>
    <x v="0"/>
    <s v="LC"/>
    <s v="FC"/>
    <s v="FC-036"/>
    <x v="2"/>
    <s v="L"/>
    <s v="Cx."/>
    <x v="0"/>
    <s v="F"/>
    <m/>
    <n v="50"/>
    <n v="50"/>
    <n v="0"/>
    <s v="Negative"/>
  </r>
  <r>
    <n v="2023"/>
    <s v="CSU-19483"/>
    <n v="29089"/>
    <x v="0"/>
    <x v="0"/>
    <s v="LC"/>
    <s v="FC"/>
    <s v="FC-036"/>
    <x v="2"/>
    <s v="L"/>
    <s v="Cx."/>
    <x v="0"/>
    <s v="F"/>
    <m/>
    <n v="9"/>
    <n v="9"/>
    <n v="0"/>
    <s v="Negative"/>
  </r>
  <r>
    <n v="2023"/>
    <s v="CSU-19484"/>
    <n v="29090"/>
    <x v="0"/>
    <x v="0"/>
    <s v="LC"/>
    <s v="FC"/>
    <s v="FC-006"/>
    <x v="1"/>
    <s v="L"/>
    <s v="Cx."/>
    <x v="0"/>
    <s v="F"/>
    <m/>
    <n v="50"/>
    <n v="50"/>
    <n v="0"/>
    <s v="Negative"/>
  </r>
  <r>
    <n v="2023"/>
    <s v="CSU-19485"/>
    <n v="29091"/>
    <x v="0"/>
    <x v="0"/>
    <s v="LC"/>
    <s v="FC"/>
    <s v="FC-006"/>
    <x v="1"/>
    <s v="L"/>
    <s v="Cx."/>
    <x v="0"/>
    <s v="F"/>
    <m/>
    <n v="50"/>
    <n v="50"/>
    <n v="0"/>
    <s v="Negative"/>
  </r>
  <r>
    <n v="2023"/>
    <s v="CSU-19486"/>
    <n v="29092"/>
    <x v="0"/>
    <x v="0"/>
    <s v="LC"/>
    <s v="FC"/>
    <s v="FC-006"/>
    <x v="1"/>
    <s v="L"/>
    <s v="Cx."/>
    <x v="0"/>
    <s v="F"/>
    <m/>
    <n v="18"/>
    <n v="18"/>
    <n v="0"/>
    <s v="Negative"/>
  </r>
  <r>
    <n v="2023"/>
    <s v="CSU-19487"/>
    <n v="29093"/>
    <x v="0"/>
    <x v="0"/>
    <s v="LC"/>
    <s v="FC"/>
    <s v="FC-006"/>
    <x v="1"/>
    <s v="L"/>
    <s v="Cx."/>
    <x v="1"/>
    <s v="F"/>
    <m/>
    <n v="23"/>
    <n v="23"/>
    <n v="0"/>
    <s v="Negative"/>
  </r>
  <r>
    <n v="2023"/>
    <s v="CSU-19488"/>
    <n v="29094"/>
    <x v="0"/>
    <x v="0"/>
    <s v="LC"/>
    <s v="FC"/>
    <s v="FC-072"/>
    <x v="1"/>
    <s v="L"/>
    <s v="Cx."/>
    <x v="0"/>
    <s v="F"/>
    <m/>
    <n v="50"/>
    <n v="50"/>
    <n v="0"/>
    <s v="Negative"/>
  </r>
  <r>
    <n v="2023"/>
    <s v="CSU-19489"/>
    <n v="29095"/>
    <x v="0"/>
    <x v="0"/>
    <s v="LC"/>
    <s v="FC"/>
    <s v="FC-072"/>
    <x v="1"/>
    <s v="L"/>
    <s v="Cx."/>
    <x v="0"/>
    <s v="F"/>
    <m/>
    <n v="50"/>
    <n v="50"/>
    <n v="0"/>
    <s v="Negative"/>
  </r>
  <r>
    <n v="2023"/>
    <s v="CSU-19490"/>
    <n v="29096"/>
    <x v="0"/>
    <x v="0"/>
    <s v="LC"/>
    <s v="FC"/>
    <s v="FC-072"/>
    <x v="1"/>
    <s v="L"/>
    <s v="Cx."/>
    <x v="0"/>
    <s v="F"/>
    <m/>
    <n v="50"/>
    <n v="50"/>
    <n v="0"/>
    <s v="Negative"/>
  </r>
  <r>
    <n v="2023"/>
    <s v="CSU-19491"/>
    <n v="29097"/>
    <x v="0"/>
    <x v="0"/>
    <s v="LC"/>
    <s v="FC"/>
    <s v="FC-072"/>
    <x v="1"/>
    <s v="L"/>
    <s v="Cx."/>
    <x v="0"/>
    <s v="F"/>
    <m/>
    <n v="50"/>
    <n v="50"/>
    <n v="0"/>
    <s v="Negative"/>
  </r>
  <r>
    <n v="2023"/>
    <s v="CSU-19492"/>
    <n v="29098"/>
    <x v="0"/>
    <x v="0"/>
    <s v="LC"/>
    <s v="FC"/>
    <s v="FC-072"/>
    <x v="1"/>
    <s v="L"/>
    <s v="Cx."/>
    <x v="0"/>
    <s v="F"/>
    <m/>
    <n v="12"/>
    <n v="12"/>
    <n v="0"/>
    <s v="Negative"/>
  </r>
  <r>
    <n v="2023"/>
    <s v="CSU-19493"/>
    <n v="29099"/>
    <x v="0"/>
    <x v="0"/>
    <s v="LC"/>
    <s v="FC"/>
    <s v="FC-072"/>
    <x v="1"/>
    <s v="L"/>
    <s v="Cx."/>
    <x v="1"/>
    <s v="F"/>
    <m/>
    <n v="16"/>
    <n v="16"/>
    <n v="0"/>
    <s v="Negative"/>
  </r>
  <r>
    <n v="2023"/>
    <s v="CSU-19494"/>
    <n v="29100"/>
    <x v="0"/>
    <x v="0"/>
    <s v="LC"/>
    <s v="FC"/>
    <s v="FC-038"/>
    <x v="1"/>
    <s v="L"/>
    <s v="Cx."/>
    <x v="0"/>
    <s v="F"/>
    <m/>
    <n v="50"/>
    <n v="50"/>
    <n v="0"/>
    <s v="Negative"/>
  </r>
  <r>
    <n v="2023"/>
    <s v="CSU-19495"/>
    <n v="29101"/>
    <x v="0"/>
    <x v="0"/>
    <s v="LC"/>
    <s v="FC"/>
    <s v="FC-038"/>
    <x v="1"/>
    <s v="L"/>
    <s v="Cx."/>
    <x v="0"/>
    <s v="F"/>
    <m/>
    <n v="36"/>
    <n v="36"/>
    <n v="0"/>
    <s v="Negative"/>
  </r>
  <r>
    <n v="2023"/>
    <s v="CSU-19496"/>
    <n v="29102"/>
    <x v="0"/>
    <x v="0"/>
    <s v="LC"/>
    <s v="FC"/>
    <s v="FC-019"/>
    <x v="1"/>
    <s v="L"/>
    <s v="Cx."/>
    <x v="0"/>
    <s v="F"/>
    <m/>
    <n v="50"/>
    <n v="50"/>
    <n v="0"/>
    <s v="Negative"/>
  </r>
  <r>
    <n v="2023"/>
    <s v="CSU-19497"/>
    <n v="29103"/>
    <x v="0"/>
    <x v="0"/>
    <s v="LC"/>
    <s v="FC"/>
    <s v="FC-019"/>
    <x v="1"/>
    <s v="L"/>
    <s v="Cx."/>
    <x v="0"/>
    <s v="F"/>
    <m/>
    <n v="26"/>
    <n v="26"/>
    <n v="0"/>
    <s v="Negative"/>
  </r>
  <r>
    <n v="2023"/>
    <s v="CSU-19498"/>
    <n v="29104"/>
    <x v="0"/>
    <x v="0"/>
    <s v="LC"/>
    <s v="FC"/>
    <s v="FC-019"/>
    <x v="1"/>
    <s v="L"/>
    <s v="Cx."/>
    <x v="1"/>
    <s v="F"/>
    <m/>
    <n v="4"/>
    <n v="4"/>
    <n v="0"/>
    <s v="Negative"/>
  </r>
  <r>
    <n v="2023"/>
    <s v="CSU-19499"/>
    <n v="29105"/>
    <x v="0"/>
    <x v="0"/>
    <s v="LC"/>
    <s v="FC"/>
    <s v="FC-066"/>
    <x v="1"/>
    <s v="L"/>
    <s v="Cx."/>
    <x v="0"/>
    <s v="F"/>
    <m/>
    <n v="50"/>
    <n v="50"/>
    <n v="0"/>
    <s v="Negative"/>
  </r>
  <r>
    <n v="2023"/>
    <s v="CSU-19500"/>
    <n v="29106"/>
    <x v="0"/>
    <x v="0"/>
    <s v="LC"/>
    <s v="FC"/>
    <s v="FC-066"/>
    <x v="1"/>
    <s v="L"/>
    <s v="Cx."/>
    <x v="0"/>
    <s v="F"/>
    <m/>
    <n v="50"/>
    <n v="50"/>
    <n v="0"/>
    <s v="Negative"/>
  </r>
  <r>
    <n v="2023"/>
    <s v="CSU-19501"/>
    <n v="29107"/>
    <x v="0"/>
    <x v="0"/>
    <s v="LC"/>
    <s v="FC"/>
    <s v="FC-066"/>
    <x v="1"/>
    <s v="L"/>
    <s v="Cx."/>
    <x v="0"/>
    <s v="F"/>
    <m/>
    <n v="20"/>
    <n v="20"/>
    <n v="0"/>
    <s v="Negative"/>
  </r>
  <r>
    <n v="2023"/>
    <s v="CSU-19502"/>
    <n v="29108"/>
    <x v="0"/>
    <x v="0"/>
    <s v="LC"/>
    <s v="FC"/>
    <s v="FC-066"/>
    <x v="1"/>
    <s v="L"/>
    <s v="Cx."/>
    <x v="1"/>
    <s v="F"/>
    <m/>
    <n v="30"/>
    <n v="30"/>
    <n v="0"/>
    <s v="Negative"/>
  </r>
  <r>
    <n v="2023"/>
    <s v="CSU-19503"/>
    <n v="29109"/>
    <x v="0"/>
    <x v="0"/>
    <s v="LC"/>
    <s v="FC"/>
    <s v="FC-014"/>
    <x v="1"/>
    <s v="L"/>
    <s v="Cx."/>
    <x v="0"/>
    <s v="F"/>
    <m/>
    <n v="50"/>
    <n v="50"/>
    <n v="0"/>
    <s v="Negative"/>
  </r>
  <r>
    <n v="2023"/>
    <s v="CSU-19504"/>
    <n v="29110"/>
    <x v="0"/>
    <x v="0"/>
    <s v="LC"/>
    <s v="FC"/>
    <s v="FC-014"/>
    <x v="1"/>
    <s v="L"/>
    <s v="Cx."/>
    <x v="0"/>
    <s v="F"/>
    <m/>
    <n v="50"/>
    <n v="50"/>
    <n v="0"/>
    <s v="Negative"/>
  </r>
  <r>
    <n v="2023"/>
    <s v="CSU-19505"/>
    <n v="29111"/>
    <x v="0"/>
    <x v="0"/>
    <s v="LC"/>
    <s v="FC"/>
    <s v="FC-014"/>
    <x v="1"/>
    <s v="L"/>
    <s v="Cx."/>
    <x v="0"/>
    <s v="F"/>
    <m/>
    <n v="50"/>
    <n v="50"/>
    <n v="0"/>
    <s v="Negative"/>
  </r>
  <r>
    <n v="2023"/>
    <s v="CSU-19506"/>
    <n v="29112"/>
    <x v="0"/>
    <x v="0"/>
    <s v="LC"/>
    <s v="FC"/>
    <s v="FC-014"/>
    <x v="1"/>
    <s v="L"/>
    <s v="Cx."/>
    <x v="0"/>
    <s v="F"/>
    <m/>
    <n v="11"/>
    <n v="11"/>
    <n v="0"/>
    <s v="Negative"/>
  </r>
  <r>
    <n v="2023"/>
    <s v="CSU-19507"/>
    <n v="29113"/>
    <x v="0"/>
    <x v="0"/>
    <s v="LC"/>
    <s v="FC"/>
    <s v="FC-014"/>
    <x v="1"/>
    <s v="L"/>
    <s v="Cx."/>
    <x v="1"/>
    <s v="F"/>
    <m/>
    <n v="11"/>
    <n v="11"/>
    <n v="0"/>
    <s v="Negative"/>
  </r>
  <r>
    <n v="2023"/>
    <s v="CSU-19508"/>
    <n v="29114"/>
    <x v="0"/>
    <x v="0"/>
    <s v="LC"/>
    <s v="FC"/>
    <s v="FC-067"/>
    <x v="1"/>
    <s v="L"/>
    <s v="Cx."/>
    <x v="0"/>
    <s v="F"/>
    <m/>
    <n v="29"/>
    <n v="29"/>
    <n v="0"/>
    <s v="Negative"/>
  </r>
  <r>
    <n v="2023"/>
    <s v="CSU-19509"/>
    <n v="29115"/>
    <x v="0"/>
    <x v="0"/>
    <s v="LC"/>
    <s v="FC"/>
    <s v="FC-067"/>
    <x v="1"/>
    <s v="L"/>
    <s v="Cx."/>
    <x v="1"/>
    <s v="F"/>
    <m/>
    <n v="4"/>
    <n v="4"/>
    <n v="0"/>
    <s v="Negative"/>
  </r>
  <r>
    <n v="2023"/>
    <s v="CSU-19510"/>
    <n v="29116"/>
    <x v="0"/>
    <x v="1"/>
    <s v="LC"/>
    <s v="LV"/>
    <s v="LV-110"/>
    <x v="0"/>
    <s v="L"/>
    <s v="Cx."/>
    <x v="0"/>
    <s v="F"/>
    <m/>
    <n v="23"/>
    <n v="23"/>
    <n v="0"/>
    <s v="Negative"/>
  </r>
  <r>
    <n v="2023"/>
    <s v="CSU-19511"/>
    <n v="29117"/>
    <x v="0"/>
    <x v="1"/>
    <s v="LC"/>
    <s v="LV"/>
    <s v="LV-104"/>
    <x v="0"/>
    <s v="L"/>
    <s v="Cx."/>
    <x v="0"/>
    <s v="F"/>
    <m/>
    <n v="50"/>
    <n v="50"/>
    <n v="0"/>
    <s v="Negative"/>
  </r>
  <r>
    <n v="2023"/>
    <s v="CSU-19512"/>
    <n v="29118"/>
    <x v="0"/>
    <x v="1"/>
    <s v="LC"/>
    <s v="LV"/>
    <s v="LV-104"/>
    <x v="0"/>
    <s v="L"/>
    <s v="Cx."/>
    <x v="0"/>
    <s v="F"/>
    <m/>
    <n v="50"/>
    <n v="50"/>
    <n v="0"/>
    <s v="Negative"/>
  </r>
  <r>
    <n v="2023"/>
    <s v="CSU-19513"/>
    <n v="29119"/>
    <x v="0"/>
    <x v="1"/>
    <s v="LC"/>
    <s v="LV"/>
    <s v="LV-104"/>
    <x v="0"/>
    <s v="L"/>
    <s v="Cx."/>
    <x v="0"/>
    <s v="F"/>
    <m/>
    <n v="27"/>
    <n v="27"/>
    <n v="0"/>
    <s v="Negative"/>
  </r>
  <r>
    <n v="2023"/>
    <s v="CSU-19514"/>
    <n v="29120"/>
    <x v="0"/>
    <x v="1"/>
    <s v="LC"/>
    <s v="LV"/>
    <s v="LV-104"/>
    <x v="0"/>
    <s v="L"/>
    <s v="Cx."/>
    <x v="1"/>
    <s v="F"/>
    <m/>
    <n v="6"/>
    <n v="6"/>
    <n v="0"/>
    <s v="Negative"/>
  </r>
  <r>
    <n v="2023"/>
    <s v="CSU-19515"/>
    <n v="29121"/>
    <x v="0"/>
    <x v="1"/>
    <s v="LC"/>
    <s v="FC"/>
    <s v="FC-039"/>
    <x v="3"/>
    <s v="L"/>
    <s v="Cx."/>
    <x v="0"/>
    <s v="F"/>
    <m/>
    <n v="50"/>
    <n v="50"/>
    <n v="0"/>
    <s v="Negative"/>
  </r>
  <r>
    <n v="2023"/>
    <s v="CSU-19516"/>
    <n v="29122"/>
    <x v="0"/>
    <x v="1"/>
    <s v="LC"/>
    <s v="FC"/>
    <s v="FC-039"/>
    <x v="3"/>
    <s v="L"/>
    <s v="Cx."/>
    <x v="0"/>
    <s v="F"/>
    <m/>
    <n v="4"/>
    <n v="4"/>
    <n v="0"/>
    <s v="Negative"/>
  </r>
  <r>
    <n v="2023"/>
    <s v="CSU-19517"/>
    <n v="29123"/>
    <x v="0"/>
    <x v="1"/>
    <s v="LC"/>
    <s v="FC"/>
    <s v="FC-053"/>
    <x v="3"/>
    <s v="L"/>
    <s v="Cx."/>
    <x v="0"/>
    <s v="F"/>
    <m/>
    <n v="50"/>
    <n v="50"/>
    <n v="0"/>
    <s v="Negative"/>
  </r>
  <r>
    <n v="2023"/>
    <s v="CSU-19518"/>
    <n v="29124"/>
    <x v="0"/>
    <x v="1"/>
    <s v="LC"/>
    <s v="FC"/>
    <s v="FC-053"/>
    <x v="3"/>
    <s v="L"/>
    <s v="Cx."/>
    <x v="0"/>
    <s v="F"/>
    <m/>
    <n v="1"/>
    <n v="1"/>
    <n v="0"/>
    <s v="Negative"/>
  </r>
  <r>
    <n v="2023"/>
    <s v="CSU-19519"/>
    <n v="29125"/>
    <x v="0"/>
    <x v="1"/>
    <s v="LC"/>
    <s v="FC"/>
    <s v="FC-075gr"/>
    <x v="3"/>
    <s v="G"/>
    <s v="Cx."/>
    <x v="0"/>
    <s v="F"/>
    <n v="4"/>
    <m/>
    <n v="4"/>
    <n v="0"/>
    <s v="Negative"/>
  </r>
  <r>
    <n v="2023"/>
    <s v="CSU-19520"/>
    <n v="29126"/>
    <x v="0"/>
    <x v="1"/>
    <s v="LC"/>
    <s v="FC"/>
    <s v="FC-075gr"/>
    <x v="3"/>
    <s v="G"/>
    <s v="Cx."/>
    <x v="1"/>
    <s v="F"/>
    <n v="21"/>
    <m/>
    <n v="21"/>
    <n v="0"/>
    <s v="Negative"/>
  </r>
  <r>
    <n v="2023"/>
    <s v="CSU-19521"/>
    <n v="29127"/>
    <x v="0"/>
    <x v="1"/>
    <s v="LC"/>
    <s v="LV"/>
    <s v="LV-089"/>
    <x v="0"/>
    <s v="L"/>
    <s v="Cx."/>
    <x v="0"/>
    <s v="F"/>
    <m/>
    <n v="50"/>
    <n v="50"/>
    <n v="0"/>
    <s v="Negative"/>
  </r>
  <r>
    <n v="2023"/>
    <s v="CSU-19522"/>
    <n v="29128"/>
    <x v="0"/>
    <x v="1"/>
    <s v="LC"/>
    <s v="LV"/>
    <s v="LV-089"/>
    <x v="0"/>
    <s v="L"/>
    <s v="Cx."/>
    <x v="0"/>
    <s v="F"/>
    <m/>
    <n v="50"/>
    <n v="50"/>
    <n v="0"/>
    <s v="Negative"/>
  </r>
  <r>
    <n v="2023"/>
    <s v="CSU-19523"/>
    <n v="29129"/>
    <x v="0"/>
    <x v="1"/>
    <s v="LC"/>
    <s v="LV"/>
    <s v="LV-089"/>
    <x v="0"/>
    <s v="L"/>
    <s v="Cx."/>
    <x v="0"/>
    <s v="F"/>
    <m/>
    <n v="50"/>
    <n v="50"/>
    <n v="0"/>
    <s v="Negative"/>
  </r>
  <r>
    <n v="2023"/>
    <s v="CSU-19524"/>
    <n v="29130"/>
    <x v="0"/>
    <x v="1"/>
    <s v="LC"/>
    <s v="LV"/>
    <s v="LV-089"/>
    <x v="0"/>
    <s v="L"/>
    <s v="Cx."/>
    <x v="0"/>
    <s v="F"/>
    <m/>
    <n v="50"/>
    <n v="50"/>
    <n v="0"/>
    <s v="Negative"/>
  </r>
  <r>
    <n v="2023"/>
    <s v="CSU-19525"/>
    <n v="29131"/>
    <x v="0"/>
    <x v="1"/>
    <s v="LC"/>
    <s v="LV"/>
    <s v="LV-089"/>
    <x v="0"/>
    <s v="L"/>
    <s v="Cx."/>
    <x v="0"/>
    <s v="F"/>
    <m/>
    <n v="50"/>
    <n v="50"/>
    <n v="0"/>
    <s v="Negative"/>
  </r>
  <r>
    <n v="2023"/>
    <s v="CSU-19526"/>
    <n v="29132"/>
    <x v="0"/>
    <x v="1"/>
    <s v="LC"/>
    <s v="LV"/>
    <s v="LV-089"/>
    <x v="0"/>
    <s v="L"/>
    <s v="Cx."/>
    <x v="0"/>
    <s v="F"/>
    <m/>
    <n v="50"/>
    <n v="50"/>
    <n v="0"/>
    <s v="Negative"/>
  </r>
  <r>
    <n v="2023"/>
    <s v="CSU-19527"/>
    <n v="29133"/>
    <x v="0"/>
    <x v="1"/>
    <s v="LC"/>
    <s v="LV"/>
    <s v="LV-089"/>
    <x v="0"/>
    <s v="L"/>
    <s v="Cx."/>
    <x v="0"/>
    <s v="F"/>
    <m/>
    <n v="50"/>
    <n v="50"/>
    <n v="0"/>
    <s v="Negative"/>
  </r>
  <r>
    <n v="2023"/>
    <s v="CSU-19528"/>
    <n v="29134"/>
    <x v="0"/>
    <x v="1"/>
    <s v="LC"/>
    <s v="LV"/>
    <s v="LV-089"/>
    <x v="0"/>
    <s v="L"/>
    <s v="Cx."/>
    <x v="0"/>
    <s v="F"/>
    <m/>
    <n v="50"/>
    <n v="50"/>
    <n v="0"/>
    <s v="Negative"/>
  </r>
  <r>
    <n v="2023"/>
    <s v="CSU-19529"/>
    <n v="29135"/>
    <x v="0"/>
    <x v="1"/>
    <s v="LC"/>
    <s v="LV"/>
    <s v="LV-089"/>
    <x v="0"/>
    <s v="L"/>
    <s v="Cx."/>
    <x v="0"/>
    <s v="F"/>
    <m/>
    <n v="50"/>
    <n v="50"/>
    <n v="0"/>
    <s v="Negative"/>
  </r>
  <r>
    <n v="2023"/>
    <s v="CSU-19530"/>
    <n v="29136"/>
    <x v="0"/>
    <x v="1"/>
    <s v="LC"/>
    <s v="LV"/>
    <s v="LV-089"/>
    <x v="0"/>
    <s v="L"/>
    <s v="Cx."/>
    <x v="0"/>
    <s v="F"/>
    <m/>
    <n v="50"/>
    <n v="50"/>
    <n v="0"/>
    <s v="Negative"/>
  </r>
  <r>
    <n v="2023"/>
    <s v="CSU-19531"/>
    <n v="29137"/>
    <x v="0"/>
    <x v="1"/>
    <s v="LC"/>
    <s v="LV"/>
    <s v="LV-089"/>
    <x v="0"/>
    <s v="L"/>
    <s v="Cx."/>
    <x v="0"/>
    <s v="F"/>
    <m/>
    <n v="50"/>
    <n v="50"/>
    <n v="0"/>
    <s v="Negative"/>
  </r>
  <r>
    <n v="2023"/>
    <s v="CSU-19532"/>
    <n v="29138"/>
    <x v="0"/>
    <x v="1"/>
    <s v="LC"/>
    <s v="LV"/>
    <s v="LV-089"/>
    <x v="0"/>
    <s v="L"/>
    <s v="Cx."/>
    <x v="0"/>
    <s v="F"/>
    <m/>
    <n v="29"/>
    <n v="29"/>
    <n v="0"/>
    <s v="Negative"/>
  </r>
  <r>
    <n v="2023"/>
    <s v="CSU-19533"/>
    <n v="29139"/>
    <x v="0"/>
    <x v="1"/>
    <s v="LC"/>
    <s v="FC"/>
    <s v="FC-088gr"/>
    <x v="3"/>
    <s v="G"/>
    <s v="Cx."/>
    <x v="1"/>
    <s v="F"/>
    <n v="29"/>
    <m/>
    <n v="29"/>
    <n v="0"/>
    <s v="Negative"/>
  </r>
  <r>
    <n v="2023"/>
    <s v="CSU-19534"/>
    <n v="29140"/>
    <x v="0"/>
    <x v="1"/>
    <s v="LC"/>
    <s v="FC"/>
    <s v="FC-050"/>
    <x v="3"/>
    <s v="L"/>
    <s v="Cx."/>
    <x v="0"/>
    <s v="F"/>
    <m/>
    <n v="50"/>
    <n v="50"/>
    <n v="0"/>
    <s v="Negative"/>
  </r>
  <r>
    <n v="2023"/>
    <s v="CSU-19535"/>
    <n v="29141"/>
    <x v="0"/>
    <x v="1"/>
    <s v="LC"/>
    <s v="FC"/>
    <s v="FC-050"/>
    <x v="3"/>
    <s v="L"/>
    <s v="Cx."/>
    <x v="0"/>
    <s v="F"/>
    <m/>
    <n v="5"/>
    <n v="5"/>
    <n v="0"/>
    <s v="Negative"/>
  </r>
  <r>
    <n v="2023"/>
    <s v="CSU-19536"/>
    <n v="29142"/>
    <x v="0"/>
    <x v="1"/>
    <s v="LC"/>
    <s v="FC"/>
    <s v="FC-023"/>
    <x v="3"/>
    <s v="L"/>
    <s v="Cx."/>
    <x v="0"/>
    <s v="F"/>
    <m/>
    <n v="50"/>
    <n v="50"/>
    <n v="0"/>
    <s v="Negative"/>
  </r>
  <r>
    <n v="2023"/>
    <s v="CSU-19537"/>
    <n v="29143"/>
    <x v="0"/>
    <x v="1"/>
    <s v="LC"/>
    <s v="FC"/>
    <s v="FC-023"/>
    <x v="3"/>
    <s v="L"/>
    <s v="Cx."/>
    <x v="0"/>
    <s v="F"/>
    <m/>
    <n v="43"/>
    <n v="43"/>
    <n v="0"/>
    <s v="Negative"/>
  </r>
  <r>
    <n v="2023"/>
    <s v="CSU-19538"/>
    <n v="29144"/>
    <x v="0"/>
    <x v="1"/>
    <s v="LC"/>
    <s v="FC"/>
    <s v="FC-075"/>
    <x v="3"/>
    <s v="L"/>
    <s v="Cx."/>
    <x v="0"/>
    <s v="F"/>
    <m/>
    <n v="50"/>
    <n v="50"/>
    <n v="0"/>
    <s v="Negative"/>
  </r>
  <r>
    <n v="2023"/>
    <s v="CSU-19539"/>
    <n v="29145"/>
    <x v="0"/>
    <x v="1"/>
    <s v="LC"/>
    <s v="FC"/>
    <s v="FC-075"/>
    <x v="3"/>
    <s v="L"/>
    <s v="Cx."/>
    <x v="0"/>
    <s v="F"/>
    <m/>
    <n v="50"/>
    <n v="50"/>
    <n v="0"/>
    <s v="Negative"/>
  </r>
  <r>
    <n v="2023"/>
    <s v="CSU-19540"/>
    <n v="29146"/>
    <x v="0"/>
    <x v="1"/>
    <s v="LC"/>
    <s v="FC"/>
    <s v="FC-075"/>
    <x v="3"/>
    <s v="L"/>
    <s v="Cx."/>
    <x v="0"/>
    <s v="F"/>
    <m/>
    <n v="50"/>
    <n v="50"/>
    <n v="0"/>
    <s v="Negative"/>
  </r>
  <r>
    <n v="2023"/>
    <s v="CSU-19541"/>
    <n v="29147"/>
    <x v="0"/>
    <x v="1"/>
    <s v="LC"/>
    <s v="FC"/>
    <s v="FC-075"/>
    <x v="3"/>
    <s v="L"/>
    <s v="Cx."/>
    <x v="0"/>
    <s v="F"/>
    <m/>
    <n v="50"/>
    <n v="50"/>
    <n v="0"/>
    <s v="Negative"/>
  </r>
  <r>
    <n v="2023"/>
    <s v="CSU-19542"/>
    <n v="29148"/>
    <x v="0"/>
    <x v="1"/>
    <s v="LC"/>
    <s v="FC"/>
    <s v="FC-075"/>
    <x v="3"/>
    <s v="L"/>
    <s v="Cx."/>
    <x v="0"/>
    <s v="F"/>
    <m/>
    <n v="50"/>
    <n v="50"/>
    <n v="0"/>
    <s v="Negative"/>
  </r>
  <r>
    <n v="2023"/>
    <s v="CSU-19543"/>
    <n v="29149"/>
    <x v="0"/>
    <x v="1"/>
    <s v="LC"/>
    <s v="FC"/>
    <s v="FC-075"/>
    <x v="3"/>
    <s v="L"/>
    <s v="Cx."/>
    <x v="0"/>
    <s v="F"/>
    <m/>
    <n v="21"/>
    <n v="21"/>
    <n v="0"/>
    <s v="Negative"/>
  </r>
  <r>
    <n v="2023"/>
    <s v="CSU-19544"/>
    <n v="29150"/>
    <x v="0"/>
    <x v="1"/>
    <s v="LC"/>
    <s v="FC"/>
    <s v="FC-075"/>
    <x v="3"/>
    <s v="L"/>
    <s v="Cx."/>
    <x v="1"/>
    <s v="F"/>
    <m/>
    <n v="20"/>
    <n v="20"/>
    <n v="0"/>
    <s v="Negative"/>
  </r>
  <r>
    <n v="2023"/>
    <s v="CSU-19545"/>
    <n v="29151"/>
    <x v="0"/>
    <x v="1"/>
    <s v="LC"/>
    <s v="FC"/>
    <s v="FC-074"/>
    <x v="3"/>
    <s v="L"/>
    <s v="Cx."/>
    <x v="0"/>
    <s v="F"/>
    <m/>
    <n v="50"/>
    <n v="50"/>
    <n v="0"/>
    <s v="Negative"/>
  </r>
  <r>
    <n v="2023"/>
    <s v="CSU-19546"/>
    <n v="29152"/>
    <x v="0"/>
    <x v="1"/>
    <s v="LC"/>
    <s v="FC"/>
    <s v="FC-074"/>
    <x v="3"/>
    <s v="L"/>
    <s v="Cx."/>
    <x v="0"/>
    <s v="F"/>
    <m/>
    <n v="50"/>
    <n v="50"/>
    <n v="0"/>
    <s v="Negative"/>
  </r>
  <r>
    <n v="2023"/>
    <s v="CSU-19547"/>
    <n v="29153"/>
    <x v="0"/>
    <x v="1"/>
    <s v="LC"/>
    <s v="FC"/>
    <s v="FC-074"/>
    <x v="3"/>
    <s v="L"/>
    <s v="Cx."/>
    <x v="0"/>
    <s v="F"/>
    <m/>
    <n v="50"/>
    <n v="50"/>
    <n v="0"/>
    <s v="Negative"/>
  </r>
  <r>
    <n v="2023"/>
    <s v="CSU-19548"/>
    <n v="29154"/>
    <x v="0"/>
    <x v="1"/>
    <s v="LC"/>
    <s v="FC"/>
    <s v="FC-074"/>
    <x v="3"/>
    <s v="L"/>
    <s v="Cx."/>
    <x v="0"/>
    <s v="F"/>
    <m/>
    <n v="50"/>
    <n v="50"/>
    <n v="0"/>
    <s v="Negative"/>
  </r>
  <r>
    <n v="2023"/>
    <s v="CSU-19549"/>
    <n v="29155"/>
    <x v="0"/>
    <x v="1"/>
    <s v="LC"/>
    <s v="FC"/>
    <s v="FC-074"/>
    <x v="3"/>
    <s v="L"/>
    <s v="Cx."/>
    <x v="0"/>
    <s v="F"/>
    <m/>
    <n v="50"/>
    <n v="50"/>
    <n v="0"/>
    <s v="Negative"/>
  </r>
  <r>
    <n v="2023"/>
    <s v="CSU-19550"/>
    <n v="29156"/>
    <x v="0"/>
    <x v="1"/>
    <s v="LC"/>
    <s v="FC"/>
    <s v="FC-074"/>
    <x v="3"/>
    <s v="L"/>
    <s v="Cx."/>
    <x v="0"/>
    <s v="F"/>
    <m/>
    <n v="50"/>
    <n v="50"/>
    <n v="0"/>
    <s v="Negative"/>
  </r>
  <r>
    <n v="2023"/>
    <s v="CSU-19551"/>
    <n v="29157"/>
    <x v="0"/>
    <x v="1"/>
    <s v="LC"/>
    <s v="FC"/>
    <s v="FC-074"/>
    <x v="3"/>
    <s v="L"/>
    <s v="Cx."/>
    <x v="0"/>
    <s v="F"/>
    <m/>
    <n v="36"/>
    <n v="36"/>
    <n v="0"/>
    <s v="Negative"/>
  </r>
  <r>
    <n v="2023"/>
    <s v="CSU-19552"/>
    <n v="29158"/>
    <x v="0"/>
    <x v="1"/>
    <s v="LC"/>
    <s v="FC"/>
    <s v="FC-064"/>
    <x v="3"/>
    <s v="L"/>
    <s v="Cx."/>
    <x v="0"/>
    <s v="F"/>
    <m/>
    <n v="50"/>
    <n v="50"/>
    <n v="0"/>
    <s v="Negative"/>
  </r>
  <r>
    <n v="2023"/>
    <s v="CSU-19553"/>
    <n v="29159"/>
    <x v="0"/>
    <x v="1"/>
    <s v="LC"/>
    <s v="FC"/>
    <s v="FC-064"/>
    <x v="3"/>
    <s v="L"/>
    <s v="Cx."/>
    <x v="0"/>
    <s v="F"/>
    <m/>
    <n v="50"/>
    <n v="50"/>
    <n v="0"/>
    <s v="Negative"/>
  </r>
  <r>
    <n v="2023"/>
    <s v="CSU-19554"/>
    <n v="29160"/>
    <x v="0"/>
    <x v="1"/>
    <s v="LC"/>
    <s v="FC"/>
    <s v="FC-064"/>
    <x v="3"/>
    <s v="L"/>
    <s v="Cx."/>
    <x v="0"/>
    <s v="F"/>
    <m/>
    <n v="50"/>
    <n v="50"/>
    <n v="0"/>
    <s v="Negative"/>
  </r>
  <r>
    <n v="2023"/>
    <s v="CSU-19555"/>
    <n v="29161"/>
    <x v="0"/>
    <x v="1"/>
    <s v="LC"/>
    <s v="FC"/>
    <s v="FC-064"/>
    <x v="3"/>
    <s v="L"/>
    <s v="Cx."/>
    <x v="0"/>
    <s v="F"/>
    <m/>
    <n v="50"/>
    <n v="50"/>
    <n v="0"/>
    <s v="Negative"/>
  </r>
  <r>
    <n v="2023"/>
    <s v="CSU-19556"/>
    <n v="29162"/>
    <x v="0"/>
    <x v="1"/>
    <s v="LC"/>
    <s v="FC"/>
    <s v="FC-064"/>
    <x v="3"/>
    <s v="L"/>
    <s v="Cx."/>
    <x v="0"/>
    <s v="F"/>
    <m/>
    <n v="50"/>
    <n v="50"/>
    <n v="0"/>
    <s v="Negative"/>
  </r>
  <r>
    <n v="2023"/>
    <s v="CSU-19557"/>
    <n v="29163"/>
    <x v="0"/>
    <x v="1"/>
    <s v="LC"/>
    <s v="FC"/>
    <s v="FC-064"/>
    <x v="3"/>
    <s v="L"/>
    <s v="Cx."/>
    <x v="0"/>
    <s v="F"/>
    <m/>
    <n v="50"/>
    <n v="50"/>
    <n v="0"/>
    <s v="Negative"/>
  </r>
  <r>
    <n v="2023"/>
    <s v="CSU-19558"/>
    <n v="29164"/>
    <x v="0"/>
    <x v="1"/>
    <s v="LC"/>
    <s v="FC"/>
    <s v="FC-064"/>
    <x v="3"/>
    <s v="L"/>
    <s v="Cx."/>
    <x v="0"/>
    <s v="F"/>
    <m/>
    <n v="50"/>
    <n v="50"/>
    <n v="1"/>
    <s v="Positive"/>
  </r>
  <r>
    <n v="2023"/>
    <s v="CSU-19559"/>
    <n v="29165"/>
    <x v="0"/>
    <x v="1"/>
    <s v="LC"/>
    <s v="FC"/>
    <s v="FC-064"/>
    <x v="3"/>
    <s v="L"/>
    <s v="Cx."/>
    <x v="0"/>
    <s v="F"/>
    <m/>
    <n v="50"/>
    <n v="50"/>
    <n v="0"/>
    <s v="Negative"/>
  </r>
  <r>
    <n v="2023"/>
    <s v="CSU-19560"/>
    <n v="29166"/>
    <x v="0"/>
    <x v="1"/>
    <s v="LC"/>
    <s v="FC"/>
    <s v="FC-064"/>
    <x v="3"/>
    <s v="L"/>
    <s v="Cx."/>
    <x v="0"/>
    <s v="F"/>
    <m/>
    <n v="50"/>
    <n v="50"/>
    <n v="0"/>
    <s v="Negative"/>
  </r>
  <r>
    <n v="2023"/>
    <s v="CSU-19561"/>
    <n v="29167"/>
    <x v="0"/>
    <x v="1"/>
    <s v="LC"/>
    <s v="FC"/>
    <s v="FC-064"/>
    <x v="3"/>
    <s v="L"/>
    <s v="Cx."/>
    <x v="0"/>
    <s v="F"/>
    <m/>
    <n v="50"/>
    <n v="50"/>
    <n v="0"/>
    <s v="Negative"/>
  </r>
  <r>
    <n v="2023"/>
    <s v="CSU-19562"/>
    <n v="29168"/>
    <x v="0"/>
    <x v="1"/>
    <s v="LC"/>
    <s v="FC"/>
    <s v="FC-064"/>
    <x v="3"/>
    <s v="L"/>
    <s v="Cx."/>
    <x v="0"/>
    <s v="F"/>
    <m/>
    <n v="50"/>
    <n v="50"/>
    <n v="0"/>
    <s v="Negative"/>
  </r>
  <r>
    <n v="2023"/>
    <s v="CSU-19563"/>
    <n v="29169"/>
    <x v="0"/>
    <x v="1"/>
    <s v="LC"/>
    <s v="FC"/>
    <s v="FC-064"/>
    <x v="3"/>
    <s v="L"/>
    <s v="Cx."/>
    <x v="0"/>
    <s v="F"/>
    <m/>
    <n v="50"/>
    <n v="50"/>
    <n v="0"/>
    <s v="Negative"/>
  </r>
  <r>
    <n v="2023"/>
    <s v="CSU-19564"/>
    <n v="29170"/>
    <x v="0"/>
    <x v="1"/>
    <s v="LC"/>
    <s v="FC"/>
    <s v="FC-064"/>
    <x v="3"/>
    <s v="L"/>
    <s v="Cx."/>
    <x v="0"/>
    <s v="F"/>
    <m/>
    <n v="10"/>
    <n v="10"/>
    <n v="0"/>
    <s v="Negative"/>
  </r>
  <r>
    <n v="2023"/>
    <s v="CSU-19565"/>
    <n v="29171"/>
    <x v="0"/>
    <x v="1"/>
    <s v="LC"/>
    <s v="FC"/>
    <s v="FC-064"/>
    <x v="3"/>
    <s v="L"/>
    <s v="Cx."/>
    <x v="1"/>
    <s v="F"/>
    <m/>
    <n v="18"/>
    <n v="18"/>
    <n v="0"/>
    <s v="Negative"/>
  </r>
  <r>
    <n v="2023"/>
    <s v="CSU-19566"/>
    <n v="29172"/>
    <x v="0"/>
    <x v="1"/>
    <s v="LC"/>
    <s v="FC"/>
    <s v="FC-046"/>
    <x v="3"/>
    <s v="L"/>
    <s v="Cx."/>
    <x v="0"/>
    <s v="F"/>
    <m/>
    <n v="50"/>
    <n v="50"/>
    <n v="0"/>
    <s v="Negative"/>
  </r>
  <r>
    <n v="2023"/>
    <s v="CSU-19567"/>
    <n v="29173"/>
    <x v="0"/>
    <x v="1"/>
    <s v="LC"/>
    <s v="FC"/>
    <s v="FC-046"/>
    <x v="3"/>
    <s v="L"/>
    <s v="Cx."/>
    <x v="0"/>
    <s v="F"/>
    <m/>
    <n v="50"/>
    <n v="50"/>
    <n v="0"/>
    <s v="Negative"/>
  </r>
  <r>
    <n v="2023"/>
    <s v="CSU-19568"/>
    <n v="29174"/>
    <x v="0"/>
    <x v="1"/>
    <s v="LC"/>
    <s v="FC"/>
    <s v="FC-046"/>
    <x v="3"/>
    <s v="L"/>
    <s v="Cx."/>
    <x v="0"/>
    <s v="F"/>
    <m/>
    <n v="28"/>
    <n v="28"/>
    <n v="0"/>
    <s v="Negative"/>
  </r>
  <r>
    <n v="2023"/>
    <s v="CSU-19569"/>
    <n v="29175"/>
    <x v="0"/>
    <x v="1"/>
    <s v="LC"/>
    <s v="FC"/>
    <s v="FC-046"/>
    <x v="3"/>
    <s v="L"/>
    <s v="Cx."/>
    <x v="1"/>
    <s v="F"/>
    <m/>
    <n v="6"/>
    <n v="6"/>
    <n v="0"/>
    <s v="Negative"/>
  </r>
  <r>
    <n v="2023"/>
    <s v="CSU-19570"/>
    <n v="29176"/>
    <x v="0"/>
    <x v="1"/>
    <s v="LC"/>
    <s v="FC"/>
    <s v="FC-004"/>
    <x v="3"/>
    <s v="L"/>
    <s v="Cx."/>
    <x v="0"/>
    <s v="F"/>
    <m/>
    <n v="50"/>
    <n v="50"/>
    <n v="0"/>
    <s v="Negative"/>
  </r>
  <r>
    <n v="2023"/>
    <s v="CSU-19571"/>
    <n v="29177"/>
    <x v="0"/>
    <x v="1"/>
    <s v="LC"/>
    <s v="FC"/>
    <s v="FC-004"/>
    <x v="3"/>
    <s v="L"/>
    <s v="Cx."/>
    <x v="0"/>
    <s v="F"/>
    <m/>
    <n v="50"/>
    <n v="50"/>
    <n v="0"/>
    <s v="Negative"/>
  </r>
  <r>
    <n v="2023"/>
    <s v="CSU-19572"/>
    <n v="29178"/>
    <x v="0"/>
    <x v="1"/>
    <s v="LC"/>
    <s v="FC"/>
    <s v="FC-004"/>
    <x v="3"/>
    <s v="L"/>
    <s v="Cx."/>
    <x v="0"/>
    <s v="F"/>
    <m/>
    <n v="50"/>
    <n v="50"/>
    <n v="0"/>
    <s v="Negative"/>
  </r>
  <r>
    <n v="2023"/>
    <s v="CSU-19573"/>
    <n v="29179"/>
    <x v="0"/>
    <x v="1"/>
    <s v="LC"/>
    <s v="FC"/>
    <s v="FC-004"/>
    <x v="3"/>
    <s v="L"/>
    <s v="Cx."/>
    <x v="0"/>
    <s v="F"/>
    <m/>
    <n v="50"/>
    <n v="50"/>
    <n v="0"/>
    <s v="Negative"/>
  </r>
  <r>
    <n v="2023"/>
    <s v="CSU-19574"/>
    <n v="29180"/>
    <x v="0"/>
    <x v="1"/>
    <s v="LC"/>
    <s v="FC"/>
    <s v="FC-004"/>
    <x v="3"/>
    <s v="L"/>
    <s v="Cx."/>
    <x v="0"/>
    <s v="F"/>
    <m/>
    <n v="12"/>
    <n v="12"/>
    <n v="0"/>
    <s v="Negative"/>
  </r>
  <r>
    <n v="2023"/>
    <s v="CSU-19575"/>
    <n v="29181"/>
    <x v="0"/>
    <x v="1"/>
    <s v="LC"/>
    <s v="FC"/>
    <s v="FC-004"/>
    <x v="3"/>
    <s v="L"/>
    <s v="Cx."/>
    <x v="1"/>
    <s v="F"/>
    <m/>
    <n v="3"/>
    <n v="3"/>
    <n v="0"/>
    <s v="Negative"/>
  </r>
  <r>
    <n v="2023"/>
    <s v="CSU-19576"/>
    <n v="29182"/>
    <x v="0"/>
    <x v="1"/>
    <s v="LC"/>
    <s v="FC"/>
    <s v="FC-031"/>
    <x v="3"/>
    <s v="L"/>
    <s v="Cx."/>
    <x v="0"/>
    <s v="F"/>
    <m/>
    <n v="50"/>
    <n v="50"/>
    <n v="0"/>
    <s v="Negative"/>
  </r>
  <r>
    <n v="2023"/>
    <s v="CSU-19577"/>
    <n v="29183"/>
    <x v="0"/>
    <x v="1"/>
    <s v="LC"/>
    <s v="FC"/>
    <s v="FC-031"/>
    <x v="3"/>
    <s v="L"/>
    <s v="Cx."/>
    <x v="0"/>
    <s v="F"/>
    <m/>
    <n v="50"/>
    <n v="50"/>
    <n v="0"/>
    <s v="Negative"/>
  </r>
  <r>
    <n v="2023"/>
    <s v="CSU-19578"/>
    <n v="29184"/>
    <x v="0"/>
    <x v="1"/>
    <s v="LC"/>
    <s v="FC"/>
    <s v="FC-031"/>
    <x v="3"/>
    <s v="L"/>
    <s v="Cx."/>
    <x v="0"/>
    <s v="F"/>
    <m/>
    <n v="50"/>
    <n v="50"/>
    <n v="0"/>
    <s v="Negative"/>
  </r>
  <r>
    <n v="2023"/>
    <s v="CSU-19579"/>
    <n v="29185"/>
    <x v="0"/>
    <x v="1"/>
    <s v="LC"/>
    <s v="FC"/>
    <s v="FC-031"/>
    <x v="3"/>
    <s v="L"/>
    <s v="Cx."/>
    <x v="0"/>
    <s v="F"/>
    <m/>
    <n v="50"/>
    <n v="50"/>
    <n v="0"/>
    <s v="Negative"/>
  </r>
  <r>
    <n v="2023"/>
    <s v="CSU-19580"/>
    <n v="29186"/>
    <x v="0"/>
    <x v="1"/>
    <s v="LC"/>
    <s v="FC"/>
    <s v="FC-031"/>
    <x v="3"/>
    <s v="L"/>
    <s v="Cx."/>
    <x v="0"/>
    <s v="F"/>
    <m/>
    <n v="50"/>
    <n v="50"/>
    <n v="0"/>
    <s v="Negative"/>
  </r>
  <r>
    <n v="2023"/>
    <s v="CSU-19581"/>
    <n v="29187"/>
    <x v="0"/>
    <x v="1"/>
    <s v="LC"/>
    <s v="FC"/>
    <s v="FC-031"/>
    <x v="3"/>
    <s v="L"/>
    <s v="Cx."/>
    <x v="0"/>
    <s v="F"/>
    <m/>
    <n v="50"/>
    <n v="50"/>
    <n v="0"/>
    <s v="Negative"/>
  </r>
  <r>
    <n v="2023"/>
    <s v="CSU-19582"/>
    <n v="29188"/>
    <x v="0"/>
    <x v="1"/>
    <s v="LC"/>
    <s v="FC"/>
    <s v="FC-031"/>
    <x v="3"/>
    <s v="L"/>
    <s v="Cx."/>
    <x v="0"/>
    <s v="F"/>
    <m/>
    <n v="50"/>
    <n v="50"/>
    <n v="0"/>
    <s v="Negative"/>
  </r>
  <r>
    <n v="2023"/>
    <s v="CSU-19583"/>
    <n v="29189"/>
    <x v="0"/>
    <x v="1"/>
    <s v="LC"/>
    <s v="FC"/>
    <s v="FC-059"/>
    <x v="3"/>
    <s v="L"/>
    <s v="Cx."/>
    <x v="0"/>
    <s v="F"/>
    <m/>
    <n v="50"/>
    <n v="50"/>
    <n v="0"/>
    <s v="Negative"/>
  </r>
  <r>
    <n v="2023"/>
    <s v="CSU-19584"/>
    <n v="29190"/>
    <x v="0"/>
    <x v="1"/>
    <s v="LC"/>
    <s v="FC"/>
    <s v="FC-059"/>
    <x v="3"/>
    <s v="L"/>
    <s v="Cx."/>
    <x v="0"/>
    <s v="F"/>
    <m/>
    <n v="50"/>
    <n v="50"/>
    <n v="0"/>
    <s v="Negative"/>
  </r>
  <r>
    <n v="2023"/>
    <s v="CSU-19585"/>
    <n v="29191"/>
    <x v="0"/>
    <x v="1"/>
    <s v="LC"/>
    <s v="FC"/>
    <s v="FC-059"/>
    <x v="3"/>
    <s v="L"/>
    <s v="Cx."/>
    <x v="0"/>
    <s v="F"/>
    <m/>
    <n v="50"/>
    <n v="50"/>
    <n v="0"/>
    <s v="Negative"/>
  </r>
  <r>
    <n v="2023"/>
    <s v="CSU-19586"/>
    <n v="29192"/>
    <x v="0"/>
    <x v="1"/>
    <s v="LC"/>
    <s v="FC"/>
    <s v="FC-059"/>
    <x v="3"/>
    <s v="L"/>
    <s v="Cx."/>
    <x v="0"/>
    <s v="F"/>
    <m/>
    <n v="2"/>
    <n v="2"/>
    <n v="0"/>
    <s v="Negative"/>
  </r>
  <r>
    <n v="2023"/>
    <s v="CSU-19587"/>
    <n v="29193"/>
    <x v="0"/>
    <x v="1"/>
    <s v="LC"/>
    <s v="FC"/>
    <s v="FC-059"/>
    <x v="3"/>
    <s v="L"/>
    <s v="Cx."/>
    <x v="1"/>
    <s v="F"/>
    <m/>
    <n v="4"/>
    <n v="4"/>
    <n v="0"/>
    <s v="Negative"/>
  </r>
  <r>
    <n v="2023"/>
    <s v="CSU-19588"/>
    <n v="29194"/>
    <x v="0"/>
    <x v="1"/>
    <s v="LC"/>
    <s v="FC"/>
    <s v="FC-047"/>
    <x v="3"/>
    <s v="L"/>
    <s v="Cx."/>
    <x v="0"/>
    <s v="F"/>
    <m/>
    <n v="50"/>
    <n v="50"/>
    <n v="0"/>
    <s v="Negative"/>
  </r>
  <r>
    <n v="2023"/>
    <s v="CSU-19589"/>
    <n v="29195"/>
    <x v="0"/>
    <x v="1"/>
    <s v="LC"/>
    <s v="FC"/>
    <s v="FC-047"/>
    <x v="3"/>
    <s v="L"/>
    <s v="Cx."/>
    <x v="0"/>
    <s v="F"/>
    <m/>
    <n v="3"/>
    <n v="3"/>
    <n v="0"/>
    <s v="Negative"/>
  </r>
  <r>
    <n v="2023"/>
    <s v="CSU-19590"/>
    <n v="29196"/>
    <x v="0"/>
    <x v="1"/>
    <s v="LC"/>
    <s v="FC"/>
    <s v="FC-027"/>
    <x v="3"/>
    <s v="L"/>
    <s v="Cx."/>
    <x v="0"/>
    <s v="F"/>
    <m/>
    <n v="50"/>
    <n v="50"/>
    <n v="0"/>
    <s v="Negative"/>
  </r>
  <r>
    <n v="2023"/>
    <s v="CSU-19591"/>
    <n v="29197"/>
    <x v="0"/>
    <x v="1"/>
    <s v="LC"/>
    <s v="FC"/>
    <s v="FC-027"/>
    <x v="3"/>
    <s v="L"/>
    <s v="Cx."/>
    <x v="0"/>
    <s v="F"/>
    <m/>
    <n v="50"/>
    <n v="50"/>
    <n v="0"/>
    <s v="Negative"/>
  </r>
  <r>
    <n v="2023"/>
    <s v="CSU-19592"/>
    <n v="29198"/>
    <x v="0"/>
    <x v="1"/>
    <s v="LC"/>
    <s v="FC"/>
    <s v="FC-027"/>
    <x v="3"/>
    <s v="L"/>
    <s v="Cx."/>
    <x v="0"/>
    <s v="F"/>
    <m/>
    <n v="50"/>
    <n v="50"/>
    <n v="0"/>
    <s v="Negative"/>
  </r>
  <r>
    <n v="2023"/>
    <s v="CSU-19593"/>
    <n v="29199"/>
    <x v="0"/>
    <x v="1"/>
    <s v="LC"/>
    <s v="FC"/>
    <s v="FC-027"/>
    <x v="3"/>
    <s v="L"/>
    <s v="Cx."/>
    <x v="0"/>
    <s v="F"/>
    <m/>
    <n v="50"/>
    <n v="50"/>
    <n v="0"/>
    <s v="Negative"/>
  </r>
  <r>
    <n v="2023"/>
    <s v="CSU-19594"/>
    <n v="29200"/>
    <x v="0"/>
    <x v="1"/>
    <s v="LC"/>
    <s v="FC"/>
    <s v="FC-027"/>
    <x v="3"/>
    <s v="L"/>
    <s v="Cx."/>
    <x v="0"/>
    <s v="F"/>
    <m/>
    <n v="46"/>
    <n v="46"/>
    <n v="0"/>
    <s v="Negative"/>
  </r>
  <r>
    <n v="2023"/>
    <s v="CSU-19595"/>
    <n v="29201"/>
    <x v="0"/>
    <x v="1"/>
    <s v="LC"/>
    <s v="FC"/>
    <s v="FC-027"/>
    <x v="3"/>
    <s v="L"/>
    <s v="Cx."/>
    <x v="1"/>
    <s v="F"/>
    <m/>
    <n v="14"/>
    <n v="14"/>
    <n v="0"/>
    <s v="Negative"/>
  </r>
  <r>
    <n v="2023"/>
    <s v="CSU-19596"/>
    <n v="29202"/>
    <x v="0"/>
    <x v="2"/>
    <s v="LC"/>
    <s v="FC"/>
    <s v="FC-090gr"/>
    <x v="2"/>
    <s v="G"/>
    <s v="Cx."/>
    <x v="1"/>
    <s v="F"/>
    <n v="7"/>
    <m/>
    <n v="7"/>
    <n v="0"/>
    <s v="Negative"/>
  </r>
  <r>
    <n v="2023"/>
    <s v="CSU-19597"/>
    <n v="29203"/>
    <x v="0"/>
    <x v="2"/>
    <s v="LC"/>
    <s v="FC"/>
    <s v="FC-060"/>
    <x v="2"/>
    <s v="L"/>
    <s v="Cx."/>
    <x v="0"/>
    <s v="F"/>
    <m/>
    <n v="30"/>
    <n v="30"/>
    <n v="0"/>
    <s v="Negative"/>
  </r>
  <r>
    <n v="2023"/>
    <s v="CSU-19598"/>
    <n v="29204"/>
    <x v="0"/>
    <x v="2"/>
    <s v="LC"/>
    <s v="FC"/>
    <s v="FC-060"/>
    <x v="2"/>
    <s v="L"/>
    <s v="Cx."/>
    <x v="1"/>
    <s v="F"/>
    <m/>
    <n v="2"/>
    <n v="2"/>
    <n v="0"/>
    <s v="Negative"/>
  </r>
  <r>
    <n v="2023"/>
    <s v="CSU-19599"/>
    <n v="29205"/>
    <x v="0"/>
    <x v="2"/>
    <s v="LC"/>
    <s v="FC"/>
    <s v="FC-063gr"/>
    <x v="2"/>
    <s v="G"/>
    <s v="Cx."/>
    <x v="1"/>
    <s v="F"/>
    <n v="18"/>
    <m/>
    <n v="18"/>
    <n v="0"/>
    <s v="Negative"/>
  </r>
  <r>
    <n v="2023"/>
    <s v="CSU-19600"/>
    <n v="29206"/>
    <x v="0"/>
    <x v="2"/>
    <s v="LC"/>
    <s v="FC"/>
    <s v="FC-011"/>
    <x v="2"/>
    <s v="L"/>
    <s v="Cx."/>
    <x v="0"/>
    <s v="F"/>
    <m/>
    <n v="10"/>
    <n v="10"/>
    <n v="0"/>
    <s v="Negative"/>
  </r>
  <r>
    <n v="2023"/>
    <s v="CSU-19601"/>
    <n v="29207"/>
    <x v="0"/>
    <x v="2"/>
    <s v="LC"/>
    <s v="FC"/>
    <s v="FC-011"/>
    <x v="2"/>
    <s v="L"/>
    <s v="Cx."/>
    <x v="1"/>
    <s v="F"/>
    <m/>
    <n v="1"/>
    <n v="1"/>
    <n v="0"/>
    <s v="Negative"/>
  </r>
  <r>
    <n v="2023"/>
    <s v="CSU-19602"/>
    <n v="29208"/>
    <x v="0"/>
    <x v="2"/>
    <s v="LC"/>
    <s v="FC"/>
    <s v="FC-058"/>
    <x v="4"/>
    <s v="L"/>
    <s v="Cx."/>
    <x v="0"/>
    <s v="F"/>
    <m/>
    <n v="11"/>
    <n v="11"/>
    <n v="0"/>
    <s v="Negative"/>
  </r>
  <r>
    <n v="2023"/>
    <s v="CSU-19603"/>
    <n v="29209"/>
    <x v="0"/>
    <x v="2"/>
    <s v="LC"/>
    <s v="FC"/>
    <s v="FC-052"/>
    <x v="2"/>
    <s v="L"/>
    <s v="Cx."/>
    <x v="0"/>
    <s v="F"/>
    <m/>
    <n v="50"/>
    <n v="50"/>
    <n v="0"/>
    <s v="Negative"/>
  </r>
  <r>
    <n v="2023"/>
    <s v="CSU-19604"/>
    <n v="29210"/>
    <x v="0"/>
    <x v="2"/>
    <s v="LC"/>
    <s v="FC"/>
    <s v="FC-052"/>
    <x v="2"/>
    <s v="L"/>
    <s v="Cx."/>
    <x v="0"/>
    <s v="F"/>
    <m/>
    <n v="41"/>
    <n v="41"/>
    <n v="0"/>
    <s v="Negative"/>
  </r>
  <r>
    <n v="2023"/>
    <s v="CSU-19605"/>
    <n v="29211"/>
    <x v="0"/>
    <x v="2"/>
    <s v="LC"/>
    <s v="FC"/>
    <s v="FC-052"/>
    <x v="2"/>
    <s v="L"/>
    <s v="Cx."/>
    <x v="1"/>
    <s v="F"/>
    <m/>
    <n v="1"/>
    <n v="1"/>
    <n v="0"/>
    <s v="Negative"/>
  </r>
  <r>
    <n v="2023"/>
    <s v="CSU-19606"/>
    <n v="29212"/>
    <x v="0"/>
    <x v="2"/>
    <s v="LC"/>
    <s v="FC"/>
    <s v="FC-049"/>
    <x v="4"/>
    <s v="L"/>
    <s v="Cx."/>
    <x v="0"/>
    <s v="F"/>
    <m/>
    <n v="50"/>
    <n v="50"/>
    <n v="0"/>
    <s v="Negative"/>
  </r>
  <r>
    <n v="2023"/>
    <s v="CSU-19607"/>
    <n v="29213"/>
    <x v="0"/>
    <x v="2"/>
    <s v="LC"/>
    <s v="FC"/>
    <s v="FC-049"/>
    <x v="4"/>
    <s v="L"/>
    <s v="Cx."/>
    <x v="0"/>
    <s v="F"/>
    <m/>
    <n v="17"/>
    <n v="17"/>
    <n v="0"/>
    <s v="Negative"/>
  </r>
  <r>
    <n v="2023"/>
    <s v="CSU-19608"/>
    <n v="29214"/>
    <x v="0"/>
    <x v="2"/>
    <s v="LC"/>
    <s v="FC"/>
    <s v="FC-015"/>
    <x v="2"/>
    <s v="L"/>
    <s v="Cx."/>
    <x v="0"/>
    <s v="F"/>
    <m/>
    <n v="27"/>
    <n v="27"/>
    <n v="0"/>
    <s v="Negative"/>
  </r>
  <r>
    <n v="2023"/>
    <s v="CSU-19609"/>
    <n v="29215"/>
    <x v="0"/>
    <x v="2"/>
    <s v="LC"/>
    <s v="BE"/>
    <s v="LC-054"/>
    <x v="5"/>
    <s v="L"/>
    <s v="Cx."/>
    <x v="0"/>
    <s v="F"/>
    <m/>
    <n v="50"/>
    <n v="50"/>
    <n v="0"/>
    <s v="Negative"/>
  </r>
  <r>
    <n v="2023"/>
    <s v="CSU-19610"/>
    <n v="29216"/>
    <x v="0"/>
    <x v="2"/>
    <s v="LC"/>
    <s v="BE"/>
    <s v="LC-054"/>
    <x v="5"/>
    <s v="L"/>
    <s v="Cx."/>
    <x v="0"/>
    <s v="F"/>
    <m/>
    <n v="50"/>
    <n v="50"/>
    <n v="0"/>
    <s v="Negative"/>
  </r>
  <r>
    <n v="2023"/>
    <s v="CSU-19611"/>
    <n v="29217"/>
    <x v="0"/>
    <x v="2"/>
    <s v="LC"/>
    <s v="BE"/>
    <s v="LC-054"/>
    <x v="5"/>
    <s v="L"/>
    <s v="Cx."/>
    <x v="0"/>
    <s v="F"/>
    <m/>
    <n v="21"/>
    <n v="21"/>
    <n v="0"/>
    <s v="Negative"/>
  </r>
  <r>
    <n v="2023"/>
    <s v="CSU-19612"/>
    <n v="29218"/>
    <x v="0"/>
    <x v="2"/>
    <s v="LC"/>
    <s v="BE"/>
    <s v="LC-054"/>
    <x v="5"/>
    <s v="L"/>
    <s v="Cx."/>
    <x v="1"/>
    <s v="F"/>
    <m/>
    <n v="1"/>
    <n v="1"/>
    <n v="0"/>
    <s v="Negative"/>
  </r>
  <r>
    <n v="2023"/>
    <s v="CSU-19613"/>
    <n v="29219"/>
    <x v="0"/>
    <x v="2"/>
    <s v="LC"/>
    <s v="BE"/>
    <s v="LC-053"/>
    <x v="5"/>
    <s v="L"/>
    <s v="Cx."/>
    <x v="0"/>
    <s v="F"/>
    <m/>
    <n v="50"/>
    <n v="50"/>
    <n v="0"/>
    <s v="Negative"/>
  </r>
  <r>
    <n v="2023"/>
    <s v="CSU-19614"/>
    <n v="29220"/>
    <x v="0"/>
    <x v="2"/>
    <s v="LC"/>
    <s v="BE"/>
    <s v="LC-053"/>
    <x v="5"/>
    <s v="L"/>
    <s v="Cx."/>
    <x v="0"/>
    <s v="F"/>
    <m/>
    <n v="50"/>
    <n v="50"/>
    <n v="0"/>
    <s v="Negative"/>
  </r>
  <r>
    <n v="2023"/>
    <s v="CSU-19615"/>
    <n v="29221"/>
    <x v="0"/>
    <x v="2"/>
    <s v="LC"/>
    <s v="BE"/>
    <s v="LC-053"/>
    <x v="5"/>
    <s v="L"/>
    <s v="Cx."/>
    <x v="0"/>
    <s v="F"/>
    <m/>
    <n v="50"/>
    <n v="50"/>
    <n v="0"/>
    <s v="Negative"/>
  </r>
  <r>
    <n v="2023"/>
    <s v="CSU-19616"/>
    <n v="29222"/>
    <x v="0"/>
    <x v="2"/>
    <s v="LC"/>
    <s v="BE"/>
    <s v="WC-055"/>
    <x v="5"/>
    <s v="L"/>
    <s v="Cx."/>
    <x v="0"/>
    <s v="F"/>
    <m/>
    <n v="50"/>
    <n v="50"/>
    <n v="0"/>
    <s v="Negative"/>
  </r>
  <r>
    <n v="2023"/>
    <s v="CSU-19617"/>
    <n v="29223"/>
    <x v="0"/>
    <x v="2"/>
    <s v="LC"/>
    <s v="BE"/>
    <s v="WC-055"/>
    <x v="5"/>
    <s v="L"/>
    <s v="Cx."/>
    <x v="0"/>
    <s v="F"/>
    <m/>
    <n v="50"/>
    <n v="50"/>
    <n v="0"/>
    <s v="Negative"/>
  </r>
  <r>
    <n v="2023"/>
    <s v="CSU-19618"/>
    <n v="29224"/>
    <x v="0"/>
    <x v="2"/>
    <s v="LC"/>
    <s v="BE"/>
    <s v="WC-055"/>
    <x v="5"/>
    <s v="L"/>
    <s v="Cx."/>
    <x v="0"/>
    <s v="F"/>
    <m/>
    <n v="50"/>
    <n v="50"/>
    <n v="0"/>
    <s v="Negative"/>
  </r>
  <r>
    <n v="2023"/>
    <s v="CSU-19619"/>
    <n v="29225"/>
    <x v="0"/>
    <x v="2"/>
    <s v="LC"/>
    <s v="BE"/>
    <s v="LC-049"/>
    <x v="5"/>
    <s v="L"/>
    <s v="Cx."/>
    <x v="0"/>
    <s v="F"/>
    <m/>
    <n v="46"/>
    <n v="46"/>
    <n v="0"/>
    <s v="Negative"/>
  </r>
  <r>
    <n v="2023"/>
    <s v="CSU-19620"/>
    <n v="29226"/>
    <x v="0"/>
    <x v="2"/>
    <s v="LC"/>
    <s v="BE"/>
    <s v="LC-001"/>
    <x v="5"/>
    <s v="L"/>
    <s v="Cx."/>
    <x v="0"/>
    <s v="F"/>
    <m/>
    <n v="50"/>
    <n v="50"/>
    <n v="0"/>
    <s v="Negative"/>
  </r>
  <r>
    <n v="2023"/>
    <s v="CSU-19621"/>
    <n v="29227"/>
    <x v="0"/>
    <x v="2"/>
    <s v="LC"/>
    <s v="BE"/>
    <s v="LC-001"/>
    <x v="5"/>
    <s v="L"/>
    <s v="Cx."/>
    <x v="0"/>
    <s v="F"/>
    <m/>
    <n v="50"/>
    <n v="50"/>
    <n v="0"/>
    <s v="Negative"/>
  </r>
  <r>
    <n v="2023"/>
    <s v="CSU-19622"/>
    <n v="29228"/>
    <x v="0"/>
    <x v="2"/>
    <s v="LC"/>
    <s v="BE"/>
    <s v="LC-001"/>
    <x v="5"/>
    <s v="L"/>
    <s v="Cx."/>
    <x v="0"/>
    <s v="F"/>
    <m/>
    <n v="50"/>
    <n v="50"/>
    <n v="0"/>
    <s v="Negative"/>
  </r>
  <r>
    <n v="2023"/>
    <s v="CSU-19623"/>
    <n v="29229"/>
    <x v="0"/>
    <x v="2"/>
    <s v="LC"/>
    <s v="BE"/>
    <s v="LC-001"/>
    <x v="5"/>
    <s v="L"/>
    <s v="Cx."/>
    <x v="1"/>
    <s v="F"/>
    <m/>
    <n v="4"/>
    <n v="4"/>
    <n v="0"/>
    <s v="Negative"/>
  </r>
  <r>
    <n v="2023"/>
    <s v="CSU-19624"/>
    <n v="29230"/>
    <x v="0"/>
    <x v="2"/>
    <s v="LC"/>
    <s v="LV"/>
    <s v="LV-020"/>
    <x v="0"/>
    <s v="L"/>
    <s v="Cx."/>
    <x v="0"/>
    <s v="F"/>
    <m/>
    <n v="50"/>
    <n v="50"/>
    <n v="0"/>
    <s v="Negative"/>
  </r>
  <r>
    <n v="2023"/>
    <s v="CSU-19625"/>
    <n v="29231"/>
    <x v="0"/>
    <x v="2"/>
    <s v="LC"/>
    <s v="LV"/>
    <s v="LV-020"/>
    <x v="0"/>
    <s v="L"/>
    <s v="Cx."/>
    <x v="0"/>
    <s v="F"/>
    <m/>
    <n v="50"/>
    <n v="50"/>
    <n v="0"/>
    <s v="Negative"/>
  </r>
  <r>
    <n v="2023"/>
    <s v="CSU-19626"/>
    <n v="29232"/>
    <x v="0"/>
    <x v="2"/>
    <s v="LC"/>
    <s v="LV"/>
    <s v="LV-020"/>
    <x v="0"/>
    <s v="L"/>
    <s v="Cx."/>
    <x v="0"/>
    <s v="F"/>
    <m/>
    <n v="50"/>
    <n v="50"/>
    <n v="0"/>
    <s v="Negative"/>
  </r>
  <r>
    <n v="2023"/>
    <s v="CSU-19627"/>
    <n v="29233"/>
    <x v="0"/>
    <x v="2"/>
    <s v="LC"/>
    <s v="LV"/>
    <s v="LV-020"/>
    <x v="0"/>
    <s v="L"/>
    <s v="Cx."/>
    <x v="0"/>
    <s v="F"/>
    <m/>
    <n v="50"/>
    <n v="50"/>
    <n v="0"/>
    <s v="Negative"/>
  </r>
  <r>
    <n v="2023"/>
    <s v="CSU-19628"/>
    <n v="29234"/>
    <x v="0"/>
    <x v="2"/>
    <s v="LC"/>
    <s v="LV"/>
    <s v="LV-020"/>
    <x v="0"/>
    <s v="L"/>
    <s v="Cx."/>
    <x v="0"/>
    <s v="F"/>
    <m/>
    <n v="50"/>
    <n v="50"/>
    <n v="0"/>
    <s v="Negative"/>
  </r>
  <r>
    <n v="2023"/>
    <s v="CSU-19629"/>
    <n v="29235"/>
    <x v="0"/>
    <x v="2"/>
    <s v="LC"/>
    <s v="LV"/>
    <s v="LV-020"/>
    <x v="0"/>
    <s v="L"/>
    <s v="Cx."/>
    <x v="0"/>
    <s v="F"/>
    <m/>
    <n v="50"/>
    <n v="50"/>
    <n v="0"/>
    <s v="Negative"/>
  </r>
  <r>
    <n v="2023"/>
    <s v="CSU-19630"/>
    <n v="29236"/>
    <x v="0"/>
    <x v="2"/>
    <s v="LC"/>
    <s v="LV"/>
    <s v="LV-020"/>
    <x v="0"/>
    <s v="L"/>
    <s v="Cx."/>
    <x v="0"/>
    <s v="F"/>
    <m/>
    <n v="50"/>
    <n v="50"/>
    <n v="0"/>
    <s v="Negative"/>
  </r>
  <r>
    <n v="2023"/>
    <s v="CSU-19631"/>
    <n v="29237"/>
    <x v="0"/>
    <x v="2"/>
    <s v="LC"/>
    <s v="LV"/>
    <s v="LV-020"/>
    <x v="0"/>
    <s v="L"/>
    <s v="Cx."/>
    <x v="0"/>
    <s v="F"/>
    <m/>
    <n v="50"/>
    <n v="50"/>
    <n v="0"/>
    <s v="Negative"/>
  </r>
  <r>
    <n v="2023"/>
    <s v="CSU-19632"/>
    <n v="29238"/>
    <x v="0"/>
    <x v="2"/>
    <s v="LC"/>
    <s v="LV"/>
    <s v="LV-020"/>
    <x v="0"/>
    <s v="L"/>
    <s v="Cx."/>
    <x v="0"/>
    <s v="F"/>
    <m/>
    <n v="50"/>
    <n v="50"/>
    <n v="0"/>
    <s v="Negative"/>
  </r>
  <r>
    <n v="2023"/>
    <s v="CSU-19633"/>
    <n v="29239"/>
    <x v="0"/>
    <x v="2"/>
    <s v="LC"/>
    <s v="LV"/>
    <s v="LV-020"/>
    <x v="0"/>
    <s v="L"/>
    <s v="Cx."/>
    <x v="0"/>
    <s v="F"/>
    <m/>
    <n v="45"/>
    <n v="45"/>
    <n v="0"/>
    <s v="Negative"/>
  </r>
  <r>
    <n v="2023"/>
    <s v="CSU-19634"/>
    <n v="29240"/>
    <x v="0"/>
    <x v="2"/>
    <s v="LC"/>
    <s v="FC"/>
    <s v="FC-061"/>
    <x v="2"/>
    <s v="L"/>
    <s v="Cx."/>
    <x v="0"/>
    <s v="F"/>
    <m/>
    <n v="50"/>
    <n v="50"/>
    <n v="0"/>
    <s v="Negative"/>
  </r>
  <r>
    <n v="2023"/>
    <s v="CSU-19635"/>
    <n v="29241"/>
    <x v="0"/>
    <x v="2"/>
    <s v="LC"/>
    <s v="FC"/>
    <s v="FC-061"/>
    <x v="2"/>
    <s v="L"/>
    <s v="Cx."/>
    <x v="0"/>
    <s v="F"/>
    <m/>
    <n v="50"/>
    <n v="50"/>
    <n v="0"/>
    <s v="Negative"/>
  </r>
  <r>
    <n v="2023"/>
    <s v="CSU-19636"/>
    <n v="29242"/>
    <x v="0"/>
    <x v="2"/>
    <s v="LC"/>
    <s v="FC"/>
    <s v="FC-061"/>
    <x v="2"/>
    <s v="L"/>
    <s v="Cx."/>
    <x v="0"/>
    <s v="F"/>
    <m/>
    <n v="50"/>
    <n v="50"/>
    <n v="0"/>
    <s v="Negative"/>
  </r>
  <r>
    <n v="2023"/>
    <s v="CSU-19637"/>
    <n v="29243"/>
    <x v="0"/>
    <x v="2"/>
    <s v="LC"/>
    <s v="FC"/>
    <s v="FC-061"/>
    <x v="2"/>
    <s v="L"/>
    <s v="Cx."/>
    <x v="0"/>
    <s v="F"/>
    <m/>
    <n v="29"/>
    <n v="29"/>
    <n v="0"/>
    <s v="Negative"/>
  </r>
  <r>
    <n v="2023"/>
    <s v="CSU-19638"/>
    <n v="29244"/>
    <x v="0"/>
    <x v="2"/>
    <s v="LC"/>
    <s v="FC"/>
    <s v="FC-073"/>
    <x v="2"/>
    <s v="L"/>
    <s v="Cx."/>
    <x v="0"/>
    <s v="F"/>
    <m/>
    <n v="50"/>
    <n v="50"/>
    <n v="0"/>
    <s v="Negative"/>
  </r>
  <r>
    <n v="2023"/>
    <s v="CSU-19639"/>
    <n v="29245"/>
    <x v="0"/>
    <x v="2"/>
    <s v="LC"/>
    <s v="FC"/>
    <s v="FC-073"/>
    <x v="2"/>
    <s v="L"/>
    <s v="Cx."/>
    <x v="0"/>
    <s v="F"/>
    <m/>
    <n v="50"/>
    <n v="50"/>
    <n v="0"/>
    <s v="Negative"/>
  </r>
  <r>
    <n v="2023"/>
    <s v="CSU-19640"/>
    <n v="29246"/>
    <x v="0"/>
    <x v="2"/>
    <s v="LC"/>
    <s v="FC"/>
    <s v="FC-073"/>
    <x v="2"/>
    <s v="L"/>
    <s v="Cx."/>
    <x v="0"/>
    <s v="F"/>
    <m/>
    <n v="50"/>
    <n v="50"/>
    <n v="0"/>
    <s v="Negative"/>
  </r>
  <r>
    <n v="2023"/>
    <s v="CSU-19641"/>
    <n v="29247"/>
    <x v="0"/>
    <x v="2"/>
    <s v="LC"/>
    <s v="FC"/>
    <s v="FC-073"/>
    <x v="2"/>
    <s v="L"/>
    <s v="Cx."/>
    <x v="0"/>
    <s v="F"/>
    <m/>
    <n v="50"/>
    <n v="50"/>
    <n v="0"/>
    <s v="Negative"/>
  </r>
  <r>
    <n v="2023"/>
    <s v="CSU-19642"/>
    <n v="29248"/>
    <x v="0"/>
    <x v="2"/>
    <s v="LC"/>
    <s v="FC"/>
    <s v="FC-073"/>
    <x v="2"/>
    <s v="L"/>
    <s v="Cx."/>
    <x v="0"/>
    <s v="F"/>
    <m/>
    <n v="50"/>
    <n v="50"/>
    <n v="0"/>
    <s v="Negative"/>
  </r>
  <r>
    <n v="2023"/>
    <s v="CSU-19643"/>
    <n v="29249"/>
    <x v="0"/>
    <x v="2"/>
    <s v="LC"/>
    <s v="FC"/>
    <s v="FC-073"/>
    <x v="2"/>
    <s v="L"/>
    <s v="Cx."/>
    <x v="0"/>
    <s v="F"/>
    <m/>
    <n v="1"/>
    <n v="1"/>
    <n v="0"/>
    <s v="Negative"/>
  </r>
  <r>
    <n v="2023"/>
    <s v="CSU-19644"/>
    <n v="29250"/>
    <x v="0"/>
    <x v="2"/>
    <s v="LC"/>
    <s v="FC"/>
    <s v="FC-073"/>
    <x v="2"/>
    <s v="L"/>
    <s v="Cx."/>
    <x v="1"/>
    <s v="F"/>
    <m/>
    <n v="9"/>
    <n v="9"/>
    <n v="0"/>
    <s v="Negative"/>
  </r>
  <r>
    <n v="2023"/>
    <s v="CSU-19645"/>
    <n v="29251"/>
    <x v="0"/>
    <x v="2"/>
    <s v="LC"/>
    <s v="FC"/>
    <s v="FC-063"/>
    <x v="2"/>
    <s v="L"/>
    <s v="Cx."/>
    <x v="0"/>
    <s v="F"/>
    <m/>
    <n v="11"/>
    <n v="11"/>
    <n v="0"/>
    <s v="Negative"/>
  </r>
  <r>
    <n v="2023"/>
    <s v="CSU-19646"/>
    <n v="29252"/>
    <x v="0"/>
    <x v="2"/>
    <s v="LC"/>
    <s v="FC"/>
    <s v="FC-041"/>
    <x v="2"/>
    <s v="L"/>
    <s v="Cx."/>
    <x v="0"/>
    <s v="F"/>
    <m/>
    <n v="50"/>
    <n v="50"/>
    <n v="0"/>
    <s v="Negative"/>
  </r>
  <r>
    <n v="2023"/>
    <s v="CSU-19647"/>
    <n v="29253"/>
    <x v="0"/>
    <x v="2"/>
    <s v="LC"/>
    <s v="FC"/>
    <s v="FC-041"/>
    <x v="2"/>
    <s v="L"/>
    <s v="Cx."/>
    <x v="0"/>
    <s v="F"/>
    <m/>
    <n v="50"/>
    <n v="50"/>
    <n v="0"/>
    <s v="Negative"/>
  </r>
  <r>
    <n v="2023"/>
    <s v="CSU-19648"/>
    <n v="29254"/>
    <x v="0"/>
    <x v="2"/>
    <s v="LC"/>
    <s v="FC"/>
    <s v="FC-041"/>
    <x v="2"/>
    <s v="L"/>
    <s v="Cx."/>
    <x v="0"/>
    <s v="F"/>
    <m/>
    <n v="50"/>
    <n v="50"/>
    <n v="0"/>
    <s v="Negative"/>
  </r>
  <r>
    <n v="2023"/>
    <s v="CSU-19649"/>
    <n v="29255"/>
    <x v="0"/>
    <x v="2"/>
    <s v="LC"/>
    <s v="FC"/>
    <s v="FC-041"/>
    <x v="2"/>
    <s v="L"/>
    <s v="Cx."/>
    <x v="0"/>
    <s v="F"/>
    <m/>
    <n v="50"/>
    <n v="50"/>
    <n v="0"/>
    <s v="Negative"/>
  </r>
  <r>
    <n v="2023"/>
    <s v="CSU-19650"/>
    <n v="29256"/>
    <x v="0"/>
    <x v="2"/>
    <s v="LC"/>
    <s v="FC"/>
    <s v="FC-041"/>
    <x v="2"/>
    <s v="L"/>
    <s v="Cx."/>
    <x v="0"/>
    <s v="F"/>
    <m/>
    <n v="50"/>
    <n v="50"/>
    <n v="0"/>
    <s v="Negative"/>
  </r>
  <r>
    <n v="2023"/>
    <s v="CSU-19651"/>
    <n v="29257"/>
    <x v="0"/>
    <x v="2"/>
    <s v="LC"/>
    <s v="FC"/>
    <s v="FC-041"/>
    <x v="2"/>
    <s v="L"/>
    <s v="Cx."/>
    <x v="0"/>
    <s v="F"/>
    <m/>
    <n v="50"/>
    <n v="50"/>
    <n v="0"/>
    <s v="Negative"/>
  </r>
  <r>
    <n v="2023"/>
    <s v="CSU-19652"/>
    <n v="29258"/>
    <x v="0"/>
    <x v="2"/>
    <s v="LC"/>
    <s v="FC"/>
    <s v="FC-041"/>
    <x v="2"/>
    <s v="L"/>
    <s v="Cx."/>
    <x v="0"/>
    <s v="F"/>
    <m/>
    <n v="50"/>
    <n v="50"/>
    <n v="0"/>
    <s v="Negative"/>
  </r>
  <r>
    <n v="2023"/>
    <s v="CSU-19653"/>
    <n v="29259"/>
    <x v="0"/>
    <x v="2"/>
    <s v="LC"/>
    <s v="FC"/>
    <s v="FC-041"/>
    <x v="2"/>
    <s v="L"/>
    <s v="Cx."/>
    <x v="0"/>
    <s v="F"/>
    <m/>
    <n v="50"/>
    <n v="50"/>
    <n v="0"/>
    <s v="Negative"/>
  </r>
  <r>
    <n v="2023"/>
    <s v="CSU-19654"/>
    <n v="29260"/>
    <x v="0"/>
    <x v="2"/>
    <s v="LC"/>
    <s v="FC"/>
    <s v="FC-041"/>
    <x v="2"/>
    <s v="L"/>
    <s v="Cx."/>
    <x v="0"/>
    <s v="F"/>
    <m/>
    <n v="50"/>
    <n v="50"/>
    <n v="0"/>
    <s v="Negative"/>
  </r>
  <r>
    <n v="2023"/>
    <s v="CSU-19655"/>
    <n v="29261"/>
    <x v="0"/>
    <x v="2"/>
    <s v="LC"/>
    <s v="FC"/>
    <s v="FC-041"/>
    <x v="2"/>
    <s v="L"/>
    <s v="Cx."/>
    <x v="0"/>
    <s v="F"/>
    <m/>
    <n v="2"/>
    <n v="2"/>
    <n v="0"/>
    <s v="Negative"/>
  </r>
  <r>
    <n v="2023"/>
    <s v="CSU-19656"/>
    <n v="29262"/>
    <x v="0"/>
    <x v="2"/>
    <s v="LC"/>
    <s v="FC"/>
    <s v="FC-041"/>
    <x v="2"/>
    <s v="L"/>
    <s v="Cx."/>
    <x v="1"/>
    <s v="F"/>
    <m/>
    <n v="17"/>
    <n v="17"/>
    <n v="0"/>
    <s v="Negative"/>
  </r>
  <r>
    <n v="2023"/>
    <s v="CSU-19657"/>
    <n v="29263"/>
    <x v="0"/>
    <x v="3"/>
    <s v="LC"/>
    <s v="FC"/>
    <s v="FC-001"/>
    <x v="4"/>
    <s v="L"/>
    <s v="Cx."/>
    <x v="0"/>
    <s v="F"/>
    <m/>
    <n v="50"/>
    <n v="50"/>
    <n v="0"/>
    <s v="Negative"/>
  </r>
  <r>
    <n v="2023"/>
    <s v="CSU-19658"/>
    <n v="29264"/>
    <x v="0"/>
    <x v="3"/>
    <s v="LC"/>
    <s v="FC"/>
    <s v="FC-001"/>
    <x v="4"/>
    <s v="L"/>
    <s v="Cx."/>
    <x v="0"/>
    <s v="F"/>
    <m/>
    <n v="50"/>
    <n v="50"/>
    <n v="0"/>
    <s v="Negative"/>
  </r>
  <r>
    <n v="2023"/>
    <s v="CSU-19659"/>
    <n v="29265"/>
    <x v="0"/>
    <x v="3"/>
    <s v="LC"/>
    <s v="FC"/>
    <s v="FC-001"/>
    <x v="4"/>
    <s v="L"/>
    <s v="Cx."/>
    <x v="0"/>
    <s v="F"/>
    <m/>
    <n v="49"/>
    <n v="49"/>
    <n v="0"/>
    <s v="Negative"/>
  </r>
  <r>
    <n v="2023"/>
    <s v="CSU-19660"/>
    <n v="29266"/>
    <x v="0"/>
    <x v="3"/>
    <s v="LC"/>
    <s v="FC"/>
    <s v="FC-001"/>
    <x v="4"/>
    <s v="L"/>
    <s v="Cx."/>
    <x v="1"/>
    <s v="F"/>
    <m/>
    <n v="17"/>
    <n v="17"/>
    <n v="0"/>
    <s v="Negative"/>
  </r>
  <r>
    <n v="2023"/>
    <s v="CSU-19661"/>
    <n v="29267"/>
    <x v="0"/>
    <x v="3"/>
    <s v="LC"/>
    <s v="FC"/>
    <s v="FC-029gr"/>
    <x v="3"/>
    <s v="G"/>
    <s v="Cx."/>
    <x v="0"/>
    <s v="F"/>
    <n v="2"/>
    <m/>
    <n v="2"/>
    <n v="0"/>
    <s v="Negative"/>
  </r>
  <r>
    <n v="2023"/>
    <s v="CSU-19662"/>
    <n v="29268"/>
    <x v="0"/>
    <x v="3"/>
    <s v="LC"/>
    <s v="FC"/>
    <s v="FC-029gr"/>
    <x v="3"/>
    <s v="G"/>
    <s v="Cx."/>
    <x v="1"/>
    <s v="F"/>
    <n v="21"/>
    <m/>
    <n v="21"/>
    <n v="0"/>
    <s v="Negative"/>
  </r>
  <r>
    <n v="2023"/>
    <s v="CSU-19663"/>
    <n v="29269"/>
    <x v="0"/>
    <x v="3"/>
    <s v="LC"/>
    <s v="FC"/>
    <s v="FC-029"/>
    <x v="3"/>
    <s v="L"/>
    <s v="Cx."/>
    <x v="0"/>
    <s v="F"/>
    <m/>
    <n v="10"/>
    <n v="10"/>
    <n v="0"/>
    <s v="Negative"/>
  </r>
  <r>
    <n v="2023"/>
    <s v="CSU-19664"/>
    <n v="29270"/>
    <x v="0"/>
    <x v="3"/>
    <s v="LC"/>
    <s v="FC"/>
    <s v="FC-068"/>
    <x v="4"/>
    <s v="L"/>
    <s v="Cx."/>
    <x v="0"/>
    <s v="F"/>
    <m/>
    <n v="8"/>
    <n v="8"/>
    <n v="0"/>
    <s v="Negative"/>
  </r>
  <r>
    <n v="2023"/>
    <s v="CSU-19665"/>
    <n v="29271"/>
    <x v="0"/>
    <x v="3"/>
    <s v="LC"/>
    <s v="FC"/>
    <s v="FC-054"/>
    <x v="3"/>
    <s v="L"/>
    <s v="Cx."/>
    <x v="0"/>
    <s v="F"/>
    <m/>
    <n v="50"/>
    <n v="50"/>
    <n v="0"/>
    <s v="Negative"/>
  </r>
  <r>
    <n v="2023"/>
    <s v="CSU-19666"/>
    <n v="29272"/>
    <x v="0"/>
    <x v="3"/>
    <s v="LC"/>
    <s v="FC"/>
    <s v="FC-054"/>
    <x v="3"/>
    <s v="L"/>
    <s v="Cx."/>
    <x v="0"/>
    <s v="F"/>
    <m/>
    <n v="50"/>
    <n v="50"/>
    <n v="0"/>
    <s v="Negative"/>
  </r>
  <r>
    <n v="2023"/>
    <s v="CSU-19667"/>
    <n v="29273"/>
    <x v="0"/>
    <x v="3"/>
    <s v="LC"/>
    <s v="FC"/>
    <s v="FC-054"/>
    <x v="3"/>
    <s v="L"/>
    <s v="Cx."/>
    <x v="0"/>
    <s v="F"/>
    <m/>
    <n v="50"/>
    <n v="50"/>
    <n v="0"/>
    <s v="Negative"/>
  </r>
  <r>
    <n v="2023"/>
    <s v="CSU-19668"/>
    <n v="29274"/>
    <x v="0"/>
    <x v="3"/>
    <s v="LC"/>
    <s v="FC"/>
    <s v="FC-054"/>
    <x v="3"/>
    <s v="L"/>
    <s v="Cx."/>
    <x v="0"/>
    <s v="F"/>
    <m/>
    <n v="50"/>
    <n v="50"/>
    <n v="0"/>
    <s v="Negative"/>
  </r>
  <r>
    <n v="2023"/>
    <s v="CSU-19669"/>
    <n v="29275"/>
    <x v="0"/>
    <x v="3"/>
    <s v="LC"/>
    <s v="FC"/>
    <s v="FC-054"/>
    <x v="3"/>
    <s v="L"/>
    <s v="Cx."/>
    <x v="0"/>
    <s v="F"/>
    <m/>
    <n v="50"/>
    <n v="50"/>
    <n v="0"/>
    <s v="Negative"/>
  </r>
  <r>
    <n v="2023"/>
    <s v="CSU-19670"/>
    <n v="29276"/>
    <x v="0"/>
    <x v="3"/>
    <s v="LC"/>
    <s v="FC"/>
    <s v="FC-054"/>
    <x v="3"/>
    <s v="L"/>
    <s v="Cx."/>
    <x v="0"/>
    <s v="F"/>
    <m/>
    <n v="50"/>
    <n v="50"/>
    <n v="0"/>
    <s v="Negative"/>
  </r>
  <r>
    <n v="2023"/>
    <s v="CSU-19671"/>
    <n v="29277"/>
    <x v="0"/>
    <x v="3"/>
    <s v="LC"/>
    <s v="FC"/>
    <s v="FC-054"/>
    <x v="3"/>
    <s v="L"/>
    <s v="Cx."/>
    <x v="0"/>
    <s v="F"/>
    <m/>
    <n v="50"/>
    <n v="50"/>
    <n v="0"/>
    <s v="Negative"/>
  </r>
  <r>
    <n v="2023"/>
    <s v="CSU-19672"/>
    <n v="29278"/>
    <x v="0"/>
    <x v="3"/>
    <s v="LC"/>
    <s v="FC"/>
    <s v="FC-054"/>
    <x v="3"/>
    <s v="L"/>
    <s v="Cx."/>
    <x v="0"/>
    <s v="F"/>
    <m/>
    <n v="50"/>
    <n v="50"/>
    <n v="0"/>
    <s v="Negative"/>
  </r>
  <r>
    <n v="2023"/>
    <s v="CSU-19673"/>
    <n v="29279"/>
    <x v="0"/>
    <x v="3"/>
    <s v="LC"/>
    <s v="FC"/>
    <s v="FC-054"/>
    <x v="3"/>
    <s v="L"/>
    <s v="Cx."/>
    <x v="0"/>
    <s v="F"/>
    <m/>
    <n v="50"/>
    <n v="50"/>
    <n v="0"/>
    <s v="Negative"/>
  </r>
  <r>
    <n v="2023"/>
    <s v="CSU-19674"/>
    <n v="29280"/>
    <x v="0"/>
    <x v="3"/>
    <s v="LC"/>
    <s v="FC"/>
    <s v="FC-054"/>
    <x v="3"/>
    <s v="L"/>
    <s v="Cx."/>
    <x v="0"/>
    <s v="F"/>
    <m/>
    <n v="50"/>
    <n v="50"/>
    <n v="0"/>
    <s v="Negative"/>
  </r>
  <r>
    <n v="2023"/>
    <s v="CSU-19675"/>
    <n v="29281"/>
    <x v="0"/>
    <x v="3"/>
    <s v="LC"/>
    <s v="FC"/>
    <s v="FC-054"/>
    <x v="3"/>
    <s v="L"/>
    <s v="Cx."/>
    <x v="0"/>
    <s v="F"/>
    <m/>
    <n v="50"/>
    <n v="50"/>
    <n v="0"/>
    <s v="Negative"/>
  </r>
  <r>
    <n v="2023"/>
    <s v="CSU-19676"/>
    <n v="29282"/>
    <x v="0"/>
    <x v="3"/>
    <s v="LC"/>
    <s v="FC"/>
    <s v="FC-054"/>
    <x v="3"/>
    <s v="L"/>
    <s v="Cx."/>
    <x v="0"/>
    <s v="F"/>
    <m/>
    <n v="50"/>
    <n v="50"/>
    <n v="0"/>
    <s v="Negative"/>
  </r>
  <r>
    <n v="2023"/>
    <s v="CSU-19677"/>
    <n v="29283"/>
    <x v="0"/>
    <x v="3"/>
    <s v="LC"/>
    <s v="FC"/>
    <s v="FC-054"/>
    <x v="3"/>
    <s v="L"/>
    <s v="Cx."/>
    <x v="0"/>
    <s v="F"/>
    <m/>
    <n v="42"/>
    <n v="42"/>
    <n v="0"/>
    <s v="Negative"/>
  </r>
  <r>
    <n v="2023"/>
    <s v="CSU-19678"/>
    <n v="29284"/>
    <x v="0"/>
    <x v="3"/>
    <s v="LC"/>
    <s v="FC"/>
    <s v="FC-054"/>
    <x v="3"/>
    <s v="L"/>
    <s v="Cx."/>
    <x v="1"/>
    <s v="F"/>
    <m/>
    <n v="15"/>
    <n v="15"/>
    <n v="0"/>
    <s v="Negative"/>
  </r>
  <r>
    <n v="2023"/>
    <s v="CSU-19679"/>
    <n v="29285"/>
    <x v="0"/>
    <x v="3"/>
    <s v="LC"/>
    <s v="FC"/>
    <s v="FC-062"/>
    <x v="4"/>
    <s v="L"/>
    <s v="Cx."/>
    <x v="0"/>
    <s v="F"/>
    <m/>
    <n v="50"/>
    <n v="50"/>
    <n v="0"/>
    <s v="Negative"/>
  </r>
  <r>
    <n v="2023"/>
    <s v="CSU-19680"/>
    <n v="29286"/>
    <x v="0"/>
    <x v="3"/>
    <s v="LC"/>
    <s v="FC"/>
    <s v="FC-062"/>
    <x v="4"/>
    <s v="L"/>
    <s v="Cx."/>
    <x v="0"/>
    <s v="F"/>
    <m/>
    <n v="50"/>
    <n v="50"/>
    <n v="0"/>
    <s v="Negative"/>
  </r>
  <r>
    <n v="2023"/>
    <s v="CSU-19681"/>
    <n v="29287"/>
    <x v="0"/>
    <x v="3"/>
    <s v="LC"/>
    <s v="FC"/>
    <s v="FC-062"/>
    <x v="4"/>
    <s v="L"/>
    <s v="Cx."/>
    <x v="0"/>
    <s v="F"/>
    <m/>
    <n v="42"/>
    <n v="42"/>
    <n v="0"/>
    <s v="Negative"/>
  </r>
  <r>
    <n v="2023"/>
    <s v="CSU-19682"/>
    <n v="29288"/>
    <x v="0"/>
    <x v="3"/>
    <s v="LC"/>
    <s v="FC"/>
    <s v="FC-062"/>
    <x v="4"/>
    <s v="L"/>
    <s v="Cx."/>
    <x v="1"/>
    <s v="F"/>
    <m/>
    <n v="22"/>
    <n v="22"/>
    <n v="0"/>
    <s v="Negative"/>
  </r>
  <r>
    <n v="2023"/>
    <s v="CSU-19683"/>
    <n v="29289"/>
    <x v="0"/>
    <x v="3"/>
    <s v="LC"/>
    <s v="FC"/>
    <s v="FC-089gr"/>
    <x v="4"/>
    <s v="G"/>
    <s v="Cx."/>
    <x v="0"/>
    <s v="F"/>
    <n v="1"/>
    <m/>
    <n v="1"/>
    <n v="0"/>
    <s v="Negative"/>
  </r>
  <r>
    <n v="2023"/>
    <s v="CSU-19684"/>
    <n v="29290"/>
    <x v="0"/>
    <x v="3"/>
    <s v="LC"/>
    <s v="FC"/>
    <s v="FC-089gr"/>
    <x v="4"/>
    <s v="G"/>
    <s v="Cx."/>
    <x v="1"/>
    <s v="F"/>
    <n v="20"/>
    <m/>
    <n v="20"/>
    <n v="0"/>
    <s v="Negative"/>
  </r>
  <r>
    <n v="2023"/>
    <s v="CSU-19685"/>
    <n v="29291"/>
    <x v="0"/>
    <x v="3"/>
    <s v="LC"/>
    <s v="FC"/>
    <s v="FC-057"/>
    <x v="4"/>
    <s v="L"/>
    <s v="Cx."/>
    <x v="0"/>
    <s v="F"/>
    <m/>
    <n v="6"/>
    <n v="6"/>
    <n v="0"/>
    <s v="Negative"/>
  </r>
  <r>
    <n v="2023"/>
    <s v="CSU-19686"/>
    <n v="29292"/>
    <x v="0"/>
    <x v="3"/>
    <s v="LC"/>
    <s v="FC"/>
    <s v="FC-071"/>
    <x v="4"/>
    <s v="L"/>
    <s v="Cx."/>
    <x v="0"/>
    <s v="F"/>
    <m/>
    <n v="50"/>
    <n v="50"/>
    <n v="0"/>
    <s v="Negative"/>
  </r>
  <r>
    <n v="2023"/>
    <s v="CSU-19687"/>
    <n v="29293"/>
    <x v="0"/>
    <x v="3"/>
    <s v="LC"/>
    <s v="FC"/>
    <s v="FC-071"/>
    <x v="4"/>
    <s v="L"/>
    <s v="Cx."/>
    <x v="0"/>
    <s v="F"/>
    <m/>
    <n v="50"/>
    <n v="50"/>
    <n v="0"/>
    <s v="Negative"/>
  </r>
  <r>
    <n v="2023"/>
    <s v="CSU-19688"/>
    <n v="29294"/>
    <x v="0"/>
    <x v="3"/>
    <s v="LC"/>
    <s v="FC"/>
    <s v="FC-071"/>
    <x v="4"/>
    <s v="L"/>
    <s v="Cx."/>
    <x v="0"/>
    <s v="F"/>
    <m/>
    <n v="30"/>
    <n v="30"/>
    <n v="0"/>
    <s v="Negative"/>
  </r>
  <r>
    <n v="2023"/>
    <s v="CSU-19689"/>
    <n v="29295"/>
    <x v="0"/>
    <x v="3"/>
    <s v="LC"/>
    <s v="FC"/>
    <s v="FC-071"/>
    <x v="4"/>
    <s v="L"/>
    <s v="Cx."/>
    <x v="1"/>
    <s v="F"/>
    <m/>
    <n v="2"/>
    <n v="2"/>
    <n v="0"/>
    <s v="Negative"/>
  </r>
  <r>
    <n v="2023"/>
    <s v="CSU-19690"/>
    <n v="29296"/>
    <x v="0"/>
    <x v="3"/>
    <s v="LC"/>
    <s v="FC"/>
    <s v="FC-037"/>
    <x v="4"/>
    <s v="L"/>
    <s v="Cx."/>
    <x v="0"/>
    <s v="F"/>
    <m/>
    <n v="50"/>
    <n v="50"/>
    <n v="0"/>
    <s v="Negative"/>
  </r>
  <r>
    <n v="2023"/>
    <s v="CSU-19691"/>
    <n v="29297"/>
    <x v="0"/>
    <x v="3"/>
    <s v="LC"/>
    <s v="FC"/>
    <s v="FC-037"/>
    <x v="4"/>
    <s v="L"/>
    <s v="Cx."/>
    <x v="0"/>
    <s v="F"/>
    <m/>
    <n v="50"/>
    <n v="50"/>
    <n v="0"/>
    <s v="Negative"/>
  </r>
  <r>
    <n v="2023"/>
    <s v="CSU-19692"/>
    <n v="29298"/>
    <x v="0"/>
    <x v="3"/>
    <s v="LC"/>
    <s v="FC"/>
    <s v="FC-037"/>
    <x v="4"/>
    <s v="L"/>
    <s v="Cx."/>
    <x v="0"/>
    <s v="F"/>
    <m/>
    <n v="50"/>
    <n v="50"/>
    <n v="0"/>
    <s v="Negative"/>
  </r>
  <r>
    <n v="2023"/>
    <s v="CSU-19693"/>
    <n v="29299"/>
    <x v="0"/>
    <x v="3"/>
    <s v="LC"/>
    <s v="FC"/>
    <s v="FC-037"/>
    <x v="4"/>
    <s v="L"/>
    <s v="Cx."/>
    <x v="0"/>
    <s v="F"/>
    <m/>
    <n v="50"/>
    <n v="50"/>
    <n v="0"/>
    <s v="Negative"/>
  </r>
  <r>
    <n v="2023"/>
    <s v="CSU-19694"/>
    <n v="29300"/>
    <x v="0"/>
    <x v="3"/>
    <s v="LC"/>
    <s v="FC"/>
    <s v="FC-037"/>
    <x v="4"/>
    <s v="L"/>
    <s v="Cx."/>
    <x v="0"/>
    <s v="F"/>
    <m/>
    <n v="50"/>
    <n v="50"/>
    <n v="0"/>
    <s v="Negative"/>
  </r>
  <r>
    <n v="2023"/>
    <s v="CSU-19695"/>
    <n v="29301"/>
    <x v="0"/>
    <x v="3"/>
    <s v="LC"/>
    <s v="FC"/>
    <s v="FC-037"/>
    <x v="4"/>
    <s v="L"/>
    <s v="Cx."/>
    <x v="0"/>
    <s v="F"/>
    <m/>
    <n v="50"/>
    <n v="50"/>
    <n v="0"/>
    <s v="Negative"/>
  </r>
  <r>
    <n v="2023"/>
    <s v="CSU-19696"/>
    <n v="29302"/>
    <x v="0"/>
    <x v="3"/>
    <s v="LC"/>
    <s v="FC"/>
    <s v="FC-037"/>
    <x v="4"/>
    <s v="L"/>
    <s v="Cx."/>
    <x v="0"/>
    <s v="F"/>
    <m/>
    <n v="12"/>
    <n v="12"/>
    <n v="0"/>
    <s v="Negative"/>
  </r>
  <r>
    <n v="2023"/>
    <s v="CSU-19697"/>
    <n v="29303"/>
    <x v="0"/>
    <x v="3"/>
    <s v="LC"/>
    <s v="FC"/>
    <s v="FC-037"/>
    <x v="4"/>
    <s v="L"/>
    <s v="Cx."/>
    <x v="1"/>
    <s v="F"/>
    <m/>
    <n v="3"/>
    <n v="3"/>
    <n v="0"/>
    <s v="Negative"/>
  </r>
  <r>
    <n v="2023"/>
    <s v="BOU-00145"/>
    <s v="N/A"/>
    <x v="0"/>
    <x v="0"/>
    <s v="BC"/>
    <s v="BC"/>
    <s v="BC-19"/>
    <x v="6"/>
    <s v="L"/>
    <s v="Cx."/>
    <x v="0"/>
    <s v="F"/>
    <m/>
    <n v="49"/>
    <n v="49"/>
    <n v="0"/>
    <s v="Negative"/>
  </r>
  <r>
    <n v="2023"/>
    <s v="BOU-00146"/>
    <s v="N/A"/>
    <x v="0"/>
    <x v="0"/>
    <s v="BC"/>
    <s v="BC"/>
    <s v="BC-15"/>
    <x v="6"/>
    <s v="L"/>
    <s v="Cx."/>
    <x v="0"/>
    <s v="F"/>
    <m/>
    <n v="32"/>
    <n v="32"/>
    <n v="0"/>
    <s v="Negative"/>
  </r>
  <r>
    <n v="2023"/>
    <s v="BOU-00147"/>
    <s v="N/A"/>
    <x v="0"/>
    <x v="0"/>
    <s v="BC"/>
    <s v="BC"/>
    <s v="BC-04"/>
    <x v="6"/>
    <s v="L"/>
    <s v="Cx."/>
    <x v="0"/>
    <s v="F"/>
    <m/>
    <n v="49"/>
    <n v="49"/>
    <n v="0"/>
    <s v="Negative"/>
  </r>
  <r>
    <n v="2023"/>
    <s v="BOU-00148"/>
    <s v="N/A"/>
    <x v="0"/>
    <x v="0"/>
    <s v="BC"/>
    <s v="BC"/>
    <s v="BC-18"/>
    <x v="6"/>
    <s v="L"/>
    <s v="Cx."/>
    <x v="0"/>
    <s v="F"/>
    <m/>
    <n v="46"/>
    <n v="46"/>
    <n v="0"/>
    <s v="Negative"/>
  </r>
  <r>
    <n v="2023"/>
    <s v="BOU-00149"/>
    <s v="N/A"/>
    <x v="0"/>
    <x v="0"/>
    <s v="BC"/>
    <s v="BC"/>
    <s v="BC-17"/>
    <x v="6"/>
    <s v="L"/>
    <s v="Cx."/>
    <x v="0"/>
    <s v="F"/>
    <m/>
    <n v="49"/>
    <n v="49"/>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F7EE6B-5A8A-214F-983A-BF6DA4498C1A}" name="PivotTable3" cacheId="980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1"/>
        <item x="2"/>
        <item x="3"/>
        <item x="4"/>
        <item x="5"/>
        <item x="6"/>
        <item x="0"/>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5E4986-790B-4694-828D-1E683E0328EA}" name="PivotTable1" cacheId="980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0"/>
        <item x="1"/>
        <item x="2"/>
        <item x="3"/>
        <item x="4"/>
        <item x="5"/>
        <item x="6"/>
        <item t="default"/>
      </items>
    </pivotField>
    <pivotField showAll="0" defaultSubtotal="0"/>
    <pivotField showAll="0" defaultSubtotal="0"/>
    <pivotField axis="axisCol" showAll="0" defaultSubtotal="0">
      <items count="3">
        <item x="0"/>
        <item x="1"/>
        <item m="1" x="2"/>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79D950-9C2B-43E6-855C-649F6F6B5174}" name="PivotTable4" cacheId="980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1"/>
        <item x="2"/>
        <item x="3"/>
        <item x="4"/>
        <item x="0"/>
        <item x="5"/>
        <item x="6"/>
        <item t="default"/>
      </items>
    </pivotField>
    <pivotField showAll="0"/>
    <pivotField showAll="0"/>
    <pivotField axis="axisCol" showAll="0">
      <items count="4">
        <item x="0"/>
        <item x="1"/>
        <item m="1" x="2"/>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B3E745-9008-42E8-87C1-FAB4C96FDCCD}" name="PivotTable1" cacheId="9806"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0"/>
        <item x="1"/>
        <item x="2"/>
        <item x="3"/>
        <item x="4"/>
        <item x="5"/>
        <item x="6"/>
        <item t="default"/>
      </items>
    </pivotField>
    <pivotField showAll="0" defaultSubtotal="0"/>
    <pivotField showAll="0"/>
    <pivotField axis="axisCol" showAll="0" defaultSubtotal="0">
      <items count="3">
        <item x="0"/>
        <item x="1"/>
        <item m="1" x="2"/>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0</v>
      </c>
    </row>
    <row r="2" spans="1:1">
      <c r="A2" t="s">
        <v>1</v>
      </c>
    </row>
    <row r="3" spans="1:1">
      <c r="A3" t="s">
        <v>2</v>
      </c>
    </row>
    <row r="5" spans="1:1">
      <c r="A5" t="s">
        <v>3</v>
      </c>
    </row>
    <row r="6" spans="1:1">
      <c r="A6" t="s">
        <v>4</v>
      </c>
    </row>
    <row r="7" spans="1:1">
      <c r="A7" t="s">
        <v>5</v>
      </c>
    </row>
    <row r="8" spans="1:1">
      <c r="A8" t="s">
        <v>6</v>
      </c>
    </row>
    <row r="9" spans="1:1">
      <c r="A9" t="s">
        <v>7</v>
      </c>
    </row>
    <row r="10" spans="1:1">
      <c r="A10" t="s">
        <v>8</v>
      </c>
    </row>
    <row r="11" spans="1:1">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B10" sqref="B10"/>
    </sheetView>
  </sheetViews>
  <sheetFormatPr defaultColWidth="8.85546875" defaultRowHeight="15"/>
  <cols>
    <col min="1" max="1" width="39.5703125" bestFit="1" customWidth="1"/>
    <col min="2" max="2" width="16.28515625" customWidth="1"/>
    <col min="3" max="3" width="7.5703125" bestFit="1" customWidth="1"/>
    <col min="4" max="6" width="11.28515625" bestFit="1" customWidth="1"/>
    <col min="7" max="7" width="12.42578125" customWidth="1"/>
    <col min="8" max="8" width="9.140625" customWidth="1"/>
  </cols>
  <sheetData>
    <row r="1" spans="1:10">
      <c r="A1" s="32" t="s">
        <v>553</v>
      </c>
      <c r="G1" s="91" t="s">
        <v>554</v>
      </c>
      <c r="H1" s="91"/>
    </row>
    <row r="2" spans="1:10">
      <c r="A2" s="2" t="s">
        <v>13</v>
      </c>
      <c r="B2" t="s">
        <v>547</v>
      </c>
    </row>
    <row r="4" spans="1:10">
      <c r="A4" s="2" t="s">
        <v>559</v>
      </c>
      <c r="B4" s="2" t="s">
        <v>556</v>
      </c>
      <c r="G4" s="23" t="s">
        <v>559</v>
      </c>
      <c r="H4" s="23" t="s">
        <v>556</v>
      </c>
      <c r="I4" s="23"/>
      <c r="J4" s="23"/>
    </row>
    <row r="5" spans="1:10">
      <c r="A5" s="2" t="s">
        <v>548</v>
      </c>
      <c r="B5" t="s">
        <v>37</v>
      </c>
      <c r="C5" t="s">
        <v>54</v>
      </c>
      <c r="D5" t="s">
        <v>552</v>
      </c>
      <c r="G5" s="24" t="s">
        <v>548</v>
      </c>
      <c r="H5" s="24" t="s">
        <v>557</v>
      </c>
      <c r="I5" s="24" t="s">
        <v>558</v>
      </c>
      <c r="J5" s="24" t="s">
        <v>552</v>
      </c>
    </row>
    <row r="6" spans="1:10">
      <c r="A6" s="1" t="s">
        <v>59</v>
      </c>
      <c r="B6">
        <v>29</v>
      </c>
      <c r="C6">
        <v>12</v>
      </c>
      <c r="D6">
        <v>41</v>
      </c>
      <c r="G6" s="1" t="s">
        <v>33</v>
      </c>
      <c r="H6">
        <f>GETPIVOTDATA("CSU Pool Number     (CMC enters)",$A$4,"Zone","LV","Spp","Pipiens")</f>
        <v>2</v>
      </c>
      <c r="I6">
        <f>GETPIVOTDATA("CSU Pool Number     (CMC enters)",$A$4,"Zone","LV","Spp","Tarsalis")</f>
        <v>38</v>
      </c>
      <c r="J6">
        <f>GETPIVOTDATA("CSU Pool Number     (CMC enters)",$A$4,"Zone","LV")</f>
        <v>40</v>
      </c>
    </row>
    <row r="7" spans="1:10">
      <c r="A7" s="1" t="s">
        <v>87</v>
      </c>
      <c r="B7">
        <v>28</v>
      </c>
      <c r="C7">
        <v>7</v>
      </c>
      <c r="D7">
        <v>35</v>
      </c>
      <c r="G7" s="1" t="s">
        <v>59</v>
      </c>
      <c r="H7">
        <f>GETPIVOTDATA("CSU Pool Number     (CMC enters)",$A$4,"Zone","NE","Spp","Pipiens")</f>
        <v>12</v>
      </c>
      <c r="I7">
        <f>GETPIVOTDATA("CSU Pool Number     (CMC enters)",$A$4,"Zone","NE","Spp","Tarsalis")</f>
        <v>29</v>
      </c>
      <c r="J7">
        <f>GETPIVOTDATA("CSU Pool Number     (CMC enters)",$A$4,"Zone","NE")</f>
        <v>41</v>
      </c>
    </row>
    <row r="8" spans="1:10">
      <c r="A8" s="1" t="s">
        <v>132</v>
      </c>
      <c r="B8">
        <v>76</v>
      </c>
      <c r="C8">
        <v>10</v>
      </c>
      <c r="D8">
        <v>86</v>
      </c>
      <c r="G8" s="1" t="s">
        <v>87</v>
      </c>
      <c r="H8">
        <f>GETPIVOTDATA("CSU Pool Number     (CMC enters)",$A$4,"Zone","NW","Spp","Pipiens")</f>
        <v>7</v>
      </c>
      <c r="I8">
        <f>GETPIVOTDATA("CSU Pool Number     (CMC enters)",$A$4,"Zone","NW","Spp","Tarsalis")</f>
        <v>28</v>
      </c>
      <c r="J8">
        <f>GETPIVOTDATA("CSU Pool Number     (CMC enters)",$A$4,"Zone","NW")</f>
        <v>35</v>
      </c>
    </row>
    <row r="9" spans="1:10">
      <c r="A9" s="1" t="s">
        <v>244</v>
      </c>
      <c r="B9">
        <v>22</v>
      </c>
      <c r="C9">
        <v>5</v>
      </c>
      <c r="D9">
        <v>27</v>
      </c>
      <c r="G9" s="1" t="s">
        <v>132</v>
      </c>
      <c r="H9">
        <f>GETPIVOTDATA("CSU Pool Number     (CMC enters)",$A$4,"Zone","SE","Spp","Pipiens")</f>
        <v>10</v>
      </c>
      <c r="I9">
        <f>GETPIVOTDATA("CSU Pool Number     (CMC enters)",$A$4,"Zone","SE","Spp","Tarsalis")</f>
        <v>76</v>
      </c>
      <c r="J9">
        <f>GETPIVOTDATA("CSU Pool Number     (CMC enters)",$A$4,"Zone","SE")</f>
        <v>86</v>
      </c>
    </row>
    <row r="10" spans="1:10">
      <c r="A10" s="1" t="s">
        <v>33</v>
      </c>
      <c r="B10">
        <v>38</v>
      </c>
      <c r="C10">
        <v>2</v>
      </c>
      <c r="D10">
        <v>40</v>
      </c>
      <c r="G10" s="1" t="s">
        <v>244</v>
      </c>
      <c r="H10">
        <f>GETPIVOTDATA("CSU Pool Number     (CMC enters)",$A$4,"Zone","SW","Spp","Pipiens")</f>
        <v>5</v>
      </c>
      <c r="I10">
        <f>GETPIVOTDATA("CSU Pool Number     (CMC enters)",$A$4,"Zone","SW","Spp","Tarsalis")</f>
        <v>22</v>
      </c>
      <c r="J10">
        <f>GETPIVOTDATA("CSU Pool Number     (CMC enters)",$A$4,"Zone","SW")</f>
        <v>27</v>
      </c>
    </row>
    <row r="11" spans="1:10">
      <c r="A11" s="1" t="s">
        <v>256</v>
      </c>
      <c r="B11">
        <v>13</v>
      </c>
      <c r="C11">
        <v>2</v>
      </c>
      <c r="D11">
        <v>15</v>
      </c>
      <c r="G11" s="1" t="s">
        <v>256</v>
      </c>
      <c r="H11">
        <f>GETPIVOTDATA("CSU Pool Number     (CMC enters)",$A$4,"Zone","BE","Spp","Pipiens")</f>
        <v>2</v>
      </c>
      <c r="I11">
        <f>GETPIVOTDATA("CSU Pool Number     (CMC enters)",$A$4,"Zone","BE","Spp","Tarsalis")</f>
        <v>13</v>
      </c>
      <c r="J11">
        <f>GETPIVOTDATA("CSU Pool Number     (CMC enters)",$A$4,"Zone","BE")</f>
        <v>15</v>
      </c>
    </row>
    <row r="12" spans="1:10">
      <c r="A12" s="1" t="s">
        <v>370</v>
      </c>
      <c r="B12">
        <v>5</v>
      </c>
      <c r="D12">
        <v>5</v>
      </c>
      <c r="G12" s="1" t="s">
        <v>370</v>
      </c>
      <c r="H12">
        <f>GETPIVOTDATA("CSU Pool Number     (CMC enters)",$A$4,"Zone","BC","Spp","Pipiens")</f>
        <v>0</v>
      </c>
      <c r="I12">
        <f>GETPIVOTDATA("CSU Pool Number     (CMC enters)",$A$4,"Zone","BC","Spp","Tarsalis")</f>
        <v>5</v>
      </c>
      <c r="J12">
        <f>GETPIVOTDATA("CSU Pool Number     (CMC enters)",$A$4,"Zone","BC")</f>
        <v>5</v>
      </c>
    </row>
    <row r="13" spans="1:10">
      <c r="A13" s="1" t="s">
        <v>552</v>
      </c>
      <c r="B13">
        <v>211</v>
      </c>
      <c r="C13">
        <v>38</v>
      </c>
      <c r="D13">
        <v>249</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B13" sqref="B13"/>
    </sheetView>
  </sheetViews>
  <sheetFormatPr defaultColWidth="8.85546875" defaultRowHeight="15"/>
  <cols>
    <col min="1" max="1" width="28.140625" customWidth="1"/>
    <col min="2" max="2" width="16.28515625" customWidth="1"/>
    <col min="3" max="3" width="7.5703125" bestFit="1" customWidth="1"/>
    <col min="4" max="5" width="11.28515625" bestFit="1" customWidth="1"/>
    <col min="6" max="123" width="16.28515625" bestFit="1" customWidth="1"/>
    <col min="124" max="124" width="11.28515625" bestFit="1" customWidth="1"/>
  </cols>
  <sheetData>
    <row r="1" spans="1:9">
      <c r="A1" s="91" t="s">
        <v>553</v>
      </c>
      <c r="B1" s="91"/>
      <c r="C1" s="91"/>
      <c r="F1" s="32" t="s">
        <v>554</v>
      </c>
    </row>
    <row r="3" spans="1:9">
      <c r="A3" s="2" t="s">
        <v>14</v>
      </c>
      <c r="B3" t="s">
        <v>547</v>
      </c>
    </row>
    <row r="5" spans="1:9">
      <c r="A5" s="2" t="s">
        <v>560</v>
      </c>
      <c r="B5" s="2" t="s">
        <v>556</v>
      </c>
      <c r="F5" s="23" t="s">
        <v>561</v>
      </c>
      <c r="G5" s="23" t="s">
        <v>556</v>
      </c>
      <c r="H5" s="23"/>
      <c r="I5" s="23"/>
    </row>
    <row r="6" spans="1:9">
      <c r="A6" s="2" t="s">
        <v>548</v>
      </c>
      <c r="B6" t="s">
        <v>37</v>
      </c>
      <c r="C6" t="s">
        <v>54</v>
      </c>
      <c r="D6" t="s">
        <v>552</v>
      </c>
      <c r="F6" s="24" t="s">
        <v>548</v>
      </c>
      <c r="G6" s="24" t="s">
        <v>557</v>
      </c>
      <c r="H6" s="24" t="s">
        <v>558</v>
      </c>
      <c r="I6" s="24" t="s">
        <v>552</v>
      </c>
    </row>
    <row r="7" spans="1:9">
      <c r="A7" s="1" t="s">
        <v>33</v>
      </c>
      <c r="B7">
        <v>0</v>
      </c>
      <c r="C7">
        <v>0</v>
      </c>
      <c r="D7">
        <v>0</v>
      </c>
      <c r="F7" s="1" t="s">
        <v>87</v>
      </c>
      <c r="G7">
        <f>GETPIVOTDATA("Test code (CSU enters)",$A$5,"Zone","NW","Spp","Pipiens")</f>
        <v>0</v>
      </c>
      <c r="H7">
        <f>GETPIVOTDATA("Test code (CSU enters)",$A$5,"Zone","NW","Spp","Tarsalis")</f>
        <v>0</v>
      </c>
      <c r="I7">
        <f>GETPIVOTDATA("Test code (CSU enters)",$A$5,"Zone","NW")</f>
        <v>0</v>
      </c>
    </row>
    <row r="8" spans="1:9">
      <c r="A8" s="1" t="s">
        <v>59</v>
      </c>
      <c r="B8">
        <v>0</v>
      </c>
      <c r="C8">
        <v>0</v>
      </c>
      <c r="D8">
        <v>0</v>
      </c>
      <c r="F8" s="1" t="s">
        <v>59</v>
      </c>
      <c r="G8">
        <f>GETPIVOTDATA("Test code (CSU enters)",$A$5,"Zone","NE","Spp","Pipiens")</f>
        <v>0</v>
      </c>
      <c r="H8">
        <f>GETPIVOTDATA("Test code (CSU enters)",$A$5,"Zone","NE","Spp","Tarsalis")</f>
        <v>0</v>
      </c>
      <c r="I8">
        <f>GETPIVOTDATA("Test code (CSU enters)",$A$5,"Zone","NE")</f>
        <v>0</v>
      </c>
    </row>
    <row r="9" spans="1:9">
      <c r="A9" s="1" t="s">
        <v>87</v>
      </c>
      <c r="B9">
        <v>0</v>
      </c>
      <c r="C9">
        <v>0</v>
      </c>
      <c r="D9">
        <v>0</v>
      </c>
      <c r="F9" s="1" t="s">
        <v>132</v>
      </c>
      <c r="G9">
        <f>GETPIVOTDATA("Test code (CSU enters)",$A$5,"Zone","SE","Spp","Pipiens")</f>
        <v>0</v>
      </c>
      <c r="H9">
        <f>GETPIVOTDATA("Test code (CSU enters)",$A$5,"Zone","SE","Spp","Tarsalis")</f>
        <v>1</v>
      </c>
      <c r="I9">
        <f>GETPIVOTDATA("Test code (CSU enters)",$A$5,"Zone","SE")</f>
        <v>1</v>
      </c>
    </row>
    <row r="10" spans="1:9">
      <c r="A10" s="1" t="s">
        <v>132</v>
      </c>
      <c r="B10">
        <v>1</v>
      </c>
      <c r="C10">
        <v>0</v>
      </c>
      <c r="D10">
        <v>1</v>
      </c>
      <c r="F10" s="1" t="s">
        <v>244</v>
      </c>
      <c r="G10">
        <f>GETPIVOTDATA("Test code (CSU enters)",$A$5,"Zone","SW","Spp","Pipiens")</f>
        <v>0</v>
      </c>
      <c r="H10">
        <f>GETPIVOTDATA("Test code (CSU enters)",$A$5,"Zone","SW","Spp","Tarsalis")</f>
        <v>0</v>
      </c>
      <c r="I10">
        <f>GETPIVOTDATA("Test code (CSU enters)",$A$5,"Zone","SW")</f>
        <v>0</v>
      </c>
    </row>
    <row r="11" spans="1:9">
      <c r="A11" s="1" t="s">
        <v>244</v>
      </c>
      <c r="B11">
        <v>0</v>
      </c>
      <c r="C11">
        <v>0</v>
      </c>
      <c r="D11">
        <v>0</v>
      </c>
      <c r="F11" s="1" t="s">
        <v>33</v>
      </c>
      <c r="G11">
        <f>GETPIVOTDATA("Test code (CSU enters)",$A$5,"Zone","LV","Spp","Pipiens")</f>
        <v>0</v>
      </c>
      <c r="H11">
        <f>GETPIVOTDATA("Test code (CSU enters)",$A$5,"Zone","LV","Spp","Tarsalis")</f>
        <v>0</v>
      </c>
      <c r="I11">
        <f>GETPIVOTDATA("Test code (CSU enters)",$A$5,"Zone","LV")</f>
        <v>0</v>
      </c>
    </row>
    <row r="12" spans="1:9">
      <c r="A12" s="1" t="s">
        <v>256</v>
      </c>
      <c r="B12">
        <v>0</v>
      </c>
      <c r="C12">
        <v>0</v>
      </c>
      <c r="D12">
        <v>0</v>
      </c>
      <c r="F12" s="1" t="s">
        <v>256</v>
      </c>
      <c r="G12">
        <f>GETPIVOTDATA("Test code (CSU enters)",$A$5,"Zone","BE","Spp","Pipiens")</f>
        <v>0</v>
      </c>
      <c r="H12">
        <f>GETPIVOTDATA("Test code (CSU enters)",$A$5,"Zone","BE","Spp","Tarsalis")</f>
        <v>0</v>
      </c>
      <c r="I12">
        <f>GETPIVOTDATA("Test code (CSU enters)",$A$5,"Zone","BE")</f>
        <v>0</v>
      </c>
    </row>
    <row r="13" spans="1:9">
      <c r="A13" s="1" t="s">
        <v>370</v>
      </c>
      <c r="B13">
        <v>0</v>
      </c>
      <c r="D13">
        <v>0</v>
      </c>
      <c r="F13" s="1" t="s">
        <v>370</v>
      </c>
      <c r="G13">
        <f>GETPIVOTDATA("Test code (CSU enters)",$A$5,"Zone","BC","Spp","Pipiens")</f>
        <v>0</v>
      </c>
      <c r="H13">
        <f>GETPIVOTDATA("Test code (CSU enters)",$A$5,"Zone","BC","Spp","Tarsalis")</f>
        <v>0</v>
      </c>
      <c r="I13">
        <f>GETPIVOTDATA("Test code (CSU enters)",$A$5,"Zone","BC")</f>
        <v>0</v>
      </c>
    </row>
    <row r="14" spans="1:9">
      <c r="A14" s="1" t="s">
        <v>552</v>
      </c>
      <c r="B14">
        <v>1</v>
      </c>
      <c r="C14">
        <v>0</v>
      </c>
      <c r="D14">
        <v>1</v>
      </c>
      <c r="F14" s="70" t="s">
        <v>552</v>
      </c>
      <c r="G14" s="71">
        <f>GETPIVOTDATA("Test code (CSU enters)",$A$5,"Spp","Pipiens")</f>
        <v>0</v>
      </c>
      <c r="H14" s="71">
        <f>GETPIVOTDATA("Test code (CSU enters)",$A$5,"Spp","Tarsalis")</f>
        <v>1</v>
      </c>
      <c r="I14" s="71">
        <f>GETPIVOTDATA("Test code (CSU enters)",$A$5)</f>
        <v>1</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F8" sqref="F8"/>
    </sheetView>
  </sheetViews>
  <sheetFormatPr defaultColWidth="8.85546875" defaultRowHeight="15"/>
  <cols>
    <col min="1" max="1" width="15.85546875" customWidth="1"/>
    <col min="2" max="2" width="12.140625" customWidth="1"/>
    <col min="3" max="3" width="14.42578125" customWidth="1"/>
  </cols>
  <sheetData>
    <row r="1" spans="1:11">
      <c r="A1" s="33" t="s">
        <v>562</v>
      </c>
      <c r="B1" s="33" t="s">
        <v>563</v>
      </c>
      <c r="C1" s="33" t="s">
        <v>390</v>
      </c>
      <c r="J1" s="47" t="s">
        <v>29</v>
      </c>
      <c r="K1" s="51" t="s">
        <v>381</v>
      </c>
    </row>
    <row r="2" spans="1:11">
      <c r="A2" t="s">
        <v>57</v>
      </c>
      <c r="B2" t="s">
        <v>564</v>
      </c>
      <c r="C2" s="30">
        <v>0</v>
      </c>
      <c r="H2" s="30"/>
      <c r="J2" t="s">
        <v>372</v>
      </c>
      <c r="K2" s="30">
        <v>0</v>
      </c>
    </row>
    <row r="3" spans="1:11">
      <c r="A3" t="s">
        <v>57</v>
      </c>
      <c r="B3" t="s">
        <v>565</v>
      </c>
      <c r="C3" s="30">
        <v>0.15652272543788914</v>
      </c>
      <c r="I3" s="30"/>
      <c r="J3" t="s">
        <v>262</v>
      </c>
      <c r="K3" s="30">
        <v>0</v>
      </c>
    </row>
    <row r="4" spans="1:11">
      <c r="A4" t="s">
        <v>33</v>
      </c>
      <c r="B4" t="s">
        <v>564</v>
      </c>
      <c r="C4" s="30">
        <v>0</v>
      </c>
      <c r="I4" s="30"/>
      <c r="J4" t="s">
        <v>258</v>
      </c>
      <c r="K4" s="30">
        <v>0</v>
      </c>
    </row>
    <row r="5" spans="1:11">
      <c r="A5" t="s">
        <v>33</v>
      </c>
      <c r="B5" t="s">
        <v>565</v>
      </c>
      <c r="C5" s="30">
        <v>0</v>
      </c>
      <c r="H5" s="30"/>
      <c r="J5" t="s">
        <v>70</v>
      </c>
      <c r="K5" s="30">
        <v>0</v>
      </c>
    </row>
    <row r="6" spans="1:11">
      <c r="A6" t="s">
        <v>256</v>
      </c>
      <c r="B6" t="s">
        <v>564</v>
      </c>
      <c r="C6" s="63">
        <v>0</v>
      </c>
      <c r="H6" s="30"/>
      <c r="J6" t="s">
        <v>60</v>
      </c>
      <c r="K6" s="30">
        <v>0.15652272543788914</v>
      </c>
    </row>
    <row r="7" spans="1:11">
      <c r="A7" t="s">
        <v>256</v>
      </c>
      <c r="B7" t="s">
        <v>565</v>
      </c>
      <c r="C7" s="63">
        <v>0</v>
      </c>
      <c r="H7" s="30"/>
      <c r="J7" t="s">
        <v>55</v>
      </c>
      <c r="K7" s="30">
        <v>0</v>
      </c>
    </row>
    <row r="8" spans="1:11">
      <c r="A8" t="s">
        <v>370</v>
      </c>
      <c r="B8" t="s">
        <v>564</v>
      </c>
      <c r="C8" s="63" t="s">
        <v>369</v>
      </c>
      <c r="H8" s="30"/>
      <c r="J8" t="s">
        <v>40</v>
      </c>
      <c r="K8" s="30">
        <v>0</v>
      </c>
    </row>
    <row r="9" spans="1:11">
      <c r="A9" t="s">
        <v>370</v>
      </c>
      <c r="B9" t="s">
        <v>565</v>
      </c>
      <c r="C9" s="63">
        <v>0</v>
      </c>
      <c r="H9" s="30"/>
      <c r="K9" s="30"/>
    </row>
    <row r="10" spans="1:11">
      <c r="H10" s="30"/>
      <c r="K10" s="30"/>
    </row>
    <row r="11" spans="1:11">
      <c r="H11" s="30"/>
      <c r="K11" s="30"/>
    </row>
    <row r="12" spans="1:11">
      <c r="H12" s="30"/>
      <c r="K12" s="30"/>
    </row>
    <row r="13" spans="1:11">
      <c r="H13" s="30"/>
      <c r="I13" s="30"/>
      <c r="K13" s="30"/>
    </row>
    <row r="14" spans="1:11">
      <c r="H14" s="30"/>
      <c r="I14" s="47"/>
      <c r="J14" s="51"/>
    </row>
    <row r="15" spans="1:11">
      <c r="H15" s="30"/>
      <c r="J15" s="30"/>
      <c r="K15" s="30"/>
    </row>
    <row r="16" spans="1:11">
      <c r="F16" s="30"/>
      <c r="G16" s="30"/>
      <c r="J16" s="30"/>
      <c r="K16" s="51"/>
    </row>
    <row r="17" spans="6:11">
      <c r="F17" s="30"/>
      <c r="G17" s="30"/>
      <c r="H17" s="51"/>
      <c r="J17" s="30"/>
      <c r="K17" s="30"/>
    </row>
    <row r="18" spans="6:11">
      <c r="F18" s="30"/>
      <c r="H18" s="30"/>
      <c r="J18" s="30"/>
      <c r="K18" s="30"/>
    </row>
    <row r="19" spans="6:11">
      <c r="F19" s="30"/>
      <c r="H19" s="30"/>
      <c r="J19" s="30"/>
      <c r="K19" s="30"/>
    </row>
    <row r="20" spans="6:11">
      <c r="H20" s="30"/>
      <c r="J20" s="30"/>
      <c r="K20" s="30"/>
    </row>
    <row r="21" spans="6:11">
      <c r="H21" s="30"/>
      <c r="J21" s="30"/>
      <c r="K21" s="30"/>
    </row>
    <row r="22" spans="6:11">
      <c r="H22" s="30"/>
      <c r="J22" s="30"/>
      <c r="K22" s="30"/>
    </row>
    <row r="23" spans="6:11">
      <c r="H23" s="30"/>
      <c r="J23" s="30"/>
    </row>
    <row r="24" spans="6:11">
      <c r="J24" s="30"/>
    </row>
    <row r="25" spans="6:11">
      <c r="J25"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F12" sqref="F12"/>
    </sheetView>
  </sheetViews>
  <sheetFormatPr defaultColWidth="8.85546875" defaultRowHeight="15"/>
  <cols>
    <col min="2" max="2" width="15.7109375" customWidth="1"/>
    <col min="3" max="3" width="13.140625" customWidth="1"/>
  </cols>
  <sheetData>
    <row r="1" spans="1:12">
      <c r="A1" s="33" t="s">
        <v>566</v>
      </c>
      <c r="B1" s="33" t="s">
        <v>563</v>
      </c>
      <c r="C1" s="33" t="s">
        <v>390</v>
      </c>
      <c r="I1" s="47" t="s">
        <v>30</v>
      </c>
      <c r="J1" s="51" t="s">
        <v>381</v>
      </c>
    </row>
    <row r="2" spans="1:12">
      <c r="A2" t="s">
        <v>87</v>
      </c>
      <c r="B2" t="s">
        <v>564</v>
      </c>
      <c r="C2" s="30">
        <v>0</v>
      </c>
      <c r="G2" s="30"/>
      <c r="I2" t="s">
        <v>71</v>
      </c>
      <c r="J2" s="30">
        <v>0</v>
      </c>
    </row>
    <row r="3" spans="1:12">
      <c r="A3" t="s">
        <v>87</v>
      </c>
      <c r="B3" t="s">
        <v>565</v>
      </c>
      <c r="C3" s="30">
        <v>0</v>
      </c>
      <c r="G3" s="30"/>
      <c r="I3" t="s">
        <v>61</v>
      </c>
      <c r="J3" s="30">
        <v>0</v>
      </c>
    </row>
    <row r="4" spans="1:12">
      <c r="A4" t="s">
        <v>59</v>
      </c>
      <c r="B4" t="s">
        <v>564</v>
      </c>
      <c r="C4" s="30">
        <v>0</v>
      </c>
      <c r="G4" s="30"/>
      <c r="I4" t="s">
        <v>233</v>
      </c>
      <c r="J4" s="30">
        <v>0</v>
      </c>
    </row>
    <row r="5" spans="1:12">
      <c r="A5" t="s">
        <v>59</v>
      </c>
      <c r="B5" t="s">
        <v>565</v>
      </c>
      <c r="C5" s="30">
        <v>0</v>
      </c>
      <c r="G5" s="30"/>
      <c r="I5" t="s">
        <v>88</v>
      </c>
      <c r="J5" s="30">
        <v>0</v>
      </c>
    </row>
    <row r="6" spans="1:12">
      <c r="A6" t="s">
        <v>132</v>
      </c>
      <c r="B6" t="s">
        <v>564</v>
      </c>
      <c r="C6" s="30">
        <v>0</v>
      </c>
      <c r="G6" s="30"/>
      <c r="I6" t="s">
        <v>141</v>
      </c>
      <c r="J6" s="30">
        <v>0</v>
      </c>
    </row>
    <row r="7" spans="1:12">
      <c r="A7" t="s">
        <v>132</v>
      </c>
      <c r="B7" t="s">
        <v>565</v>
      </c>
      <c r="C7" s="30">
        <v>0.30594546565002601</v>
      </c>
      <c r="G7" s="30"/>
      <c r="I7" t="s">
        <v>133</v>
      </c>
      <c r="J7" s="30">
        <v>0.30594546565002601</v>
      </c>
    </row>
    <row r="8" spans="1:12">
      <c r="A8" t="s">
        <v>244</v>
      </c>
      <c r="B8" t="s">
        <v>564</v>
      </c>
      <c r="C8" s="30">
        <v>0</v>
      </c>
      <c r="G8" s="30"/>
      <c r="I8" t="s">
        <v>321</v>
      </c>
      <c r="J8" s="30">
        <v>0</v>
      </c>
    </row>
    <row r="9" spans="1:12">
      <c r="A9" t="s">
        <v>244</v>
      </c>
      <c r="B9" t="s">
        <v>565</v>
      </c>
      <c r="C9" s="30">
        <v>0</v>
      </c>
      <c r="G9" s="30"/>
      <c r="I9" t="s">
        <v>245</v>
      </c>
      <c r="J9" s="30">
        <v>0</v>
      </c>
      <c r="L9" s="30"/>
    </row>
    <row r="10" spans="1:12">
      <c r="I10" s="30"/>
      <c r="J10" s="30"/>
      <c r="L10" s="30"/>
    </row>
    <row r="11" spans="1:12">
      <c r="I11" s="30"/>
      <c r="J11" s="30"/>
      <c r="L11" s="30"/>
    </row>
    <row r="12" spans="1:12">
      <c r="B12" s="30"/>
      <c r="I12" s="30"/>
      <c r="J12" s="30"/>
      <c r="L12" s="30"/>
    </row>
    <row r="13" spans="1:12">
      <c r="B13" s="30"/>
      <c r="I13" s="30"/>
      <c r="J13" s="30"/>
      <c r="K13" s="51"/>
      <c r="L13" s="30"/>
    </row>
    <row r="14" spans="1:12">
      <c r="B14" s="30"/>
      <c r="I14" s="30"/>
      <c r="J14" s="30"/>
      <c r="K14" s="30"/>
      <c r="L14" s="30"/>
    </row>
    <row r="15" spans="1:12">
      <c r="B15" s="30"/>
      <c r="I15" s="30"/>
      <c r="J15" s="30"/>
      <c r="K15" s="30"/>
      <c r="L15" s="30"/>
    </row>
    <row r="16" spans="1:12">
      <c r="B16" s="30"/>
      <c r="I16" s="30"/>
      <c r="J16" s="30"/>
      <c r="K16" s="30"/>
      <c r="L16" s="30"/>
    </row>
    <row r="17" spans="2:12">
      <c r="B17" s="30"/>
      <c r="I17" s="30"/>
      <c r="J17" s="30"/>
      <c r="K17" s="30"/>
      <c r="L17" s="30"/>
    </row>
    <row r="18" spans="2:12">
      <c r="B18" s="30"/>
      <c r="I18" s="30"/>
      <c r="J18" s="30"/>
      <c r="K18" s="30"/>
      <c r="L18" s="30"/>
    </row>
    <row r="19" spans="2:12">
      <c r="B19" s="30"/>
      <c r="H19" s="30"/>
      <c r="I19" s="30"/>
      <c r="J19" s="30"/>
      <c r="K19" s="30"/>
      <c r="L19" s="30"/>
    </row>
    <row r="20" spans="2:12">
      <c r="B20" s="30"/>
      <c r="H20" s="30"/>
      <c r="I20" s="30"/>
      <c r="J20" s="30"/>
      <c r="K20" s="30"/>
    </row>
    <row r="21" spans="2:12">
      <c r="B21" s="30"/>
      <c r="H21" s="30"/>
      <c r="I21" s="30"/>
      <c r="J21" s="30"/>
      <c r="K21" s="30"/>
    </row>
    <row r="22" spans="2:12">
      <c r="H22" s="30"/>
      <c r="J22" s="30"/>
      <c r="K22" s="30"/>
    </row>
    <row r="23" spans="2:12">
      <c r="H23" s="30"/>
      <c r="I23" s="30"/>
      <c r="K23" s="30"/>
    </row>
    <row r="24" spans="2:12">
      <c r="H24" s="30"/>
      <c r="I24" s="30"/>
      <c r="K24" s="30"/>
    </row>
    <row r="25" spans="2:12">
      <c r="H25" s="30"/>
      <c r="I25" s="30"/>
      <c r="K25" s="30"/>
    </row>
    <row r="26" spans="2:12">
      <c r="I26" s="30"/>
      <c r="K26" s="30"/>
    </row>
    <row r="27" spans="2:12">
      <c r="I27"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abSelected="1" topLeftCell="A67" zoomScale="70" zoomScaleNormal="70" workbookViewId="0">
      <selection activeCell="R87" sqref="R87"/>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10.140625" bestFit="1" customWidth="1"/>
    <col min="10" max="10" width="11" customWidth="1"/>
    <col min="12" max="12" width="12.42578125" customWidth="1"/>
    <col min="13" max="13" width="11.7109375" customWidth="1"/>
    <col min="17" max="17" width="7.42578125" bestFit="1" customWidth="1"/>
    <col min="18" max="18" width="17.85546875" bestFit="1" customWidth="1"/>
  </cols>
  <sheetData>
    <row r="1" spans="1:15" ht="25.5" customHeight="1">
      <c r="A1" t="s">
        <v>567</v>
      </c>
      <c r="B1" s="3"/>
      <c r="C1" s="96" t="s">
        <v>568</v>
      </c>
      <c r="D1" s="97"/>
      <c r="E1" s="96" t="s">
        <v>569</v>
      </c>
      <c r="F1" s="97"/>
      <c r="G1" s="104"/>
      <c r="H1" s="105"/>
      <c r="I1" s="106"/>
    </row>
    <row r="2" spans="1:15" ht="27" customHeight="1">
      <c r="B2" s="4"/>
      <c r="C2" s="98"/>
      <c r="D2" s="99"/>
      <c r="E2" s="98" t="s">
        <v>570</v>
      </c>
      <c r="F2" s="99"/>
      <c r="G2" s="107" t="s">
        <v>571</v>
      </c>
      <c r="H2" s="108"/>
      <c r="I2" s="109"/>
    </row>
    <row r="3" spans="1:15" ht="15.75" thickBot="1">
      <c r="B3" s="4"/>
      <c r="C3" s="100"/>
      <c r="D3" s="101"/>
      <c r="E3" s="102"/>
      <c r="F3" s="103"/>
      <c r="G3" s="102"/>
      <c r="H3" s="110"/>
      <c r="I3" s="103"/>
    </row>
    <row r="4" spans="1:15" ht="15.75" customHeight="1">
      <c r="B4" s="4" t="s">
        <v>572</v>
      </c>
      <c r="C4" s="92" t="s">
        <v>564</v>
      </c>
      <c r="D4" s="92" t="s">
        <v>565</v>
      </c>
      <c r="E4" s="6" t="s">
        <v>573</v>
      </c>
      <c r="F4" s="6" t="s">
        <v>573</v>
      </c>
      <c r="G4" s="94" t="s">
        <v>574</v>
      </c>
      <c r="H4" s="94" t="s">
        <v>575</v>
      </c>
      <c r="I4" s="8" t="s">
        <v>576</v>
      </c>
    </row>
    <row r="5" spans="1:15" ht="15.75" thickBot="1">
      <c r="B5" s="5"/>
      <c r="C5" s="93"/>
      <c r="D5" s="93"/>
      <c r="E5" s="7" t="s">
        <v>557</v>
      </c>
      <c r="F5" s="7" t="s">
        <v>558</v>
      </c>
      <c r="G5" s="95"/>
      <c r="H5" s="95"/>
      <c r="I5" s="9" t="s">
        <v>577</v>
      </c>
    </row>
    <row r="6" spans="1:15" ht="38.25" customHeight="1" thickBot="1">
      <c r="B6" s="10" t="s">
        <v>578</v>
      </c>
      <c r="C6" s="25">
        <f t="shared" ref="C6:D10" si="0">G40</f>
        <v>3.3333333333333335</v>
      </c>
      <c r="D6" s="25">
        <f t="shared" si="0"/>
        <v>123.33333333333333</v>
      </c>
      <c r="E6" s="40">
        <f t="shared" ref="E6:F10" si="1">L73/1000</f>
        <v>0</v>
      </c>
      <c r="F6" s="40">
        <f t="shared" si="1"/>
        <v>0</v>
      </c>
      <c r="G6" s="31">
        <f t="shared" ref="G6:H10" si="2">C6*E6</f>
        <v>0</v>
      </c>
      <c r="H6" s="31">
        <f t="shared" si="2"/>
        <v>0</v>
      </c>
      <c r="I6" s="31">
        <f>G6+H6</f>
        <v>0</v>
      </c>
    </row>
    <row r="7" spans="1:15" ht="26.25" thickBot="1">
      <c r="B7" s="10" t="s">
        <v>579</v>
      </c>
      <c r="C7" s="25">
        <f t="shared" si="0"/>
        <v>10</v>
      </c>
      <c r="D7" s="25">
        <f t="shared" si="0"/>
        <v>118.5</v>
      </c>
      <c r="E7" s="40">
        <f t="shared" si="1"/>
        <v>0</v>
      </c>
      <c r="F7" s="40">
        <f t="shared" si="1"/>
        <v>0</v>
      </c>
      <c r="G7" s="31">
        <f t="shared" si="2"/>
        <v>0</v>
      </c>
      <c r="H7" s="31">
        <f t="shared" si="2"/>
        <v>0</v>
      </c>
      <c r="I7" s="31">
        <f>G7+H7</f>
        <v>0</v>
      </c>
    </row>
    <row r="8" spans="1:15" ht="26.25" thickBot="1">
      <c r="B8" s="10" t="s">
        <v>580</v>
      </c>
      <c r="C8" s="25">
        <f t="shared" si="0"/>
        <v>5.333333333333333</v>
      </c>
      <c r="D8" s="25">
        <f t="shared" si="0"/>
        <v>217.53333333333333</v>
      </c>
      <c r="E8" s="40">
        <f t="shared" si="1"/>
        <v>0</v>
      </c>
      <c r="F8" s="40">
        <f t="shared" si="1"/>
        <v>3.0594546565002598E-4</v>
      </c>
      <c r="G8" s="31">
        <f t="shared" si="2"/>
        <v>0</v>
      </c>
      <c r="H8" s="31">
        <f t="shared" si="2"/>
        <v>6.6553336961068979E-2</v>
      </c>
      <c r="I8" s="31">
        <f>G8+H8</f>
        <v>6.6553336961068979E-2</v>
      </c>
    </row>
    <row r="9" spans="1:15" ht="26.25" thickBot="1">
      <c r="B9" s="10" t="s">
        <v>581</v>
      </c>
      <c r="C9" s="25">
        <f t="shared" si="0"/>
        <v>4.8888888888888893</v>
      </c>
      <c r="D9" s="25">
        <f>H43</f>
        <v>91.666666666666671</v>
      </c>
      <c r="E9" s="40">
        <f t="shared" si="1"/>
        <v>0</v>
      </c>
      <c r="F9" s="40">
        <f t="shared" si="1"/>
        <v>0</v>
      </c>
      <c r="G9" s="31">
        <f t="shared" si="2"/>
        <v>0</v>
      </c>
      <c r="H9" s="31">
        <f t="shared" si="2"/>
        <v>0</v>
      </c>
      <c r="I9" s="31">
        <f>G9+H9</f>
        <v>0</v>
      </c>
    </row>
    <row r="10" spans="1:15" ht="26.25" thickBot="1">
      <c r="B10" s="10" t="s">
        <v>582</v>
      </c>
      <c r="C10" s="25">
        <f t="shared" si="0"/>
        <v>5.9069767441860463</v>
      </c>
      <c r="D10" s="25">
        <f t="shared" si="0"/>
        <v>148.44186046511629</v>
      </c>
      <c r="E10" s="40">
        <f t="shared" si="1"/>
        <v>0</v>
      </c>
      <c r="F10" s="40">
        <f t="shared" si="1"/>
        <v>1.5652272543788915E-4</v>
      </c>
      <c r="G10" s="31">
        <f t="shared" si="2"/>
        <v>0</v>
      </c>
      <c r="H10" s="31">
        <f t="shared" si="2"/>
        <v>2.3234524569070849E-2</v>
      </c>
      <c r="I10" s="31">
        <f>G10+H10</f>
        <v>2.3234524569070849E-2</v>
      </c>
      <c r="N10" s="30"/>
    </row>
    <row r="11" spans="1:15" ht="15.75" thickBot="1">
      <c r="B11" s="10"/>
      <c r="C11" s="11"/>
      <c r="D11" s="11"/>
      <c r="E11" s="40"/>
      <c r="F11" s="40"/>
      <c r="G11" s="31"/>
      <c r="H11" s="31"/>
      <c r="I11" s="31"/>
    </row>
    <row r="12" spans="1:15" ht="15.75" thickBot="1">
      <c r="B12" s="10" t="s">
        <v>33</v>
      </c>
      <c r="C12" s="28">
        <f t="shared" ref="C12:D13" si="3">G46</f>
        <v>4.2972972972972974</v>
      </c>
      <c r="D12" s="28">
        <f t="shared" si="3"/>
        <v>233.29729729729729</v>
      </c>
      <c r="E12" s="40">
        <f t="shared" ref="E12:F13" si="4">L79/1000</f>
        <v>0</v>
      </c>
      <c r="F12" s="40">
        <f t="shared" si="4"/>
        <v>0</v>
      </c>
      <c r="G12" s="31">
        <f t="shared" ref="G12:H13" si="5">C12*E12</f>
        <v>0</v>
      </c>
      <c r="H12" s="31">
        <f t="shared" si="5"/>
        <v>0</v>
      </c>
      <c r="I12" s="31">
        <f>G12+H12</f>
        <v>0</v>
      </c>
    </row>
    <row r="13" spans="1:15" ht="15.75" thickBot="1">
      <c r="B13" s="10" t="s">
        <v>256</v>
      </c>
      <c r="C13" s="28">
        <f t="shared" si="3"/>
        <v>4</v>
      </c>
      <c r="D13" s="28">
        <f t="shared" si="3"/>
        <v>844.8</v>
      </c>
      <c r="E13" s="40">
        <f>L80</f>
        <v>0</v>
      </c>
      <c r="F13" s="40">
        <f t="shared" si="4"/>
        <v>0</v>
      </c>
      <c r="G13" s="31">
        <v>0</v>
      </c>
      <c r="H13" s="31">
        <f t="shared" si="5"/>
        <v>0</v>
      </c>
      <c r="I13" s="31">
        <v>0</v>
      </c>
    </row>
    <row r="14" spans="1:15" ht="15.75" thickBot="1">
      <c r="B14" s="10" t="s">
        <v>370</v>
      </c>
      <c r="C14" s="28" t="s">
        <v>369</v>
      </c>
      <c r="D14" s="28">
        <f>H48</f>
        <v>45</v>
      </c>
      <c r="E14" s="40" t="s">
        <v>369</v>
      </c>
      <c r="F14" s="40">
        <f>M81</f>
        <v>0</v>
      </c>
      <c r="G14" s="31">
        <v>0</v>
      </c>
      <c r="H14" s="31">
        <v>0</v>
      </c>
      <c r="I14" s="31">
        <v>0</v>
      </c>
    </row>
    <row r="15" spans="1:15" ht="15.75" thickBot="1"/>
    <row r="16" spans="1:15" ht="15" customHeight="1">
      <c r="A16" t="s">
        <v>583</v>
      </c>
      <c r="B16" s="15"/>
      <c r="C16" s="111" t="s">
        <v>578</v>
      </c>
      <c r="D16" s="112"/>
      <c r="E16" s="111" t="s">
        <v>579</v>
      </c>
      <c r="F16" s="112"/>
      <c r="G16" s="111" t="s">
        <v>580</v>
      </c>
      <c r="H16" s="112"/>
      <c r="I16" s="111" t="s">
        <v>581</v>
      </c>
      <c r="J16" s="112"/>
      <c r="K16" s="111" t="s">
        <v>582</v>
      </c>
      <c r="L16" s="112"/>
      <c r="M16" s="18"/>
      <c r="N16" s="18"/>
      <c r="O16" s="18"/>
    </row>
    <row r="17" spans="2:15" ht="15.75" thickBot="1">
      <c r="B17" s="16"/>
      <c r="C17" s="113"/>
      <c r="D17" s="114"/>
      <c r="E17" s="113"/>
      <c r="F17" s="114"/>
      <c r="G17" s="113"/>
      <c r="H17" s="114"/>
      <c r="I17" s="113"/>
      <c r="J17" s="114"/>
      <c r="K17" s="113"/>
      <c r="L17" s="114"/>
      <c r="M17" s="19"/>
      <c r="N17" s="19"/>
      <c r="O17" s="19"/>
    </row>
    <row r="18" spans="2:15" ht="26.25" thickBot="1">
      <c r="B18" s="17" t="s">
        <v>584</v>
      </c>
      <c r="C18" s="20" t="s">
        <v>585</v>
      </c>
      <c r="D18" s="20" t="s">
        <v>586</v>
      </c>
      <c r="E18" s="20" t="s">
        <v>585</v>
      </c>
      <c r="F18" s="20" t="s">
        <v>586</v>
      </c>
      <c r="G18" s="20" t="s">
        <v>585</v>
      </c>
      <c r="H18" s="20" t="s">
        <v>586</v>
      </c>
      <c r="I18" s="20" t="s">
        <v>585</v>
      </c>
      <c r="J18" s="20" t="s">
        <v>586</v>
      </c>
      <c r="K18" s="20" t="s">
        <v>585</v>
      </c>
      <c r="L18" s="20" t="s">
        <v>586</v>
      </c>
      <c r="M18" s="20" t="s">
        <v>33</v>
      </c>
      <c r="N18" s="20" t="s">
        <v>256</v>
      </c>
      <c r="O18" s="20" t="s">
        <v>370</v>
      </c>
    </row>
    <row r="19" spans="2:15" ht="15.75" thickBot="1">
      <c r="B19" s="17">
        <v>23</v>
      </c>
      <c r="C19" s="44">
        <v>0</v>
      </c>
      <c r="D19" s="44">
        <v>1.11111E-2</v>
      </c>
      <c r="E19" s="44">
        <v>0</v>
      </c>
      <c r="F19" s="44">
        <v>0.02</v>
      </c>
      <c r="G19" s="44">
        <v>0</v>
      </c>
      <c r="H19" s="44">
        <v>1.38575E-2</v>
      </c>
      <c r="I19" s="44">
        <v>0</v>
      </c>
      <c r="J19" s="44">
        <v>1.3888875E-2</v>
      </c>
      <c r="K19" s="44">
        <v>0</v>
      </c>
      <c r="L19" s="44">
        <v>1.3897987475926596E-2</v>
      </c>
      <c r="M19" s="29">
        <v>0</v>
      </c>
      <c r="N19" s="29">
        <v>0</v>
      </c>
      <c r="O19" s="29" t="s">
        <v>369</v>
      </c>
    </row>
    <row r="20" spans="2:15" ht="15.75" thickBot="1">
      <c r="B20" s="41">
        <v>24</v>
      </c>
      <c r="C20" s="44">
        <v>0</v>
      </c>
      <c r="D20" s="42">
        <v>0</v>
      </c>
      <c r="E20" s="44">
        <v>0</v>
      </c>
      <c r="F20" s="42">
        <v>0</v>
      </c>
      <c r="G20" s="44">
        <v>0</v>
      </c>
      <c r="H20" s="42">
        <v>3.9826250000000001E-3</v>
      </c>
      <c r="I20" s="44">
        <v>0</v>
      </c>
      <c r="J20" s="42">
        <v>0</v>
      </c>
      <c r="K20" s="44">
        <v>0</v>
      </c>
      <c r="L20" s="42">
        <v>1.4442952217669819E-3</v>
      </c>
      <c r="M20" s="29">
        <v>0</v>
      </c>
      <c r="N20" s="29">
        <v>0</v>
      </c>
      <c r="O20" s="29" t="s">
        <v>369</v>
      </c>
    </row>
    <row r="21" spans="2:15" ht="15.75" thickBot="1">
      <c r="B21" s="41">
        <v>25</v>
      </c>
      <c r="C21" s="44">
        <v>0</v>
      </c>
      <c r="D21" s="42">
        <v>0</v>
      </c>
      <c r="E21" s="44">
        <v>0</v>
      </c>
      <c r="F21" s="42">
        <v>1.1043705882352942E-2</v>
      </c>
      <c r="G21" s="44">
        <v>0</v>
      </c>
      <c r="H21" s="42">
        <v>0</v>
      </c>
      <c r="I21" s="44">
        <v>0</v>
      </c>
      <c r="J21" s="42">
        <v>0</v>
      </c>
      <c r="K21" s="44">
        <v>0</v>
      </c>
      <c r="L21" s="42">
        <v>2.216525322472792E-3</v>
      </c>
      <c r="M21" s="29">
        <v>0</v>
      </c>
      <c r="N21" s="29">
        <v>0</v>
      </c>
      <c r="O21" s="29">
        <v>0</v>
      </c>
    </row>
    <row r="22" spans="2:15" ht="15.75" thickBot="1">
      <c r="B22" s="41">
        <v>26</v>
      </c>
      <c r="C22" s="44">
        <v>0</v>
      </c>
      <c r="D22" s="42">
        <v>0</v>
      </c>
      <c r="E22" s="44">
        <v>0</v>
      </c>
      <c r="F22" s="42">
        <v>5.7515294117647057E-3</v>
      </c>
      <c r="G22" s="44">
        <v>6.6553336961068979E-2</v>
      </c>
      <c r="H22" s="42">
        <v>1.0883352941176469E-2</v>
      </c>
      <c r="I22" s="44">
        <v>0</v>
      </c>
      <c r="J22" s="42">
        <v>6.840294117647059E-3</v>
      </c>
      <c r="K22" s="44">
        <v>2.3234524569070849E-2</v>
      </c>
      <c r="L22" s="42">
        <v>6.745910669410402E-3</v>
      </c>
      <c r="M22" s="29">
        <v>0</v>
      </c>
      <c r="N22" s="29">
        <v>0</v>
      </c>
      <c r="O22" s="29">
        <v>0</v>
      </c>
    </row>
    <row r="23" spans="2:15" ht="15.75" thickBot="1">
      <c r="B23" s="41">
        <v>27</v>
      </c>
      <c r="C23" s="44"/>
      <c r="D23" s="42">
        <v>0</v>
      </c>
      <c r="E23" s="44"/>
      <c r="F23" s="42">
        <v>2.3910325255148232E-2</v>
      </c>
      <c r="G23" s="44"/>
      <c r="H23" s="42">
        <v>1.0836424716165353E-2</v>
      </c>
      <c r="I23" s="44"/>
      <c r="J23" s="42">
        <v>0</v>
      </c>
      <c r="K23" s="44"/>
      <c r="L23" s="42">
        <v>1.0025703489001015E-2</v>
      </c>
      <c r="M23" s="29"/>
      <c r="N23" s="29"/>
      <c r="O23" s="29"/>
    </row>
    <row r="24" spans="2:15" ht="15.75" thickBot="1">
      <c r="B24" s="41">
        <v>28</v>
      </c>
      <c r="C24" s="44"/>
      <c r="D24" s="42">
        <v>0</v>
      </c>
      <c r="E24" s="44"/>
      <c r="F24" s="42">
        <v>2.7109871109363332E-2</v>
      </c>
      <c r="G24" s="44"/>
      <c r="H24" s="42">
        <v>0.10011577373144319</v>
      </c>
      <c r="I24" s="44"/>
      <c r="J24" s="42">
        <v>7.6527058823529408E-3</v>
      </c>
      <c r="K24" s="44"/>
      <c r="L24" s="42">
        <v>4.144518725100451E-2</v>
      </c>
      <c r="M24" s="29"/>
      <c r="N24" s="29"/>
      <c r="O24" s="29"/>
    </row>
    <row r="25" spans="2:15" ht="15.75" thickBot="1">
      <c r="B25" s="41">
        <v>29</v>
      </c>
      <c r="C25" s="44"/>
      <c r="D25" s="42">
        <v>8.0652636808622835E-2</v>
      </c>
      <c r="E25" s="44"/>
      <c r="F25" s="42">
        <v>9.4741442453326163E-2</v>
      </c>
      <c r="G25" s="44"/>
      <c r="H25" s="42">
        <v>0.24240997873134518</v>
      </c>
      <c r="I25" s="44"/>
      <c r="J25" s="42">
        <v>2.7489314647905036E-2</v>
      </c>
      <c r="K25" s="44"/>
      <c r="L25" s="42">
        <v>0.1249441277962933</v>
      </c>
      <c r="M25" s="29"/>
      <c r="N25" s="29"/>
      <c r="O25" s="29"/>
    </row>
    <row r="26" spans="2:15" ht="15.75" thickBot="1">
      <c r="B26" s="41">
        <v>30</v>
      </c>
      <c r="C26" s="44"/>
      <c r="D26" s="42">
        <v>8.4720718207923804E-2</v>
      </c>
      <c r="E26" s="44"/>
      <c r="F26" s="42">
        <v>0.13958410761823259</v>
      </c>
      <c r="G26" s="44"/>
      <c r="H26" s="42">
        <v>0.25727160522503095</v>
      </c>
      <c r="I26" s="44"/>
      <c r="J26" s="42">
        <v>6.8268224245148654E-2</v>
      </c>
      <c r="K26" s="44"/>
      <c r="L26" s="42">
        <v>0.15208747560883568</v>
      </c>
      <c r="M26" s="29"/>
      <c r="N26" s="29"/>
      <c r="O26" s="29"/>
    </row>
    <row r="27" spans="2:15" ht="15.75" thickBot="1">
      <c r="B27" s="41">
        <v>31</v>
      </c>
      <c r="C27" s="44"/>
      <c r="D27" s="42">
        <v>0.14043400738622153</v>
      </c>
      <c r="E27" s="44"/>
      <c r="F27" s="42">
        <v>0.16505088916936525</v>
      </c>
      <c r="G27" s="44"/>
      <c r="H27" s="42">
        <v>0.23223366375363583</v>
      </c>
      <c r="I27" s="44"/>
      <c r="J27" s="42">
        <v>7.7703573992842181E-2</v>
      </c>
      <c r="K27" s="44"/>
      <c r="L27" s="42">
        <v>0.18175954560103025</v>
      </c>
      <c r="M27" s="29"/>
      <c r="N27" s="29"/>
      <c r="O27" s="29"/>
    </row>
    <row r="28" spans="2:15" ht="15.75" thickBot="1">
      <c r="B28" s="41">
        <v>32</v>
      </c>
      <c r="C28" s="44"/>
      <c r="D28" s="42">
        <v>0.15836546121669076</v>
      </c>
      <c r="E28" s="44"/>
      <c r="F28" s="42">
        <v>0.26386271135781186</v>
      </c>
      <c r="G28" s="44"/>
      <c r="H28" s="42">
        <v>0.31537735199956624</v>
      </c>
      <c r="I28" s="44"/>
      <c r="J28" s="42">
        <v>0.13605701320678626</v>
      </c>
      <c r="K28" s="44"/>
      <c r="L28" s="42">
        <v>0.23322972322876481</v>
      </c>
      <c r="M28" s="29"/>
      <c r="N28" s="29"/>
      <c r="O28" s="29"/>
    </row>
    <row r="29" spans="2:15" ht="15.75" thickBot="1">
      <c r="B29" s="41">
        <v>33</v>
      </c>
      <c r="C29" s="44"/>
      <c r="D29" s="42">
        <v>0.14304178215302124</v>
      </c>
      <c r="E29" s="44"/>
      <c r="F29" s="42">
        <v>0.40735996745824976</v>
      </c>
      <c r="G29" s="44"/>
      <c r="H29" s="42">
        <v>0.26006555086192773</v>
      </c>
      <c r="I29" s="44"/>
      <c r="J29" s="42">
        <v>9.6580662246602861E-2</v>
      </c>
      <c r="K29" s="44"/>
      <c r="L29" s="42">
        <v>0.2382306858085502</v>
      </c>
      <c r="M29" s="29"/>
      <c r="N29" s="29"/>
      <c r="O29" s="29"/>
    </row>
    <row r="30" spans="2:15" ht="15.75" thickBot="1">
      <c r="B30" s="41">
        <v>34</v>
      </c>
      <c r="C30" s="44"/>
      <c r="D30" s="42">
        <v>0.12600967082778222</v>
      </c>
      <c r="E30" s="44"/>
      <c r="F30" s="42">
        <v>0.20241826414142597</v>
      </c>
      <c r="G30" s="44"/>
      <c r="H30" s="42">
        <v>0.27956494495246798</v>
      </c>
      <c r="I30" s="44"/>
      <c r="J30" s="42">
        <v>7.4024804925568399E-2</v>
      </c>
      <c r="K30" s="44"/>
      <c r="L30" s="42">
        <v>0.19107546692258445</v>
      </c>
      <c r="M30" s="29"/>
      <c r="N30" s="29"/>
      <c r="O30" s="29"/>
    </row>
    <row r="31" spans="2:15" ht="15.75" thickBot="1">
      <c r="B31" s="41">
        <v>35</v>
      </c>
      <c r="C31" s="44"/>
      <c r="D31" s="42">
        <v>5.6194105506050619E-2</v>
      </c>
      <c r="E31" s="44"/>
      <c r="F31" s="42">
        <v>0.19274930798168113</v>
      </c>
      <c r="G31" s="44"/>
      <c r="H31" s="42">
        <v>0.2451073860561771</v>
      </c>
      <c r="I31" s="44"/>
      <c r="J31" s="42">
        <v>0.11380297103058348</v>
      </c>
      <c r="K31" s="44"/>
      <c r="L31" s="42">
        <v>0.16958722999013232</v>
      </c>
      <c r="M31" s="29"/>
      <c r="N31" s="29"/>
      <c r="O31" s="29"/>
    </row>
    <row r="32" spans="2:15" ht="15.75" thickBot="1">
      <c r="B32" s="41">
        <v>36</v>
      </c>
      <c r="C32" s="44"/>
      <c r="D32" s="43">
        <v>2.7826187276666775E-2</v>
      </c>
      <c r="E32" s="44"/>
      <c r="F32" s="43">
        <v>7.8632603984965535E-2</v>
      </c>
      <c r="G32" s="44"/>
      <c r="H32" s="43">
        <v>4.8959157617108652E-2</v>
      </c>
      <c r="I32" s="44"/>
      <c r="J32" s="43">
        <v>1.5408641037952781E-2</v>
      </c>
      <c r="K32" s="44"/>
      <c r="L32" s="43">
        <v>4.9216211111452697E-2</v>
      </c>
      <c r="M32" s="29"/>
      <c r="N32" s="20"/>
      <c r="O32" s="29"/>
    </row>
    <row r="33" spans="1:15" ht="15.75" thickBot="1">
      <c r="B33" s="41">
        <v>37</v>
      </c>
      <c r="C33" s="44"/>
      <c r="D33" s="44">
        <v>2.935713938061572E-2</v>
      </c>
      <c r="E33" s="44"/>
      <c r="F33" s="44">
        <v>0.11154474102932661</v>
      </c>
      <c r="G33" s="44"/>
      <c r="H33" s="44">
        <v>2.796552500399848E-2</v>
      </c>
      <c r="I33" s="44"/>
      <c r="J33" s="44">
        <v>0</v>
      </c>
      <c r="K33" s="44"/>
      <c r="L33" s="44">
        <v>4.4215961657241808E-2</v>
      </c>
      <c r="M33" s="29"/>
      <c r="N33" s="20"/>
      <c r="O33" s="29"/>
    </row>
    <row r="34" spans="1:15" ht="15.75" thickBot="1"/>
    <row r="35" spans="1:15">
      <c r="A35" t="s">
        <v>587</v>
      </c>
      <c r="B35" s="3"/>
      <c r="C35" s="96" t="s">
        <v>588</v>
      </c>
      <c r="D35" s="115"/>
      <c r="E35" s="97"/>
      <c r="F35" s="14"/>
      <c r="G35" s="96" t="s">
        <v>589</v>
      </c>
      <c r="H35" s="115"/>
      <c r="I35" s="97"/>
    </row>
    <row r="36" spans="1:15" ht="38.25">
      <c r="B36" s="4"/>
      <c r="C36" s="98" t="s">
        <v>590</v>
      </c>
      <c r="D36" s="116"/>
      <c r="E36" s="99"/>
      <c r="F36" s="13" t="s">
        <v>591</v>
      </c>
      <c r="G36" s="98"/>
      <c r="H36" s="116"/>
      <c r="I36" s="99"/>
    </row>
    <row r="37" spans="1:15" ht="15.75" thickBot="1">
      <c r="B37" s="4"/>
      <c r="C37" s="102"/>
      <c r="D37" s="110"/>
      <c r="E37" s="103"/>
      <c r="F37" s="21"/>
      <c r="G37" s="100"/>
      <c r="H37" s="117"/>
      <c r="I37" s="101"/>
    </row>
    <row r="38" spans="1:15" ht="25.5">
      <c r="B38" s="4" t="s">
        <v>572</v>
      </c>
      <c r="C38" s="92" t="s">
        <v>564</v>
      </c>
      <c r="D38" s="92" t="s">
        <v>565</v>
      </c>
      <c r="E38" s="118" t="s">
        <v>592</v>
      </c>
      <c r="F38" s="21"/>
      <c r="G38" s="120" t="s">
        <v>593</v>
      </c>
      <c r="H38" s="120" t="s">
        <v>594</v>
      </c>
      <c r="I38" s="26" t="s">
        <v>576</v>
      </c>
    </row>
    <row r="39" spans="1:15" ht="15.75" thickBot="1">
      <c r="B39" s="5"/>
      <c r="C39" s="93"/>
      <c r="D39" s="93"/>
      <c r="E39" s="119"/>
      <c r="F39" s="12"/>
      <c r="G39" s="121"/>
      <c r="H39" s="121"/>
      <c r="I39" s="27" t="s">
        <v>595</v>
      </c>
    </row>
    <row r="40" spans="1:15" ht="44.25" customHeight="1" thickBot="1">
      <c r="B40" s="10" t="s">
        <v>578</v>
      </c>
      <c r="C40" s="45">
        <f>'Total Number Of Ind'!H7</f>
        <v>30</v>
      </c>
      <c r="D40" s="45">
        <f>'Total Number Of Ind'!I7</f>
        <v>1110</v>
      </c>
      <c r="E40" s="45">
        <f>C40+D40</f>
        <v>1140</v>
      </c>
      <c r="F40" s="45">
        <v>9</v>
      </c>
      <c r="G40" s="25">
        <f>C40/F40</f>
        <v>3.3333333333333335</v>
      </c>
      <c r="H40" s="25">
        <f>D40/F40</f>
        <v>123.33333333333333</v>
      </c>
      <c r="I40" s="25">
        <f>E40/F40</f>
        <v>126.66666666666667</v>
      </c>
    </row>
    <row r="41" spans="1:15" ht="26.25" thickBot="1">
      <c r="B41" s="10" t="s">
        <v>579</v>
      </c>
      <c r="C41" s="45">
        <f>'Total Number Of Ind'!H6</f>
        <v>100</v>
      </c>
      <c r="D41" s="45">
        <f>'Total Number Of Ind'!I6</f>
        <v>1185</v>
      </c>
      <c r="E41" s="45">
        <f>C41+D41</f>
        <v>1285</v>
      </c>
      <c r="F41" s="45">
        <v>10</v>
      </c>
      <c r="G41" s="25">
        <f t="shared" ref="G41:G46" si="6">C41/F41</f>
        <v>10</v>
      </c>
      <c r="H41" s="25">
        <f>D41/F41</f>
        <v>118.5</v>
      </c>
      <c r="I41" s="25">
        <f>E41/F41</f>
        <v>128.5</v>
      </c>
    </row>
    <row r="42" spans="1:15" ht="26.25" thickBot="1">
      <c r="B42" s="10" t="s">
        <v>580</v>
      </c>
      <c r="C42" s="45">
        <f>'Total Number Of Ind'!H8</f>
        <v>80</v>
      </c>
      <c r="D42" s="45">
        <f>'Total Number Of Ind'!I8</f>
        <v>3263</v>
      </c>
      <c r="E42" s="45">
        <f>C42+D42</f>
        <v>3343</v>
      </c>
      <c r="F42" s="45">
        <v>15</v>
      </c>
      <c r="G42" s="25">
        <f t="shared" si="6"/>
        <v>5.333333333333333</v>
      </c>
      <c r="H42" s="25">
        <f>D42/F42</f>
        <v>217.53333333333333</v>
      </c>
      <c r="I42" s="25">
        <f>E42/F42</f>
        <v>222.86666666666667</v>
      </c>
    </row>
    <row r="43" spans="1:15" ht="26.25" thickBot="1">
      <c r="B43" s="10" t="s">
        <v>581</v>
      </c>
      <c r="C43" s="45">
        <f>'Total Number Of Ind'!H9</f>
        <v>44</v>
      </c>
      <c r="D43" s="45">
        <f>'Total Number Of Ind'!I9</f>
        <v>825</v>
      </c>
      <c r="E43" s="45">
        <f>C43+D43</f>
        <v>869</v>
      </c>
      <c r="F43" s="45">
        <v>9</v>
      </c>
      <c r="G43" s="25">
        <f t="shared" si="6"/>
        <v>4.8888888888888893</v>
      </c>
      <c r="H43" s="25">
        <f>D43/F43</f>
        <v>91.666666666666671</v>
      </c>
      <c r="I43" s="25">
        <f>E43/F43</f>
        <v>96.555555555555557</v>
      </c>
    </row>
    <row r="44" spans="1:15" ht="26.25" thickBot="1">
      <c r="B44" s="10" t="s">
        <v>582</v>
      </c>
      <c r="C44" s="45">
        <f>SUM(C40:C43)</f>
        <v>254</v>
      </c>
      <c r="D44" s="45">
        <f>SUM(D40:D43)</f>
        <v>6383</v>
      </c>
      <c r="E44" s="45">
        <f>SUM(E40:E43)</f>
        <v>6637</v>
      </c>
      <c r="F44" s="45">
        <f>SUM(F40:F43)</f>
        <v>43</v>
      </c>
      <c r="G44" s="25">
        <f t="shared" si="6"/>
        <v>5.9069767441860463</v>
      </c>
      <c r="H44" s="25">
        <f>D44/F44</f>
        <v>148.44186046511629</v>
      </c>
      <c r="I44" s="25">
        <f>E44/F44</f>
        <v>154.34883720930233</v>
      </c>
    </row>
    <row r="45" spans="1:15" ht="15.75" thickBot="1">
      <c r="B45" s="10"/>
      <c r="C45" s="45"/>
      <c r="D45" s="45"/>
      <c r="E45" s="45"/>
      <c r="F45" s="45"/>
      <c r="G45" s="25"/>
      <c r="H45" s="25"/>
      <c r="I45" s="25"/>
    </row>
    <row r="46" spans="1:15" ht="15.75" thickBot="1">
      <c r="B46" s="10" t="s">
        <v>33</v>
      </c>
      <c r="C46" s="45">
        <f>'Total Number Of Ind'!H5</f>
        <v>159</v>
      </c>
      <c r="D46" s="45">
        <f>'Total Number Of Ind'!I5</f>
        <v>8632</v>
      </c>
      <c r="E46" s="45">
        <f>C46+D46</f>
        <v>8791</v>
      </c>
      <c r="F46" s="45">
        <v>37</v>
      </c>
      <c r="G46" s="25">
        <f t="shared" si="6"/>
        <v>4.2972972972972974</v>
      </c>
      <c r="H46" s="25">
        <f>D46/F46</f>
        <v>233.29729729729729</v>
      </c>
      <c r="I46" s="25">
        <f>E46/F46</f>
        <v>237.59459459459458</v>
      </c>
    </row>
    <row r="47" spans="1:15" ht="15.75" thickBot="1">
      <c r="B47" s="10" t="s">
        <v>256</v>
      </c>
      <c r="C47" s="45">
        <f>'Total Number Of Ind'!H10</f>
        <v>20</v>
      </c>
      <c r="D47" s="45">
        <f>'Total Number Of Ind'!I10</f>
        <v>4224</v>
      </c>
      <c r="E47" s="45">
        <f>C47+D47</f>
        <v>4244</v>
      </c>
      <c r="F47" s="45">
        <v>5</v>
      </c>
      <c r="G47" s="25">
        <f>C47/F47</f>
        <v>4</v>
      </c>
      <c r="H47" s="25">
        <f>D47/F47</f>
        <v>844.8</v>
      </c>
      <c r="I47" s="25">
        <f>E47/F47</f>
        <v>848.8</v>
      </c>
    </row>
    <row r="48" spans="1:15" ht="15.75" thickBot="1">
      <c r="B48" s="10" t="s">
        <v>370</v>
      </c>
      <c r="C48" s="45">
        <f>'Total Number Of Ind'!H11</f>
        <v>0</v>
      </c>
      <c r="D48" s="45">
        <f>'Total Number Of Ind'!I11</f>
        <v>225</v>
      </c>
      <c r="E48" s="45">
        <f>'Total Number Of Ind'!J11</f>
        <v>225</v>
      </c>
      <c r="F48" s="45">
        <v>5</v>
      </c>
      <c r="G48" s="25">
        <f>C48/F48</f>
        <v>0</v>
      </c>
      <c r="H48" s="25">
        <f>D48/F48</f>
        <v>45</v>
      </c>
      <c r="I48" s="25">
        <f>E48/F48</f>
        <v>45</v>
      </c>
    </row>
    <row r="49" spans="1:15" ht="15.75" thickBot="1"/>
    <row r="50" spans="1:15">
      <c r="A50" t="s">
        <v>596</v>
      </c>
      <c r="B50" s="15"/>
      <c r="C50" s="111" t="s">
        <v>578</v>
      </c>
      <c r="D50" s="112"/>
      <c r="E50" s="111" t="s">
        <v>579</v>
      </c>
      <c r="F50" s="112"/>
      <c r="G50" s="111" t="s">
        <v>580</v>
      </c>
      <c r="H50" s="112"/>
      <c r="I50" s="111" t="s">
        <v>581</v>
      </c>
      <c r="J50" s="112"/>
      <c r="K50" s="111" t="s">
        <v>582</v>
      </c>
      <c r="L50" s="112"/>
      <c r="M50" s="18"/>
      <c r="N50" s="18"/>
      <c r="O50" s="18"/>
    </row>
    <row r="51" spans="1:15" ht="15.75" thickBot="1">
      <c r="B51" s="16"/>
      <c r="C51" s="113"/>
      <c r="D51" s="114"/>
      <c r="E51" s="113"/>
      <c r="F51" s="114"/>
      <c r="G51" s="113"/>
      <c r="H51" s="114"/>
      <c r="I51" s="113"/>
      <c r="J51" s="114"/>
      <c r="K51" s="113"/>
      <c r="L51" s="114"/>
      <c r="M51" s="19"/>
      <c r="N51" s="19"/>
      <c r="O51" s="19"/>
    </row>
    <row r="52" spans="1:15" ht="26.25" thickBot="1">
      <c r="B52" s="17" t="s">
        <v>13</v>
      </c>
      <c r="C52" s="20" t="s">
        <v>585</v>
      </c>
      <c r="D52" s="20" t="s">
        <v>586</v>
      </c>
      <c r="E52" s="20" t="s">
        <v>585</v>
      </c>
      <c r="F52" s="20" t="s">
        <v>586</v>
      </c>
      <c r="G52" s="20" t="s">
        <v>585</v>
      </c>
      <c r="H52" s="20" t="s">
        <v>586</v>
      </c>
      <c r="I52" s="20" t="s">
        <v>585</v>
      </c>
      <c r="J52" s="20" t="s">
        <v>586</v>
      </c>
      <c r="K52" s="20" t="s">
        <v>585</v>
      </c>
      <c r="L52" s="20" t="s">
        <v>586</v>
      </c>
      <c r="M52" s="20" t="s">
        <v>33</v>
      </c>
      <c r="N52" s="20" t="s">
        <v>256</v>
      </c>
      <c r="O52" s="20" t="s">
        <v>370</v>
      </c>
    </row>
    <row r="53" spans="1:15" ht="15.75" thickBot="1">
      <c r="B53" s="17">
        <v>23</v>
      </c>
      <c r="C53" s="44">
        <v>6.1111111111111107</v>
      </c>
      <c r="D53" s="44">
        <v>2.8093888888888889</v>
      </c>
      <c r="E53" s="44">
        <v>1</v>
      </c>
      <c r="F53" s="44">
        <v>5.4844444444444447</v>
      </c>
      <c r="G53" s="44">
        <v>5.666666666666667</v>
      </c>
      <c r="H53" s="44">
        <v>8.0432294372294368</v>
      </c>
      <c r="I53" s="44">
        <v>7.1111111111111107</v>
      </c>
      <c r="J53" s="44">
        <v>0.78472222222222221</v>
      </c>
      <c r="K53" s="44">
        <v>4.9767441860465116</v>
      </c>
      <c r="L53" s="44">
        <v>5.6734786090541229</v>
      </c>
      <c r="M53" s="29">
        <v>8.5675675675675684</v>
      </c>
      <c r="N53" s="29">
        <v>12.8</v>
      </c>
      <c r="O53" s="29" t="s">
        <v>369</v>
      </c>
    </row>
    <row r="54" spans="1:15" ht="15.75" thickBot="1">
      <c r="B54" s="17">
        <v>24</v>
      </c>
      <c r="C54" s="83">
        <v>4.333333333333333</v>
      </c>
      <c r="D54" s="66">
        <v>2.9038194444444438</v>
      </c>
      <c r="E54" s="44">
        <v>2.7</v>
      </c>
      <c r="F54" s="66">
        <v>7.2186237373737381</v>
      </c>
      <c r="G54" s="44">
        <v>9</v>
      </c>
      <c r="H54" s="66">
        <v>8.9974702380952376</v>
      </c>
      <c r="I54" s="44">
        <v>6.5555555555555554</v>
      </c>
      <c r="J54" s="66">
        <v>1.8253124999999999</v>
      </c>
      <c r="K54" s="44">
        <v>6.0465116279069768</v>
      </c>
      <c r="L54" s="66">
        <v>5.8043185693681387</v>
      </c>
      <c r="M54" s="29">
        <v>11.648648648648649</v>
      </c>
      <c r="N54" s="29">
        <v>11.6</v>
      </c>
      <c r="O54" s="29" t="s">
        <v>369</v>
      </c>
    </row>
    <row r="55" spans="1:15" ht="15.75" thickBot="1">
      <c r="B55" s="17">
        <v>25</v>
      </c>
      <c r="C55" s="44">
        <v>18</v>
      </c>
      <c r="D55" s="66">
        <v>6.0679925303454709</v>
      </c>
      <c r="E55" s="44">
        <v>14.7</v>
      </c>
      <c r="F55" s="66">
        <v>17.183823529411764</v>
      </c>
      <c r="G55" s="44">
        <v>29.2</v>
      </c>
      <c r="H55" s="66">
        <v>21.447140702434815</v>
      </c>
      <c r="I55" s="44">
        <v>7</v>
      </c>
      <c r="J55" s="66">
        <v>3.9491176470588236</v>
      </c>
      <c r="K55" s="44">
        <v>18.837209302325583</v>
      </c>
      <c r="L55" s="66">
        <v>13.491651055412177</v>
      </c>
      <c r="M55" s="29">
        <v>41.513513513513516</v>
      </c>
      <c r="N55" s="29">
        <v>98</v>
      </c>
      <c r="O55" s="29">
        <v>6.3157894736842106</v>
      </c>
    </row>
    <row r="56" spans="1:15" ht="15.75" thickBot="1">
      <c r="B56" s="17">
        <v>26</v>
      </c>
      <c r="C56" s="44">
        <v>126.66666666666667</v>
      </c>
      <c r="D56" s="66">
        <v>12.784183006535947</v>
      </c>
      <c r="E56" s="44">
        <v>128.5</v>
      </c>
      <c r="F56" s="66">
        <v>30.898692810457518</v>
      </c>
      <c r="G56" s="44">
        <v>222.86666666666667</v>
      </c>
      <c r="H56" s="66">
        <v>33.189355742296925</v>
      </c>
      <c r="I56" s="44">
        <v>96.555555555555557</v>
      </c>
      <c r="J56" s="66">
        <v>8.0693137254901952</v>
      </c>
      <c r="K56" s="44">
        <v>154.34883720930233</v>
      </c>
      <c r="L56" s="66">
        <v>23.084399165991655</v>
      </c>
      <c r="M56" s="29">
        <v>237.59459459459458</v>
      </c>
      <c r="N56" s="29">
        <v>848.8</v>
      </c>
      <c r="O56" s="29">
        <v>45</v>
      </c>
    </row>
    <row r="57" spans="1:15" ht="15.75" thickBot="1">
      <c r="B57" s="17">
        <v>27</v>
      </c>
      <c r="C57" s="44"/>
      <c r="D57" s="66">
        <v>26.202549019607844</v>
      </c>
      <c r="E57" s="44"/>
      <c r="F57" s="66">
        <v>59.470588235294109</v>
      </c>
      <c r="G57" s="44"/>
      <c r="H57" s="66">
        <v>46.374305106658042</v>
      </c>
      <c r="I57" s="44"/>
      <c r="J57" s="66">
        <v>11.863202614379084</v>
      </c>
      <c r="K57" s="44"/>
      <c r="L57" s="66">
        <v>39.493520657920996</v>
      </c>
      <c r="M57" s="29"/>
      <c r="N57" s="29"/>
      <c r="O57" s="29"/>
    </row>
    <row r="58" spans="1:15" ht="15.75" thickBot="1">
      <c r="B58" s="17">
        <v>28</v>
      </c>
      <c r="C58" s="44"/>
      <c r="D58" s="66">
        <v>41.141055088702153</v>
      </c>
      <c r="E58" s="44"/>
      <c r="F58" s="66">
        <v>85.38872549019608</v>
      </c>
      <c r="G58" s="44"/>
      <c r="H58" s="66">
        <v>87.641176470588235</v>
      </c>
      <c r="I58" s="44"/>
      <c r="J58" s="66">
        <v>17.704248366013072</v>
      </c>
      <c r="K58" s="44"/>
      <c r="L58" s="66">
        <v>62.950072341602983</v>
      </c>
      <c r="M58" s="29"/>
      <c r="N58" s="29"/>
      <c r="O58" s="29"/>
    </row>
    <row r="59" spans="1:15" ht="15.75" thickBot="1">
      <c r="B59" s="17">
        <v>29</v>
      </c>
      <c r="C59" s="44"/>
      <c r="D59" s="66">
        <v>47.893076563958914</v>
      </c>
      <c r="E59" s="44"/>
      <c r="F59" s="66">
        <v>86.691503267973857</v>
      </c>
      <c r="G59" s="44"/>
      <c r="H59" s="66">
        <v>74.038459383753505</v>
      </c>
      <c r="I59" s="44"/>
      <c r="J59" s="66">
        <v>22.517091503267974</v>
      </c>
      <c r="K59" s="44"/>
      <c r="L59" s="66">
        <v>61.737487296707698</v>
      </c>
      <c r="M59" s="29"/>
      <c r="N59" s="29"/>
      <c r="O59" s="29"/>
    </row>
    <row r="60" spans="1:15" ht="15.75" thickBot="1">
      <c r="B60" s="17">
        <v>30</v>
      </c>
      <c r="C60" s="44"/>
      <c r="D60" s="66">
        <v>47.915294117647058</v>
      </c>
      <c r="E60" s="44"/>
      <c r="F60" s="66">
        <v>107.84444444444443</v>
      </c>
      <c r="G60" s="44"/>
      <c r="H60" s="66">
        <v>80.937899159663857</v>
      </c>
      <c r="I60" s="44"/>
      <c r="J60" s="66">
        <v>22.163267973856208</v>
      </c>
      <c r="K60" s="44"/>
      <c r="L60" s="66">
        <v>68.372680281414887</v>
      </c>
      <c r="M60" s="29"/>
      <c r="N60" s="29"/>
      <c r="O60" s="29"/>
    </row>
    <row r="61" spans="1:15" ht="15.75" thickBot="1">
      <c r="B61" s="17">
        <v>31</v>
      </c>
      <c r="C61" s="44"/>
      <c r="D61" s="66">
        <v>55.0783660130719</v>
      </c>
      <c r="E61" s="44"/>
      <c r="F61" s="66">
        <v>96.934759358288773</v>
      </c>
      <c r="G61" s="44"/>
      <c r="H61" s="66">
        <v>63.684386985563442</v>
      </c>
      <c r="I61" s="44"/>
      <c r="J61" s="66">
        <v>19.925778769841273</v>
      </c>
      <c r="K61" s="44"/>
      <c r="L61" s="66">
        <v>63.023689299276825</v>
      </c>
      <c r="M61" s="29"/>
      <c r="N61" s="29"/>
      <c r="O61" s="29"/>
    </row>
    <row r="62" spans="1:15" ht="15.75" thickBot="1">
      <c r="B62" s="17">
        <v>32</v>
      </c>
      <c r="C62" s="44"/>
      <c r="D62" s="66">
        <v>39.845032679738559</v>
      </c>
      <c r="E62" s="44"/>
      <c r="F62" s="66">
        <v>78.439869281045759</v>
      </c>
      <c r="G62" s="44"/>
      <c r="H62" s="66">
        <v>52.729896574014219</v>
      </c>
      <c r="I62" s="44"/>
      <c r="J62" s="66">
        <v>20.687586367880485</v>
      </c>
      <c r="K62" s="44"/>
      <c r="L62" s="66">
        <v>49.707296800326894</v>
      </c>
      <c r="M62" s="29"/>
      <c r="N62" s="29"/>
      <c r="O62" s="29"/>
    </row>
    <row r="63" spans="1:15" ht="15.75" thickBot="1">
      <c r="A63" s="30"/>
      <c r="B63" s="17">
        <v>33</v>
      </c>
      <c r="C63" s="44"/>
      <c r="D63" s="66">
        <v>28.798541666666672</v>
      </c>
      <c r="E63" s="44"/>
      <c r="F63" s="66">
        <v>68.093523469994054</v>
      </c>
      <c r="G63" s="44"/>
      <c r="H63" s="66">
        <v>42.425770308123255</v>
      </c>
      <c r="I63" s="44"/>
      <c r="J63" s="66">
        <v>14.214756944444446</v>
      </c>
      <c r="K63" s="44"/>
      <c r="L63" s="66">
        <v>40.704631878637088</v>
      </c>
      <c r="M63" s="29"/>
      <c r="N63" s="29"/>
      <c r="O63" s="29"/>
    </row>
    <row r="64" spans="1:15" ht="15.75" thickBot="1">
      <c r="B64" s="17">
        <v>34</v>
      </c>
      <c r="C64" s="44"/>
      <c r="D64" s="66">
        <v>21.577450396825398</v>
      </c>
      <c r="E64" s="44"/>
      <c r="F64" s="66">
        <v>53.672147950089126</v>
      </c>
      <c r="G64" s="44"/>
      <c r="H64" s="66">
        <v>27.73750700280112</v>
      </c>
      <c r="I64" s="44"/>
      <c r="J64" s="66">
        <v>10.354305555555555</v>
      </c>
      <c r="K64" s="44"/>
      <c r="L64" s="66">
        <v>29.675329396508474</v>
      </c>
      <c r="M64" s="29"/>
      <c r="N64" s="29"/>
      <c r="O64" s="29"/>
    </row>
    <row r="65" spans="1:25" ht="15.75" thickBot="1">
      <c r="B65" s="17">
        <v>35</v>
      </c>
      <c r="C65" s="44"/>
      <c r="D65" s="66">
        <v>10.832589285714285</v>
      </c>
      <c r="E65" s="44"/>
      <c r="F65" s="66">
        <v>27.343604108309993</v>
      </c>
      <c r="G65" s="44"/>
      <c r="H65" s="66">
        <v>17.936806722689077</v>
      </c>
      <c r="I65" s="44"/>
      <c r="J65" s="66">
        <v>6.3904166666666677</v>
      </c>
      <c r="K65" s="44"/>
      <c r="L65" s="66">
        <v>16.355499603389191</v>
      </c>
      <c r="M65" s="29"/>
      <c r="N65" s="29"/>
      <c r="O65" s="29"/>
    </row>
    <row r="66" spans="1:25" ht="15.75" thickBot="1">
      <c r="B66" s="17">
        <v>36</v>
      </c>
      <c r="C66" s="44"/>
      <c r="D66" s="44">
        <v>11.182341269841269</v>
      </c>
      <c r="E66" s="44"/>
      <c r="F66" s="44">
        <v>36.4375</v>
      </c>
      <c r="G66" s="44"/>
      <c r="H66" s="44">
        <v>13.824166666666667</v>
      </c>
      <c r="I66" s="44"/>
      <c r="J66" s="44">
        <v>4.9405555555555551</v>
      </c>
      <c r="K66" s="44"/>
      <c r="L66" s="44">
        <v>16.633715393133997</v>
      </c>
      <c r="M66" s="29"/>
      <c r="N66" s="20"/>
      <c r="O66" s="29"/>
    </row>
    <row r="67" spans="1:25" ht="15.75" thickBot="1">
      <c r="B67" s="17">
        <v>37</v>
      </c>
      <c r="C67" s="44"/>
      <c r="D67" s="44">
        <v>8.1348888888888897</v>
      </c>
      <c r="E67" s="44"/>
      <c r="F67" s="44">
        <v>34.333333333333329</v>
      </c>
      <c r="G67" s="44"/>
      <c r="H67" s="44">
        <v>11.08</v>
      </c>
      <c r="I67" s="44"/>
      <c r="J67" s="44">
        <v>3.1222222222222227</v>
      </c>
      <c r="K67" s="44"/>
      <c r="L67" s="44">
        <v>14.293387000596303</v>
      </c>
      <c r="M67" s="20"/>
      <c r="N67" s="20"/>
      <c r="O67" s="29"/>
    </row>
    <row r="68" spans="1:25" ht="15.75" thickBot="1"/>
    <row r="69" spans="1:25">
      <c r="A69" t="s">
        <v>597</v>
      </c>
      <c r="B69" s="15"/>
      <c r="C69" s="111" t="s">
        <v>598</v>
      </c>
      <c r="D69" s="122"/>
      <c r="E69" s="112"/>
      <c r="F69" s="111" t="s">
        <v>599</v>
      </c>
      <c r="G69" s="122"/>
      <c r="H69" s="112"/>
      <c r="I69" s="111" t="s">
        <v>600</v>
      </c>
      <c r="J69" s="122"/>
      <c r="K69" s="112"/>
      <c r="L69" s="111" t="s">
        <v>601</v>
      </c>
      <c r="M69" s="122"/>
      <c r="N69" s="112"/>
      <c r="Q69" s="47"/>
      <c r="R69" s="51"/>
    </row>
    <row r="70" spans="1:25">
      <c r="B70" s="16"/>
      <c r="C70" s="123"/>
      <c r="D70" s="124"/>
      <c r="E70" s="125"/>
      <c r="F70" s="123"/>
      <c r="G70" s="124"/>
      <c r="H70" s="125"/>
      <c r="I70" s="123" t="s">
        <v>602</v>
      </c>
      <c r="J70" s="124"/>
      <c r="K70" s="125"/>
      <c r="L70" s="123"/>
      <c r="M70" s="124"/>
      <c r="N70" s="125"/>
      <c r="P70" s="47"/>
      <c r="Q70" s="51"/>
      <c r="S70" s="30"/>
      <c r="T70" s="47"/>
      <c r="U70" s="47"/>
      <c r="V70" s="47"/>
      <c r="W70" s="47"/>
      <c r="X70" s="47"/>
      <c r="Y70" s="47"/>
    </row>
    <row r="71" spans="1:25" ht="15.75" thickBot="1">
      <c r="B71" s="16"/>
      <c r="C71" s="113"/>
      <c r="D71" s="126"/>
      <c r="E71" s="114"/>
      <c r="F71" s="113"/>
      <c r="G71" s="126"/>
      <c r="H71" s="114"/>
      <c r="I71" s="102"/>
      <c r="J71" s="110"/>
      <c r="K71" s="103"/>
      <c r="L71" s="113"/>
      <c r="M71" s="126"/>
      <c r="N71" s="114"/>
      <c r="P71" s="47"/>
      <c r="Q71" s="51"/>
      <c r="S71" s="30"/>
      <c r="T71" s="68"/>
      <c r="U71" s="69"/>
      <c r="V71" s="69"/>
    </row>
    <row r="72" spans="1:25" ht="15.75" thickBot="1">
      <c r="B72" s="17" t="s">
        <v>572</v>
      </c>
      <c r="C72" s="22" t="s">
        <v>564</v>
      </c>
      <c r="D72" s="22" t="s">
        <v>565</v>
      </c>
      <c r="E72" s="20" t="s">
        <v>603</v>
      </c>
      <c r="F72" s="22" t="s">
        <v>564</v>
      </c>
      <c r="G72" s="22" t="s">
        <v>565</v>
      </c>
      <c r="H72" s="20" t="s">
        <v>603</v>
      </c>
      <c r="I72" s="22" t="s">
        <v>564</v>
      </c>
      <c r="J72" s="22" t="s">
        <v>565</v>
      </c>
      <c r="K72" s="20" t="s">
        <v>603</v>
      </c>
      <c r="L72" s="22" t="s">
        <v>564</v>
      </c>
      <c r="M72" s="22" t="s">
        <v>565</v>
      </c>
      <c r="N72" s="20" t="s">
        <v>603</v>
      </c>
      <c r="Q72" s="30"/>
      <c r="S72" s="30"/>
      <c r="T72" s="68"/>
      <c r="U72" s="69"/>
      <c r="V72" s="69"/>
    </row>
    <row r="73" spans="1:25" ht="24.75" thickBot="1">
      <c r="B73" s="17" t="s">
        <v>578</v>
      </c>
      <c r="C73" s="45">
        <f>'Total Number Ind Examined '!I8</f>
        <v>55</v>
      </c>
      <c r="D73" s="45">
        <f>'Total Number Ind Examined '!J8</f>
        <v>1110</v>
      </c>
      <c r="E73" s="45">
        <f>C73+D73</f>
        <v>1165</v>
      </c>
      <c r="F73" s="46">
        <f>'Total Number of Pools Examined'!H8</f>
        <v>7</v>
      </c>
      <c r="G73" s="46">
        <f>'Total Number of Pools Examined'!I8</f>
        <v>28</v>
      </c>
      <c r="H73" s="46">
        <f>F73+G73</f>
        <v>35</v>
      </c>
      <c r="I73" s="46">
        <f>'Total Number of WNV + Pools'!G7</f>
        <v>0</v>
      </c>
      <c r="J73" s="46">
        <f>'Total Number of WNV + Pools'!H7</f>
        <v>0</v>
      </c>
      <c r="K73" s="46">
        <f>'Total Number of WNV + Pools'!I7</f>
        <v>0</v>
      </c>
      <c r="L73" s="29">
        <f>ZONEINFRATE!C2</f>
        <v>0</v>
      </c>
      <c r="M73" s="29">
        <f>ZONEINFRATE!C3</f>
        <v>0</v>
      </c>
      <c r="N73" s="29">
        <v>0</v>
      </c>
      <c r="Q73" s="47"/>
      <c r="S73" s="30"/>
      <c r="T73" s="68"/>
      <c r="U73" s="69"/>
      <c r="V73" s="69"/>
    </row>
    <row r="74" spans="1:25" ht="24.75" thickBot="1">
      <c r="B74" s="17" t="s">
        <v>579</v>
      </c>
      <c r="C74" s="45">
        <f>'Total Number Ind Examined '!I7</f>
        <v>168</v>
      </c>
      <c r="D74" s="45">
        <f>'Total Number Ind Examined '!J7</f>
        <v>1185</v>
      </c>
      <c r="E74" s="45">
        <f>C74+D74</f>
        <v>1353</v>
      </c>
      <c r="F74" s="46">
        <f>'Total Number of Pools Examined'!H7</f>
        <v>12</v>
      </c>
      <c r="G74" s="46">
        <f>'Total Number of Pools Examined'!I7</f>
        <v>29</v>
      </c>
      <c r="H74" s="46">
        <f>F74+G74</f>
        <v>41</v>
      </c>
      <c r="I74" s="46">
        <f>'Total Number of WNV + Pools'!G8</f>
        <v>0</v>
      </c>
      <c r="J74" s="46">
        <f>'Total Number of WNV + Pools'!H8</f>
        <v>0</v>
      </c>
      <c r="K74" s="46">
        <f>'Total Number of WNV + Pools'!I8</f>
        <v>0</v>
      </c>
      <c r="L74" s="29">
        <f>ZONEINFRATE!C4</f>
        <v>0</v>
      </c>
      <c r="M74" s="29">
        <f>ZONEINFRATE!C5</f>
        <v>0</v>
      </c>
      <c r="N74" s="29">
        <v>0</v>
      </c>
      <c r="S74" s="30"/>
      <c r="T74" s="68"/>
      <c r="U74" s="69"/>
      <c r="V74" s="69"/>
    </row>
    <row r="75" spans="1:25" ht="24.75" thickBot="1">
      <c r="B75" s="17" t="s">
        <v>580</v>
      </c>
      <c r="C75" s="45">
        <f>'Total Number Ind Examined '!I9</f>
        <v>151</v>
      </c>
      <c r="D75" s="45">
        <f>'Total Number Ind Examined '!J9</f>
        <v>3269</v>
      </c>
      <c r="E75" s="45">
        <f>C75+D75</f>
        <v>3420</v>
      </c>
      <c r="F75" s="46">
        <f>'Total Number of Pools Examined'!H9</f>
        <v>10</v>
      </c>
      <c r="G75" s="46">
        <f>'Total Number of Pools Examined'!I9</f>
        <v>76</v>
      </c>
      <c r="H75" s="46">
        <f>F75+G75</f>
        <v>86</v>
      </c>
      <c r="I75" s="46">
        <f>'Total Number of WNV + Pools'!G9</f>
        <v>0</v>
      </c>
      <c r="J75" s="46">
        <f>'Total Number of WNV + Pools'!H9</f>
        <v>1</v>
      </c>
      <c r="K75" s="46">
        <f>'Total Number of WNV + Pools'!I9</f>
        <v>1</v>
      </c>
      <c r="L75" s="29">
        <f>ZONEINFRATE!C6</f>
        <v>0</v>
      </c>
      <c r="M75" s="29">
        <f>ZONEINFRATE!C7</f>
        <v>0.30594546565002601</v>
      </c>
      <c r="N75" s="29">
        <v>0.29249308850982281</v>
      </c>
      <c r="S75" s="30"/>
      <c r="T75" s="68"/>
      <c r="U75" s="69"/>
      <c r="V75" s="69"/>
    </row>
    <row r="76" spans="1:25" ht="24.75" thickBot="1">
      <c r="B76" s="17" t="s">
        <v>581</v>
      </c>
      <c r="C76" s="45">
        <f>'Total Number Ind Examined '!I10</f>
        <v>64</v>
      </c>
      <c r="D76" s="45">
        <f>'Total Number Ind Examined '!J10</f>
        <v>826</v>
      </c>
      <c r="E76" s="45">
        <f>C76+D76</f>
        <v>890</v>
      </c>
      <c r="F76" s="46">
        <f>'Total Number of Pools Examined'!H10</f>
        <v>5</v>
      </c>
      <c r="G76" s="46">
        <f>'Total Number of Pools Examined'!I10</f>
        <v>22</v>
      </c>
      <c r="H76" s="46">
        <f>F76+G76</f>
        <v>27</v>
      </c>
      <c r="I76" s="46">
        <f>'Total Number of WNV + Pools'!G10</f>
        <v>0</v>
      </c>
      <c r="J76" s="46">
        <f>'Total Number of WNV + Pools'!H10</f>
        <v>0</v>
      </c>
      <c r="K76" s="46">
        <f>'Total Number of WNV + Pools'!I10</f>
        <v>0</v>
      </c>
      <c r="L76" s="29">
        <f>ZONEINFRATE!C8</f>
        <v>0</v>
      </c>
      <c r="M76" s="29">
        <f>ZONEINFRATE!C9</f>
        <v>0</v>
      </c>
      <c r="N76" s="29">
        <v>0</v>
      </c>
      <c r="S76" s="30"/>
      <c r="T76" s="68"/>
      <c r="U76" s="69"/>
      <c r="V76" s="69"/>
    </row>
    <row r="77" spans="1:25" ht="24.75" thickBot="1">
      <c r="B77" s="17" t="s">
        <v>582</v>
      </c>
      <c r="C77" s="45">
        <f>SUM(C73:C76)</f>
        <v>438</v>
      </c>
      <c r="D77" s="45">
        <f>SUM(D73:D76)</f>
        <v>6390</v>
      </c>
      <c r="E77" s="45">
        <f>C77+D77</f>
        <v>6828</v>
      </c>
      <c r="F77" s="46">
        <f t="shared" ref="F77:K77" si="7">SUM(F73:F76)</f>
        <v>34</v>
      </c>
      <c r="G77" s="46">
        <f t="shared" si="7"/>
        <v>155</v>
      </c>
      <c r="H77" s="46">
        <f>F77+G77</f>
        <v>189</v>
      </c>
      <c r="I77" s="46">
        <f t="shared" si="7"/>
        <v>0</v>
      </c>
      <c r="J77" s="46">
        <f t="shared" si="7"/>
        <v>1</v>
      </c>
      <c r="K77" s="46">
        <f t="shared" si="7"/>
        <v>1</v>
      </c>
      <c r="L77" s="29">
        <f>CITYINFRATE!C2</f>
        <v>0</v>
      </c>
      <c r="M77" s="29">
        <f>CITYINFRATE!C3</f>
        <v>0.15652272543788914</v>
      </c>
      <c r="N77" s="29">
        <v>0.14650083916642878</v>
      </c>
      <c r="R77" s="30"/>
      <c r="S77" s="30"/>
      <c r="T77" s="68"/>
      <c r="U77" s="69"/>
      <c r="V77" s="69"/>
    </row>
    <row r="78" spans="1:25" ht="15.75" thickBot="1">
      <c r="B78" s="17"/>
      <c r="C78" s="46"/>
      <c r="D78" s="46"/>
      <c r="E78" s="46"/>
      <c r="F78" s="46"/>
      <c r="G78" s="46"/>
      <c r="H78" s="46"/>
      <c r="I78" s="46"/>
      <c r="J78" s="46"/>
      <c r="K78" s="46"/>
      <c r="L78" s="29"/>
      <c r="M78" s="29"/>
      <c r="N78" s="29"/>
      <c r="P78" s="30"/>
      <c r="S78" s="30"/>
    </row>
    <row r="79" spans="1:25" ht="15.75" thickBot="1">
      <c r="B79" s="17" t="s">
        <v>33</v>
      </c>
      <c r="C79" s="46">
        <f>'Total Number Ind Examined '!I6</f>
        <v>21</v>
      </c>
      <c r="D79" s="46">
        <f>'Total Number Ind Examined '!J6</f>
        <v>1759</v>
      </c>
      <c r="E79" s="46">
        <f>C79+D79</f>
        <v>1780</v>
      </c>
      <c r="F79" s="46">
        <f>'Total Number of Pools Examined'!H6</f>
        <v>2</v>
      </c>
      <c r="G79" s="46">
        <f>'Total Number of Pools Examined'!I6</f>
        <v>38</v>
      </c>
      <c r="H79" s="46">
        <f>F79+G79</f>
        <v>40</v>
      </c>
      <c r="I79" s="46">
        <f>'Total Number of WNV + Pools'!G11</f>
        <v>0</v>
      </c>
      <c r="J79" s="46">
        <f>'Total Number of WNV + Pools'!H11</f>
        <v>0</v>
      </c>
      <c r="K79" s="46">
        <f>I79+J79</f>
        <v>0</v>
      </c>
      <c r="L79" s="29">
        <v>0</v>
      </c>
      <c r="M79" s="29">
        <v>0</v>
      </c>
      <c r="N79" s="29">
        <v>0</v>
      </c>
      <c r="S79" s="30"/>
      <c r="T79" s="30"/>
    </row>
    <row r="80" spans="1:25" ht="15.75" thickBot="1">
      <c r="B80" s="17" t="s">
        <v>256</v>
      </c>
      <c r="C80" s="46">
        <f>'Total Number Ind Examined '!I11</f>
        <v>5</v>
      </c>
      <c r="D80" s="46">
        <f>'Total Number Ind Examined '!J11</f>
        <v>617</v>
      </c>
      <c r="E80" s="46">
        <f>C80+D80</f>
        <v>622</v>
      </c>
      <c r="F80" s="46">
        <f>'Total Number of Pools Examined'!H11</f>
        <v>2</v>
      </c>
      <c r="G80" s="46">
        <f>'Total Number of Pools Examined'!I11</f>
        <v>13</v>
      </c>
      <c r="H80" s="46">
        <f>F80+G80</f>
        <v>15</v>
      </c>
      <c r="I80" s="46">
        <f>'Total Number of WNV + Pools'!G12</f>
        <v>0</v>
      </c>
      <c r="J80" s="46">
        <f>'Total Number of WNV + Pools'!H12</f>
        <v>0</v>
      </c>
      <c r="K80" s="46">
        <f>I80+J80</f>
        <v>0</v>
      </c>
      <c r="L80" s="29">
        <v>0</v>
      </c>
      <c r="M80" s="29">
        <v>0</v>
      </c>
      <c r="N80" s="29">
        <v>0</v>
      </c>
      <c r="Q80" s="47"/>
      <c r="S80" s="30"/>
      <c r="T80" s="30"/>
    </row>
    <row r="81" spans="1:20" ht="15.75" thickBot="1">
      <c r="B81" s="17" t="s">
        <v>370</v>
      </c>
      <c r="C81" s="46">
        <f>'Total Number Ind Examined '!I12</f>
        <v>0</v>
      </c>
      <c r="D81" s="46">
        <f>'Total Number Ind Examined '!J12</f>
        <v>225</v>
      </c>
      <c r="E81" s="46">
        <f>C81+D81</f>
        <v>225</v>
      </c>
      <c r="F81" s="46">
        <f>'Total Number of Pools Examined'!H12</f>
        <v>0</v>
      </c>
      <c r="G81" s="46">
        <f>'Total Number of Pools Examined'!I12</f>
        <v>5</v>
      </c>
      <c r="H81" s="46">
        <f>F81+G81</f>
        <v>5</v>
      </c>
      <c r="I81" s="46">
        <f>'Total Number of WNV + Pools'!G14</f>
        <v>0</v>
      </c>
      <c r="J81" s="46">
        <f>'Total Number of WNV + Pools'!H14</f>
        <v>1</v>
      </c>
      <c r="K81" s="46">
        <f>I81+J81</f>
        <v>1</v>
      </c>
      <c r="L81" s="29" t="str">
        <f>CITYINFRATE!C8</f>
        <v>N/A</v>
      </c>
      <c r="M81" s="29">
        <f>CITYINFRATE!C9</f>
        <v>0</v>
      </c>
      <c r="N81" s="29">
        <v>0</v>
      </c>
      <c r="S81" s="30"/>
      <c r="T81" s="30"/>
    </row>
    <row r="82" spans="1:20" ht="15.75" thickBot="1">
      <c r="R82" s="30"/>
      <c r="S82" s="51"/>
      <c r="T82" s="30"/>
    </row>
    <row r="83" spans="1:20" ht="15" customHeight="1">
      <c r="A83" t="s">
        <v>604</v>
      </c>
      <c r="B83" s="15"/>
      <c r="C83" s="111" t="s">
        <v>578</v>
      </c>
      <c r="D83" s="112"/>
      <c r="E83" s="111" t="s">
        <v>579</v>
      </c>
      <c r="F83" s="112"/>
      <c r="G83" s="111" t="s">
        <v>580</v>
      </c>
      <c r="H83" s="112"/>
      <c r="I83" s="111" t="s">
        <v>581</v>
      </c>
      <c r="J83" s="112"/>
      <c r="K83" s="111" t="s">
        <v>582</v>
      </c>
      <c r="L83" s="112"/>
      <c r="M83" s="18"/>
      <c r="N83" s="18"/>
      <c r="O83" s="18"/>
      <c r="S83" s="30"/>
    </row>
    <row r="84" spans="1:20" ht="15.75" thickBot="1">
      <c r="B84" s="16"/>
      <c r="C84" s="113"/>
      <c r="D84" s="114"/>
      <c r="E84" s="113"/>
      <c r="F84" s="114"/>
      <c r="G84" s="113"/>
      <c r="H84" s="114"/>
      <c r="I84" s="113"/>
      <c r="J84" s="114"/>
      <c r="K84" s="113"/>
      <c r="L84" s="114"/>
      <c r="M84" s="19"/>
      <c r="N84" s="19"/>
      <c r="O84" s="19"/>
      <c r="S84" s="30"/>
    </row>
    <row r="85" spans="1:20" ht="26.25" thickBot="1">
      <c r="B85" s="17" t="s">
        <v>13</v>
      </c>
      <c r="C85" s="20" t="s">
        <v>585</v>
      </c>
      <c r="D85" s="20" t="s">
        <v>586</v>
      </c>
      <c r="E85" s="20" t="s">
        <v>585</v>
      </c>
      <c r="F85" s="20" t="s">
        <v>586</v>
      </c>
      <c r="G85" s="20" t="s">
        <v>585</v>
      </c>
      <c r="H85" s="20" t="s">
        <v>586</v>
      </c>
      <c r="I85" s="20" t="s">
        <v>585</v>
      </c>
      <c r="J85" s="20" t="s">
        <v>586</v>
      </c>
      <c r="K85" s="20" t="s">
        <v>585</v>
      </c>
      <c r="L85" s="20" t="s">
        <v>586</v>
      </c>
      <c r="M85" s="20" t="s">
        <v>33</v>
      </c>
      <c r="N85" s="20" t="s">
        <v>256</v>
      </c>
      <c r="O85" s="20" t="s">
        <v>370</v>
      </c>
      <c r="S85" s="30"/>
    </row>
    <row r="86" spans="1:20" ht="15.75" thickBot="1">
      <c r="B86" s="17">
        <v>23</v>
      </c>
      <c r="C86" s="44">
        <v>0</v>
      </c>
      <c r="D86" s="44">
        <v>0</v>
      </c>
      <c r="E86" s="44">
        <v>0</v>
      </c>
      <c r="F86" s="44">
        <v>0</v>
      </c>
      <c r="G86" s="44">
        <v>0</v>
      </c>
      <c r="H86" s="44">
        <v>1.5957902434690654</v>
      </c>
      <c r="I86" s="44">
        <v>0</v>
      </c>
      <c r="J86" s="44">
        <v>0</v>
      </c>
      <c r="K86" s="44">
        <v>0</v>
      </c>
      <c r="L86" s="44">
        <v>0.51978053605517371</v>
      </c>
      <c r="M86" s="29">
        <v>0</v>
      </c>
      <c r="N86" s="29">
        <v>0</v>
      </c>
      <c r="O86" s="29" t="s">
        <v>369</v>
      </c>
      <c r="S86" s="30"/>
    </row>
    <row r="87" spans="1:20" ht="15.75" thickBot="1">
      <c r="B87" s="17">
        <v>24</v>
      </c>
      <c r="C87" s="44">
        <v>0</v>
      </c>
      <c r="D87" s="42">
        <v>0</v>
      </c>
      <c r="E87" s="44">
        <v>0</v>
      </c>
      <c r="F87" s="42">
        <v>0</v>
      </c>
      <c r="G87" s="44">
        <v>0</v>
      </c>
      <c r="H87" s="42">
        <v>0.85745500904972305</v>
      </c>
      <c r="I87" s="44">
        <v>0</v>
      </c>
      <c r="J87" s="42">
        <v>0</v>
      </c>
      <c r="K87" s="44">
        <v>0</v>
      </c>
      <c r="L87" s="42">
        <v>0.32773515114852142</v>
      </c>
      <c r="M87" s="29">
        <v>0</v>
      </c>
      <c r="N87" s="29">
        <v>0</v>
      </c>
      <c r="O87" s="29" t="s">
        <v>369</v>
      </c>
    </row>
    <row r="88" spans="1:20" ht="15.75" thickBot="1">
      <c r="B88" s="17">
        <v>25</v>
      </c>
      <c r="C88" s="44">
        <v>0</v>
      </c>
      <c r="D88" s="42">
        <v>0</v>
      </c>
      <c r="E88" s="44">
        <v>0</v>
      </c>
      <c r="F88" s="42">
        <v>0.36605640702446324</v>
      </c>
      <c r="G88" s="44">
        <v>0</v>
      </c>
      <c r="H88" s="42">
        <v>0</v>
      </c>
      <c r="I88" s="44">
        <v>0</v>
      </c>
      <c r="J88" s="42">
        <v>0</v>
      </c>
      <c r="K88" s="44">
        <v>0</v>
      </c>
      <c r="L88" s="42">
        <v>4.8220337720628483E-2</v>
      </c>
      <c r="M88" s="29">
        <v>0</v>
      </c>
      <c r="N88" s="29">
        <v>0</v>
      </c>
      <c r="O88" s="29">
        <v>0</v>
      </c>
    </row>
    <row r="89" spans="1:20" ht="15.75" thickBot="1">
      <c r="B89" s="17">
        <v>26</v>
      </c>
      <c r="C89" s="44">
        <v>0</v>
      </c>
      <c r="D89" s="42">
        <v>0</v>
      </c>
      <c r="E89" s="44">
        <v>0</v>
      </c>
      <c r="F89" s="42">
        <v>6.352941176470589E-2</v>
      </c>
      <c r="G89" s="44">
        <v>0.29249308850982281</v>
      </c>
      <c r="H89" s="42">
        <v>0.27749164104927154</v>
      </c>
      <c r="I89" s="44">
        <v>0</v>
      </c>
      <c r="J89" s="42">
        <v>0.28360394237760067</v>
      </c>
      <c r="K89" s="44">
        <v>0.14650083916642878</v>
      </c>
      <c r="L89" s="42">
        <v>0.17237391164376478</v>
      </c>
      <c r="M89" s="29">
        <v>0</v>
      </c>
      <c r="N89" s="29">
        <v>0</v>
      </c>
      <c r="O89" s="29">
        <v>0</v>
      </c>
    </row>
    <row r="90" spans="1:20" ht="15.75" thickBot="1">
      <c r="B90" s="17">
        <v>27</v>
      </c>
      <c r="C90" s="44"/>
      <c r="D90" s="42">
        <v>0</v>
      </c>
      <c r="E90" s="44"/>
      <c r="F90" s="42">
        <v>0.14278311692191059</v>
      </c>
      <c r="G90" s="44"/>
      <c r="H90" s="42">
        <v>0.28298285958199054</v>
      </c>
      <c r="I90" s="44"/>
      <c r="J90" s="42">
        <v>0</v>
      </c>
      <c r="K90" s="44"/>
      <c r="L90" s="42">
        <v>0.20336792194129294</v>
      </c>
      <c r="M90" s="29"/>
      <c r="N90" s="29"/>
      <c r="O90" s="29"/>
    </row>
    <row r="91" spans="1:20" ht="15.75" thickBot="1">
      <c r="B91" s="17">
        <v>28</v>
      </c>
      <c r="C91" s="44"/>
      <c r="D91" s="42">
        <v>0</v>
      </c>
      <c r="E91" s="44"/>
      <c r="F91" s="42">
        <v>0.41886806644640395</v>
      </c>
      <c r="G91" s="44"/>
      <c r="H91" s="42">
        <v>0.758822702939557</v>
      </c>
      <c r="I91" s="44"/>
      <c r="J91" s="42">
        <v>0.58876392471659955</v>
      </c>
      <c r="K91" s="44"/>
      <c r="L91" s="42">
        <v>0.50519643051425234</v>
      </c>
      <c r="M91" s="29"/>
      <c r="N91" s="29"/>
      <c r="O91" s="29"/>
    </row>
    <row r="92" spans="1:20" ht="15.75" thickBot="1">
      <c r="B92" s="17">
        <v>29</v>
      </c>
      <c r="C92" s="44"/>
      <c r="D92" s="42">
        <v>1.3732826375342058</v>
      </c>
      <c r="E92" s="44"/>
      <c r="F92" s="42">
        <v>0.85695902545791058</v>
      </c>
      <c r="G92" s="44"/>
      <c r="H92" s="42">
        <v>2.1010753836463549</v>
      </c>
      <c r="I92" s="44"/>
      <c r="J92" s="42">
        <v>0.83778009081791438</v>
      </c>
      <c r="K92" s="44"/>
      <c r="L92" s="42">
        <v>1.3804236262299407</v>
      </c>
      <c r="M92" s="29"/>
      <c r="N92" s="29"/>
      <c r="O92" s="29"/>
    </row>
    <row r="93" spans="1:20" ht="15.75" thickBot="1">
      <c r="B93" s="17">
        <v>30</v>
      </c>
      <c r="C93" s="44"/>
      <c r="D93" s="42">
        <v>1.9745747343112214</v>
      </c>
      <c r="E93" s="44"/>
      <c r="F93" s="42">
        <v>1.6150257157968575</v>
      </c>
      <c r="G93" s="44"/>
      <c r="H93" s="42">
        <v>3.4662808153471794</v>
      </c>
      <c r="I93" s="44"/>
      <c r="J93" s="42">
        <v>2.0638222771464401</v>
      </c>
      <c r="K93" s="44"/>
      <c r="L93" s="42">
        <v>2.4046206774437886</v>
      </c>
      <c r="M93" s="29"/>
      <c r="N93" s="29"/>
      <c r="O93" s="29"/>
    </row>
    <row r="94" spans="1:20" ht="15.75" thickBot="1">
      <c r="B94" s="17">
        <v>31</v>
      </c>
      <c r="C94" s="44"/>
      <c r="D94" s="42">
        <v>2.9406405300610863</v>
      </c>
      <c r="E94" s="44"/>
      <c r="F94" s="42">
        <v>1.822063718205875</v>
      </c>
      <c r="G94" s="44"/>
      <c r="H94" s="42">
        <v>4.7719803887323691</v>
      </c>
      <c r="I94" s="44"/>
      <c r="J94" s="42">
        <v>3.3815060766691087</v>
      </c>
      <c r="K94" s="44"/>
      <c r="L94" s="42">
        <v>3.2751365177055627</v>
      </c>
      <c r="M94" s="29"/>
      <c r="N94" s="29"/>
      <c r="O94" s="29"/>
    </row>
    <row r="95" spans="1:20" ht="15.75" thickBot="1">
      <c r="B95" s="17">
        <v>32</v>
      </c>
      <c r="C95" s="44"/>
      <c r="D95" s="42">
        <v>4.305863475680777</v>
      </c>
      <c r="E95" s="44"/>
      <c r="F95" s="42">
        <v>4.5374478004994607</v>
      </c>
      <c r="G95" s="44"/>
      <c r="H95" s="42">
        <v>6.8581492307747354</v>
      </c>
      <c r="I95" s="44"/>
      <c r="J95" s="42">
        <v>9.2152118251185922</v>
      </c>
      <c r="K95" s="44"/>
      <c r="L95" s="42">
        <v>5.2342026460405799</v>
      </c>
      <c r="M95" s="29"/>
      <c r="N95" s="29"/>
      <c r="O95" s="29"/>
    </row>
    <row r="96" spans="1:20" ht="15.75" thickBot="1">
      <c r="B96" s="17">
        <v>33</v>
      </c>
      <c r="C96" s="44"/>
      <c r="D96" s="42">
        <v>6.4033103726557705</v>
      </c>
      <c r="E96" s="44"/>
      <c r="F96" s="42">
        <v>6.5090495561608703</v>
      </c>
      <c r="G96" s="44"/>
      <c r="H96" s="42">
        <v>9.369823327443374</v>
      </c>
      <c r="I96" s="44"/>
      <c r="J96" s="42">
        <v>6.6714912749310633</v>
      </c>
      <c r="K96" s="44"/>
      <c r="L96" s="42">
        <v>7.5049653193465451</v>
      </c>
      <c r="M96" s="29"/>
      <c r="N96" s="29"/>
      <c r="O96" s="29"/>
    </row>
    <row r="97" spans="2:16" ht="15.75" thickBot="1">
      <c r="B97" s="17">
        <v>34</v>
      </c>
      <c r="C97" s="44"/>
      <c r="D97" s="42">
        <v>7.8854783949382794</v>
      </c>
      <c r="E97" s="44"/>
      <c r="F97" s="42">
        <v>4.0479116778716273</v>
      </c>
      <c r="G97" s="44"/>
      <c r="H97" s="42">
        <v>10.376473339005011</v>
      </c>
      <c r="I97" s="44"/>
      <c r="J97" s="42">
        <v>9.8839425326464614</v>
      </c>
      <c r="K97" s="44"/>
      <c r="L97" s="42">
        <v>7.3883439619212679</v>
      </c>
      <c r="M97" s="29"/>
      <c r="N97" s="29"/>
      <c r="O97" s="29"/>
      <c r="P97" s="30"/>
    </row>
    <row r="98" spans="2:16" ht="15.75" thickBot="1">
      <c r="B98" s="17">
        <v>35</v>
      </c>
      <c r="C98" s="44"/>
      <c r="D98" s="42">
        <v>9.3874224749527464</v>
      </c>
      <c r="E98" s="44"/>
      <c r="F98" s="42">
        <v>5.8082953630952145</v>
      </c>
      <c r="G98" s="44"/>
      <c r="H98" s="42">
        <v>14.700408282990322</v>
      </c>
      <c r="I98" s="44"/>
      <c r="J98" s="42">
        <v>35.980255315934627</v>
      </c>
      <c r="K98" s="44"/>
      <c r="L98" s="42">
        <v>10.131448498495482</v>
      </c>
      <c r="M98" s="29"/>
      <c r="N98" s="29"/>
      <c r="O98" s="29"/>
    </row>
    <row r="99" spans="2:16" ht="15.75" thickBot="1">
      <c r="B99" s="17">
        <v>36</v>
      </c>
      <c r="C99" s="44"/>
      <c r="D99" s="43">
        <v>6.9360992311561231</v>
      </c>
      <c r="E99" s="44"/>
      <c r="F99" s="43">
        <v>1.9789351595307674</v>
      </c>
      <c r="G99" s="44"/>
      <c r="H99" s="43">
        <v>3.5496845436541529</v>
      </c>
      <c r="I99" s="44"/>
      <c r="J99" s="43">
        <v>6.450541709825834</v>
      </c>
      <c r="K99" s="44"/>
      <c r="L99" s="43">
        <v>2.7611492767455195</v>
      </c>
      <c r="M99" s="29"/>
      <c r="N99" s="20"/>
      <c r="O99" s="29"/>
    </row>
    <row r="100" spans="2:16" ht="15.75" thickBot="1">
      <c r="B100" s="17">
        <v>37</v>
      </c>
      <c r="C100" s="44"/>
      <c r="D100" s="44">
        <v>3.5334792310345762</v>
      </c>
      <c r="E100" s="44"/>
      <c r="F100" s="44">
        <v>3.0431402395166351</v>
      </c>
      <c r="G100" s="44"/>
      <c r="H100" s="44">
        <v>3.5602749120622774</v>
      </c>
      <c r="I100" s="44"/>
      <c r="J100" s="44">
        <v>0</v>
      </c>
      <c r="K100" s="44"/>
      <c r="L100" s="44">
        <v>3.9714321965814525</v>
      </c>
      <c r="M100" s="20"/>
      <c r="N100" s="20"/>
      <c r="O100" s="29"/>
    </row>
  </sheetData>
  <mergeCells count="41">
    <mergeCell ref="L69:N71"/>
    <mergeCell ref="C83:D84"/>
    <mergeCell ref="E83:F84"/>
    <mergeCell ref="G83:H84"/>
    <mergeCell ref="I83:J84"/>
    <mergeCell ref="K83:L84"/>
    <mergeCell ref="C69:E71"/>
    <mergeCell ref="F69:H71"/>
    <mergeCell ref="I69:K69"/>
    <mergeCell ref="I70:K70"/>
    <mergeCell ref="I71:K71"/>
    <mergeCell ref="C50:D51"/>
    <mergeCell ref="E50:F51"/>
    <mergeCell ref="G50:H51"/>
    <mergeCell ref="I50:J51"/>
    <mergeCell ref="K50:L51"/>
    <mergeCell ref="C35:E35"/>
    <mergeCell ref="C36:E36"/>
    <mergeCell ref="C37:E37"/>
    <mergeCell ref="G35:I37"/>
    <mergeCell ref="C38:C39"/>
    <mergeCell ref="D38:D39"/>
    <mergeCell ref="E38:E39"/>
    <mergeCell ref="G38:G39"/>
    <mergeCell ref="H38:H39"/>
    <mergeCell ref="C16:D17"/>
    <mergeCell ref="E16:F17"/>
    <mergeCell ref="G16:H17"/>
    <mergeCell ref="I16:J17"/>
    <mergeCell ref="K16:L17"/>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U250"/>
  <sheetViews>
    <sheetView topLeftCell="C224" zoomScale="110" zoomScaleNormal="110" workbookViewId="0">
      <selection activeCell="M254" sqref="M254"/>
    </sheetView>
  </sheetViews>
  <sheetFormatPr defaultColWidth="8.85546875" defaultRowHeight="11.25"/>
  <cols>
    <col min="1" max="1" width="11.28515625" style="61" customWidth="1"/>
    <col min="2" max="2" width="14.42578125" style="35" customWidth="1"/>
    <col min="3" max="3" width="10.85546875" style="35" bestFit="1" customWidth="1"/>
    <col min="4" max="4" width="6.42578125" style="56" bestFit="1" customWidth="1"/>
    <col min="5" max="5" width="13" style="54" customWidth="1"/>
    <col min="6" max="6" width="6.42578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11.28515625" style="35" customWidth="1"/>
    <col min="13" max="13" width="5.42578125" style="35" customWidth="1"/>
    <col min="14" max="14" width="6.7109375" style="59" customWidth="1"/>
    <col min="15" max="15" width="7.42578125" style="59" customWidth="1"/>
    <col min="16" max="16" width="7.140625" style="59" customWidth="1"/>
    <col min="17" max="17" width="11.140625" style="35" customWidth="1"/>
    <col min="18" max="18" width="10.7109375" style="35" customWidth="1"/>
    <col min="19" max="19" width="13.7109375" style="35" customWidth="1"/>
    <col min="20" max="242" width="9.140625" style="35"/>
    <col min="243" max="243" width="4.42578125" style="35" bestFit="1" customWidth="1"/>
    <col min="244" max="244" width="11.42578125" style="35" bestFit="1" customWidth="1"/>
    <col min="245" max="245" width="9.42578125" style="35" bestFit="1" customWidth="1"/>
    <col min="246" max="246" width="6.42578125" style="35" bestFit="1" customWidth="1"/>
    <col min="247" max="247" width="7.7109375" style="35" bestFit="1" customWidth="1"/>
    <col min="248" max="249" width="6.42578125" style="35" bestFit="1" customWidth="1"/>
    <col min="250" max="250" width="10" style="35" bestFit="1" customWidth="1"/>
    <col min="251" max="251" width="7.140625" style="35" customWidth="1"/>
    <col min="252" max="252" width="6.7109375" style="35" bestFit="1" customWidth="1"/>
    <col min="253" max="253" width="5.42578125" style="35" bestFit="1" customWidth="1"/>
    <col min="254" max="254" width="6.28515625" style="35" bestFit="1" customWidth="1"/>
    <col min="255" max="255" width="5.42578125" style="35" customWidth="1"/>
    <col min="256" max="256" width="6.7109375" style="35" customWidth="1"/>
    <col min="257" max="257" width="7.42578125" style="35" customWidth="1"/>
    <col min="258" max="258" width="7.140625" style="35" customWidth="1"/>
    <col min="259" max="259" width="9.28515625" style="35" customWidth="1"/>
    <col min="260" max="260" width="10.7109375" style="35" customWidth="1"/>
    <col min="261" max="261" width="9.140625" style="35" customWidth="1"/>
    <col min="262" max="498" width="9.140625" style="35"/>
    <col min="499" max="499" width="4.42578125" style="35" bestFit="1" customWidth="1"/>
    <col min="500" max="500" width="11.42578125" style="35" bestFit="1" customWidth="1"/>
    <col min="501" max="501" width="9.42578125" style="35" bestFit="1" customWidth="1"/>
    <col min="502" max="502" width="6.42578125" style="35" bestFit="1" customWidth="1"/>
    <col min="503" max="503" width="7.7109375" style="35" bestFit="1" customWidth="1"/>
    <col min="504" max="505" width="6.42578125" style="35" bestFit="1" customWidth="1"/>
    <col min="506" max="506" width="10" style="35" bestFit="1" customWidth="1"/>
    <col min="507" max="507" width="7.140625" style="35" customWidth="1"/>
    <col min="508" max="508" width="6.7109375" style="35" bestFit="1" customWidth="1"/>
    <col min="509" max="509" width="5.42578125" style="35" bestFit="1" customWidth="1"/>
    <col min="510" max="510" width="6.28515625" style="35" bestFit="1" customWidth="1"/>
    <col min="511" max="511" width="5.42578125" style="35" customWidth="1"/>
    <col min="512" max="512" width="6.7109375" style="35" customWidth="1"/>
    <col min="513" max="513" width="7.42578125" style="35" customWidth="1"/>
    <col min="514" max="514" width="7.140625" style="35" customWidth="1"/>
    <col min="515" max="515" width="9.28515625" style="35" customWidth="1"/>
    <col min="516" max="516" width="10.7109375" style="35" customWidth="1"/>
    <col min="517" max="517" width="9.140625" style="35" customWidth="1"/>
    <col min="518" max="754" width="9.140625" style="35"/>
    <col min="755" max="755" width="4.42578125" style="35" bestFit="1" customWidth="1"/>
    <col min="756" max="756" width="11.42578125" style="35" bestFit="1" customWidth="1"/>
    <col min="757" max="757" width="9.42578125" style="35" bestFit="1" customWidth="1"/>
    <col min="758" max="758" width="6.42578125" style="35" bestFit="1" customWidth="1"/>
    <col min="759" max="759" width="7.7109375" style="35" bestFit="1" customWidth="1"/>
    <col min="760" max="761" width="6.42578125" style="35" bestFit="1" customWidth="1"/>
    <col min="762" max="762" width="10" style="35" bestFit="1" customWidth="1"/>
    <col min="763" max="763" width="7.140625" style="35" customWidth="1"/>
    <col min="764" max="764" width="6.7109375" style="35" bestFit="1" customWidth="1"/>
    <col min="765" max="765" width="5.42578125" style="35" bestFit="1" customWidth="1"/>
    <col min="766" max="766" width="6.28515625" style="35" bestFit="1" customWidth="1"/>
    <col min="767" max="767" width="5.42578125" style="35" customWidth="1"/>
    <col min="768" max="768" width="6.7109375" style="35" customWidth="1"/>
    <col min="769" max="769" width="7.42578125" style="35" customWidth="1"/>
    <col min="770" max="770" width="7.140625" style="35" customWidth="1"/>
    <col min="771" max="771" width="9.28515625" style="35" customWidth="1"/>
    <col min="772" max="772" width="10.7109375" style="35" customWidth="1"/>
    <col min="773" max="773" width="9.140625" style="35" customWidth="1"/>
    <col min="774" max="1010" width="9.140625" style="35"/>
    <col min="1011" max="1011" width="4.42578125" style="35" bestFit="1" customWidth="1"/>
    <col min="1012" max="1012" width="11.42578125" style="35" bestFit="1" customWidth="1"/>
    <col min="1013" max="1013" width="9.42578125" style="35" bestFit="1" customWidth="1"/>
    <col min="1014" max="1014" width="6.42578125" style="35" bestFit="1" customWidth="1"/>
    <col min="1015" max="1015" width="7.7109375" style="35" bestFit="1" customWidth="1"/>
    <col min="1016" max="1017" width="6.42578125" style="35" bestFit="1" customWidth="1"/>
    <col min="1018" max="1018" width="10" style="35" bestFit="1" customWidth="1"/>
    <col min="1019" max="1019" width="7.140625" style="35" customWidth="1"/>
    <col min="1020" max="1020" width="6.7109375" style="35" bestFit="1" customWidth="1"/>
    <col min="1021" max="1021" width="5.42578125" style="35" bestFit="1" customWidth="1"/>
    <col min="1022" max="1022" width="6.28515625" style="35" bestFit="1" customWidth="1"/>
    <col min="1023" max="1023" width="5.42578125" style="35" customWidth="1"/>
    <col min="1024" max="1024" width="6.7109375" style="35" customWidth="1"/>
    <col min="1025" max="1025" width="7.42578125" style="35" customWidth="1"/>
    <col min="1026" max="1026" width="7.140625" style="35" customWidth="1"/>
    <col min="1027" max="1027" width="9.28515625" style="35" customWidth="1"/>
    <col min="1028" max="1028" width="10.7109375" style="35" customWidth="1"/>
    <col min="1029" max="1029" width="9.140625" style="35" customWidth="1"/>
    <col min="1030" max="1266" width="9.140625" style="35"/>
    <col min="1267" max="1267" width="4.42578125" style="35" bestFit="1" customWidth="1"/>
    <col min="1268" max="1268" width="11.42578125" style="35" bestFit="1" customWidth="1"/>
    <col min="1269" max="1269" width="9.42578125" style="35" bestFit="1" customWidth="1"/>
    <col min="1270" max="1270" width="6.42578125" style="35" bestFit="1" customWidth="1"/>
    <col min="1271" max="1271" width="7.7109375" style="35" bestFit="1" customWidth="1"/>
    <col min="1272" max="1273" width="6.42578125" style="35" bestFit="1" customWidth="1"/>
    <col min="1274" max="1274" width="10" style="35" bestFit="1" customWidth="1"/>
    <col min="1275" max="1275" width="7.140625" style="35" customWidth="1"/>
    <col min="1276" max="1276" width="6.7109375" style="35" bestFit="1" customWidth="1"/>
    <col min="1277" max="1277" width="5.42578125" style="35" bestFit="1" customWidth="1"/>
    <col min="1278" max="1278" width="6.28515625" style="35" bestFit="1" customWidth="1"/>
    <col min="1279" max="1279" width="5.42578125" style="35" customWidth="1"/>
    <col min="1280" max="1280" width="6.7109375" style="35" customWidth="1"/>
    <col min="1281" max="1281" width="7.42578125" style="35" customWidth="1"/>
    <col min="1282" max="1282" width="7.140625" style="35" customWidth="1"/>
    <col min="1283" max="1283" width="9.28515625" style="35" customWidth="1"/>
    <col min="1284" max="1284" width="10.7109375" style="35" customWidth="1"/>
    <col min="1285" max="1285" width="9.140625" style="35" customWidth="1"/>
    <col min="1286" max="1522" width="9.140625" style="35"/>
    <col min="1523" max="1523" width="4.42578125" style="35" bestFit="1" customWidth="1"/>
    <col min="1524" max="1524" width="11.42578125" style="35" bestFit="1" customWidth="1"/>
    <col min="1525" max="1525" width="9.42578125" style="35" bestFit="1" customWidth="1"/>
    <col min="1526" max="1526" width="6.42578125" style="35" bestFit="1" customWidth="1"/>
    <col min="1527" max="1527" width="7.7109375" style="35" bestFit="1" customWidth="1"/>
    <col min="1528" max="1529" width="6.42578125" style="35" bestFit="1" customWidth="1"/>
    <col min="1530" max="1530" width="10" style="35" bestFit="1" customWidth="1"/>
    <col min="1531" max="1531" width="7.140625" style="35" customWidth="1"/>
    <col min="1532" max="1532" width="6.7109375" style="35" bestFit="1" customWidth="1"/>
    <col min="1533" max="1533" width="5.42578125" style="35" bestFit="1" customWidth="1"/>
    <col min="1534" max="1534" width="6.28515625" style="35" bestFit="1" customWidth="1"/>
    <col min="1535" max="1535" width="5.42578125" style="35" customWidth="1"/>
    <col min="1536" max="1536" width="6.7109375" style="35" customWidth="1"/>
    <col min="1537" max="1537" width="7.42578125" style="35" customWidth="1"/>
    <col min="1538" max="1538" width="7.140625" style="35" customWidth="1"/>
    <col min="1539" max="1539" width="9.28515625" style="35" customWidth="1"/>
    <col min="1540" max="1540" width="10.7109375" style="35" customWidth="1"/>
    <col min="1541" max="1541" width="9.140625" style="35" customWidth="1"/>
    <col min="1542" max="1778" width="9.140625" style="35"/>
    <col min="1779" max="1779" width="4.42578125" style="35" bestFit="1" customWidth="1"/>
    <col min="1780" max="1780" width="11.42578125" style="35" bestFit="1" customWidth="1"/>
    <col min="1781" max="1781" width="9.42578125" style="35" bestFit="1" customWidth="1"/>
    <col min="1782" max="1782" width="6.42578125" style="35" bestFit="1" customWidth="1"/>
    <col min="1783" max="1783" width="7.7109375" style="35" bestFit="1" customWidth="1"/>
    <col min="1784" max="1785" width="6.42578125" style="35" bestFit="1" customWidth="1"/>
    <col min="1786" max="1786" width="10" style="35" bestFit="1" customWidth="1"/>
    <col min="1787" max="1787" width="7.140625" style="35" customWidth="1"/>
    <col min="1788" max="1788" width="6.7109375" style="35" bestFit="1" customWidth="1"/>
    <col min="1789" max="1789" width="5.42578125" style="35" bestFit="1" customWidth="1"/>
    <col min="1790" max="1790" width="6.28515625" style="35" bestFit="1" customWidth="1"/>
    <col min="1791" max="1791" width="5.42578125" style="35" customWidth="1"/>
    <col min="1792" max="1792" width="6.7109375" style="35" customWidth="1"/>
    <col min="1793" max="1793" width="7.42578125" style="35" customWidth="1"/>
    <col min="1794" max="1794" width="7.140625" style="35" customWidth="1"/>
    <col min="1795" max="1795" width="9.28515625" style="35" customWidth="1"/>
    <col min="1796" max="1796" width="10.7109375" style="35" customWidth="1"/>
    <col min="1797" max="1797" width="9.140625" style="35" customWidth="1"/>
    <col min="1798" max="2034" width="9.140625" style="35"/>
    <col min="2035" max="2035" width="4.42578125" style="35" bestFit="1" customWidth="1"/>
    <col min="2036" max="2036" width="11.42578125" style="35" bestFit="1" customWidth="1"/>
    <col min="2037" max="2037" width="9.42578125" style="35" bestFit="1" customWidth="1"/>
    <col min="2038" max="2038" width="6.42578125" style="35" bestFit="1" customWidth="1"/>
    <col min="2039" max="2039" width="7.7109375" style="35" bestFit="1" customWidth="1"/>
    <col min="2040" max="2041" width="6.42578125" style="35" bestFit="1" customWidth="1"/>
    <col min="2042" max="2042" width="10" style="35" bestFit="1" customWidth="1"/>
    <col min="2043" max="2043" width="7.140625" style="35" customWidth="1"/>
    <col min="2044" max="2044" width="6.7109375" style="35" bestFit="1" customWidth="1"/>
    <col min="2045" max="2045" width="5.42578125" style="35" bestFit="1" customWidth="1"/>
    <col min="2046" max="2046" width="6.28515625" style="35" bestFit="1" customWidth="1"/>
    <col min="2047" max="2047" width="5.42578125" style="35" customWidth="1"/>
    <col min="2048" max="2048" width="6.7109375" style="35" customWidth="1"/>
    <col min="2049" max="2049" width="7.42578125" style="35" customWidth="1"/>
    <col min="2050" max="2050" width="7.140625" style="35" customWidth="1"/>
    <col min="2051" max="2051" width="9.28515625" style="35" customWidth="1"/>
    <col min="2052" max="2052" width="10.7109375" style="35" customWidth="1"/>
    <col min="2053" max="2053" width="9.140625" style="35" customWidth="1"/>
    <col min="2054" max="2290" width="9.140625" style="35"/>
    <col min="2291" max="2291" width="4.42578125" style="35" bestFit="1" customWidth="1"/>
    <col min="2292" max="2292" width="11.42578125" style="35" bestFit="1" customWidth="1"/>
    <col min="2293" max="2293" width="9.42578125" style="35" bestFit="1" customWidth="1"/>
    <col min="2294" max="2294" width="6.42578125" style="35" bestFit="1" customWidth="1"/>
    <col min="2295" max="2295" width="7.7109375" style="35" bestFit="1" customWidth="1"/>
    <col min="2296" max="2297" width="6.42578125" style="35" bestFit="1" customWidth="1"/>
    <col min="2298" max="2298" width="10" style="35" bestFit="1" customWidth="1"/>
    <col min="2299" max="2299" width="7.140625" style="35" customWidth="1"/>
    <col min="2300" max="2300" width="6.7109375" style="35" bestFit="1" customWidth="1"/>
    <col min="2301" max="2301" width="5.42578125" style="35" bestFit="1" customWidth="1"/>
    <col min="2302" max="2302" width="6.28515625" style="35" bestFit="1" customWidth="1"/>
    <col min="2303" max="2303" width="5.42578125" style="35" customWidth="1"/>
    <col min="2304" max="2304" width="6.7109375" style="35" customWidth="1"/>
    <col min="2305" max="2305" width="7.42578125" style="35" customWidth="1"/>
    <col min="2306" max="2306" width="7.140625" style="35" customWidth="1"/>
    <col min="2307" max="2307" width="9.28515625" style="35" customWidth="1"/>
    <col min="2308" max="2308" width="10.7109375" style="35" customWidth="1"/>
    <col min="2309" max="2309" width="9.140625" style="35" customWidth="1"/>
    <col min="2310" max="2546" width="9.140625" style="35"/>
    <col min="2547" max="2547" width="4.42578125" style="35" bestFit="1" customWidth="1"/>
    <col min="2548" max="2548" width="11.42578125" style="35" bestFit="1" customWidth="1"/>
    <col min="2549" max="2549" width="9.42578125" style="35" bestFit="1" customWidth="1"/>
    <col min="2550" max="2550" width="6.42578125" style="35" bestFit="1" customWidth="1"/>
    <col min="2551" max="2551" width="7.7109375" style="35" bestFit="1" customWidth="1"/>
    <col min="2552" max="2553" width="6.42578125" style="35" bestFit="1" customWidth="1"/>
    <col min="2554" max="2554" width="10" style="35" bestFit="1" customWidth="1"/>
    <col min="2555" max="2555" width="7.140625" style="35" customWidth="1"/>
    <col min="2556" max="2556" width="6.7109375" style="35" bestFit="1" customWidth="1"/>
    <col min="2557" max="2557" width="5.42578125" style="35" bestFit="1" customWidth="1"/>
    <col min="2558" max="2558" width="6.28515625" style="35" bestFit="1" customWidth="1"/>
    <col min="2559" max="2559" width="5.42578125" style="35" customWidth="1"/>
    <col min="2560" max="2560" width="6.7109375" style="35" customWidth="1"/>
    <col min="2561" max="2561" width="7.42578125" style="35" customWidth="1"/>
    <col min="2562" max="2562" width="7.140625" style="35" customWidth="1"/>
    <col min="2563" max="2563" width="9.28515625" style="35" customWidth="1"/>
    <col min="2564" max="2564" width="10.7109375" style="35" customWidth="1"/>
    <col min="2565" max="2565" width="9.140625" style="35" customWidth="1"/>
    <col min="2566" max="2802" width="9.140625" style="35"/>
    <col min="2803" max="2803" width="4.42578125" style="35" bestFit="1" customWidth="1"/>
    <col min="2804" max="2804" width="11.42578125" style="35" bestFit="1" customWidth="1"/>
    <col min="2805" max="2805" width="9.42578125" style="35" bestFit="1" customWidth="1"/>
    <col min="2806" max="2806" width="6.42578125" style="35" bestFit="1" customWidth="1"/>
    <col min="2807" max="2807" width="7.7109375" style="35" bestFit="1" customWidth="1"/>
    <col min="2808" max="2809" width="6.42578125" style="35" bestFit="1" customWidth="1"/>
    <col min="2810" max="2810" width="10" style="35" bestFit="1" customWidth="1"/>
    <col min="2811" max="2811" width="7.140625" style="35" customWidth="1"/>
    <col min="2812" max="2812" width="6.7109375" style="35" bestFit="1" customWidth="1"/>
    <col min="2813" max="2813" width="5.42578125" style="35" bestFit="1" customWidth="1"/>
    <col min="2814" max="2814" width="6.28515625" style="35" bestFit="1" customWidth="1"/>
    <col min="2815" max="2815" width="5.42578125" style="35" customWidth="1"/>
    <col min="2816" max="2816" width="6.7109375" style="35" customWidth="1"/>
    <col min="2817" max="2817" width="7.42578125" style="35" customWidth="1"/>
    <col min="2818" max="2818" width="7.140625" style="35" customWidth="1"/>
    <col min="2819" max="2819" width="9.28515625" style="35" customWidth="1"/>
    <col min="2820" max="2820" width="10.7109375" style="35" customWidth="1"/>
    <col min="2821" max="2821" width="9.140625" style="35" customWidth="1"/>
    <col min="2822" max="3058" width="9.140625" style="35"/>
    <col min="3059" max="3059" width="4.42578125" style="35" bestFit="1" customWidth="1"/>
    <col min="3060" max="3060" width="11.42578125" style="35" bestFit="1" customWidth="1"/>
    <col min="3061" max="3061" width="9.42578125" style="35" bestFit="1" customWidth="1"/>
    <col min="3062" max="3062" width="6.42578125" style="35" bestFit="1" customWidth="1"/>
    <col min="3063" max="3063" width="7.7109375" style="35" bestFit="1" customWidth="1"/>
    <col min="3064" max="3065" width="6.42578125" style="35" bestFit="1" customWidth="1"/>
    <col min="3066" max="3066" width="10" style="35" bestFit="1" customWidth="1"/>
    <col min="3067" max="3067" width="7.140625" style="35" customWidth="1"/>
    <col min="3068" max="3068" width="6.7109375" style="35" bestFit="1" customWidth="1"/>
    <col min="3069" max="3069" width="5.42578125" style="35" bestFit="1" customWidth="1"/>
    <col min="3070" max="3070" width="6.28515625" style="35" bestFit="1" customWidth="1"/>
    <col min="3071" max="3071" width="5.42578125" style="35" customWidth="1"/>
    <col min="3072" max="3072" width="6.7109375" style="35" customWidth="1"/>
    <col min="3073" max="3073" width="7.42578125" style="35" customWidth="1"/>
    <col min="3074" max="3074" width="7.140625" style="35" customWidth="1"/>
    <col min="3075" max="3075" width="9.28515625" style="35" customWidth="1"/>
    <col min="3076" max="3076" width="10.7109375" style="35" customWidth="1"/>
    <col min="3077" max="3077" width="9.140625" style="35" customWidth="1"/>
    <col min="3078" max="3314" width="9.140625" style="35"/>
    <col min="3315" max="3315" width="4.42578125" style="35" bestFit="1" customWidth="1"/>
    <col min="3316" max="3316" width="11.42578125" style="35" bestFit="1" customWidth="1"/>
    <col min="3317" max="3317" width="9.42578125" style="35" bestFit="1" customWidth="1"/>
    <col min="3318" max="3318" width="6.42578125" style="35" bestFit="1" customWidth="1"/>
    <col min="3319" max="3319" width="7.7109375" style="35" bestFit="1" customWidth="1"/>
    <col min="3320" max="3321" width="6.42578125" style="35" bestFit="1" customWidth="1"/>
    <col min="3322" max="3322" width="10" style="35" bestFit="1" customWidth="1"/>
    <col min="3323" max="3323" width="7.140625" style="35" customWidth="1"/>
    <col min="3324" max="3324" width="6.7109375" style="35" bestFit="1" customWidth="1"/>
    <col min="3325" max="3325" width="5.42578125" style="35" bestFit="1" customWidth="1"/>
    <col min="3326" max="3326" width="6.28515625" style="35" bestFit="1" customWidth="1"/>
    <col min="3327" max="3327" width="5.42578125" style="35" customWidth="1"/>
    <col min="3328" max="3328" width="6.7109375" style="35" customWidth="1"/>
    <col min="3329" max="3329" width="7.42578125" style="35" customWidth="1"/>
    <col min="3330" max="3330" width="7.140625" style="35" customWidth="1"/>
    <col min="3331" max="3331" width="9.28515625" style="35" customWidth="1"/>
    <col min="3332" max="3332" width="10.7109375" style="35" customWidth="1"/>
    <col min="3333" max="3333" width="9.140625" style="35" customWidth="1"/>
    <col min="3334" max="3570" width="9.140625" style="35"/>
    <col min="3571" max="3571" width="4.42578125" style="35" bestFit="1" customWidth="1"/>
    <col min="3572" max="3572" width="11.42578125" style="35" bestFit="1" customWidth="1"/>
    <col min="3573" max="3573" width="9.42578125" style="35" bestFit="1" customWidth="1"/>
    <col min="3574" max="3574" width="6.42578125" style="35" bestFit="1" customWidth="1"/>
    <col min="3575" max="3575" width="7.7109375" style="35" bestFit="1" customWidth="1"/>
    <col min="3576" max="3577" width="6.42578125" style="35" bestFit="1" customWidth="1"/>
    <col min="3578" max="3578" width="10" style="35" bestFit="1" customWidth="1"/>
    <col min="3579" max="3579" width="7.140625" style="35" customWidth="1"/>
    <col min="3580" max="3580" width="6.7109375" style="35" bestFit="1" customWidth="1"/>
    <col min="3581" max="3581" width="5.42578125" style="35" bestFit="1" customWidth="1"/>
    <col min="3582" max="3582" width="6.28515625" style="35" bestFit="1" customWidth="1"/>
    <col min="3583" max="3583" width="5.42578125" style="35" customWidth="1"/>
    <col min="3584" max="3584" width="6.7109375" style="35" customWidth="1"/>
    <col min="3585" max="3585" width="7.42578125" style="35" customWidth="1"/>
    <col min="3586" max="3586" width="7.140625" style="35" customWidth="1"/>
    <col min="3587" max="3587" width="9.28515625" style="35" customWidth="1"/>
    <col min="3588" max="3588" width="10.7109375" style="35" customWidth="1"/>
    <col min="3589" max="3589" width="9.140625" style="35" customWidth="1"/>
    <col min="3590" max="3826" width="9.140625" style="35"/>
    <col min="3827" max="3827" width="4.42578125" style="35" bestFit="1" customWidth="1"/>
    <col min="3828" max="3828" width="11.42578125" style="35" bestFit="1" customWidth="1"/>
    <col min="3829" max="3829" width="9.42578125" style="35" bestFit="1" customWidth="1"/>
    <col min="3830" max="3830" width="6.42578125" style="35" bestFit="1" customWidth="1"/>
    <col min="3831" max="3831" width="7.7109375" style="35" bestFit="1" customWidth="1"/>
    <col min="3832" max="3833" width="6.42578125" style="35" bestFit="1" customWidth="1"/>
    <col min="3834" max="3834" width="10" style="35" bestFit="1" customWidth="1"/>
    <col min="3835" max="3835" width="7.140625" style="35" customWidth="1"/>
    <col min="3836" max="3836" width="6.7109375" style="35" bestFit="1" customWidth="1"/>
    <col min="3837" max="3837" width="5.42578125" style="35" bestFit="1" customWidth="1"/>
    <col min="3838" max="3838" width="6.28515625" style="35" bestFit="1" customWidth="1"/>
    <col min="3839" max="3839" width="5.42578125" style="35" customWidth="1"/>
    <col min="3840" max="3840" width="6.7109375" style="35" customWidth="1"/>
    <col min="3841" max="3841" width="7.42578125" style="35" customWidth="1"/>
    <col min="3842" max="3842" width="7.140625" style="35" customWidth="1"/>
    <col min="3843" max="3843" width="9.28515625" style="35" customWidth="1"/>
    <col min="3844" max="3844" width="10.7109375" style="35" customWidth="1"/>
    <col min="3845" max="3845" width="9.140625" style="35" customWidth="1"/>
    <col min="3846" max="4082" width="9.140625" style="35"/>
    <col min="4083" max="4083" width="4.42578125" style="35" bestFit="1" customWidth="1"/>
    <col min="4084" max="4084" width="11.42578125" style="35" bestFit="1" customWidth="1"/>
    <col min="4085" max="4085" width="9.42578125" style="35" bestFit="1" customWidth="1"/>
    <col min="4086" max="4086" width="6.42578125" style="35" bestFit="1" customWidth="1"/>
    <col min="4087" max="4087" width="7.7109375" style="35" bestFit="1" customWidth="1"/>
    <col min="4088" max="4089" width="6.42578125" style="35" bestFit="1" customWidth="1"/>
    <col min="4090" max="4090" width="10" style="35" bestFit="1" customWidth="1"/>
    <col min="4091" max="4091" width="7.140625" style="35" customWidth="1"/>
    <col min="4092" max="4092" width="6.7109375" style="35" bestFit="1" customWidth="1"/>
    <col min="4093" max="4093" width="5.42578125" style="35" bestFit="1" customWidth="1"/>
    <col min="4094" max="4094" width="6.28515625" style="35" bestFit="1" customWidth="1"/>
    <col min="4095" max="4095" width="5.42578125" style="35" customWidth="1"/>
    <col min="4096" max="4096" width="6.7109375" style="35" customWidth="1"/>
    <col min="4097" max="4097" width="7.42578125" style="35" customWidth="1"/>
    <col min="4098" max="4098" width="7.140625" style="35" customWidth="1"/>
    <col min="4099" max="4099" width="9.28515625" style="35" customWidth="1"/>
    <col min="4100" max="4100" width="10.7109375" style="35" customWidth="1"/>
    <col min="4101" max="4101" width="9.140625" style="35" customWidth="1"/>
    <col min="4102" max="4338" width="9.140625" style="35"/>
    <col min="4339" max="4339" width="4.42578125" style="35" bestFit="1" customWidth="1"/>
    <col min="4340" max="4340" width="11.42578125" style="35" bestFit="1" customWidth="1"/>
    <col min="4341" max="4341" width="9.42578125" style="35" bestFit="1" customWidth="1"/>
    <col min="4342" max="4342" width="6.42578125" style="35" bestFit="1" customWidth="1"/>
    <col min="4343" max="4343" width="7.7109375" style="35" bestFit="1" customWidth="1"/>
    <col min="4344" max="4345" width="6.42578125" style="35" bestFit="1" customWidth="1"/>
    <col min="4346" max="4346" width="10" style="35" bestFit="1" customWidth="1"/>
    <col min="4347" max="4347" width="7.140625" style="35" customWidth="1"/>
    <col min="4348" max="4348" width="6.7109375" style="35" bestFit="1" customWidth="1"/>
    <col min="4349" max="4349" width="5.42578125" style="35" bestFit="1" customWidth="1"/>
    <col min="4350" max="4350" width="6.28515625" style="35" bestFit="1" customWidth="1"/>
    <col min="4351" max="4351" width="5.42578125" style="35" customWidth="1"/>
    <col min="4352" max="4352" width="6.7109375" style="35" customWidth="1"/>
    <col min="4353" max="4353" width="7.42578125" style="35" customWidth="1"/>
    <col min="4354" max="4354" width="7.140625" style="35" customWidth="1"/>
    <col min="4355" max="4355" width="9.28515625" style="35" customWidth="1"/>
    <col min="4356" max="4356" width="10.7109375" style="35" customWidth="1"/>
    <col min="4357" max="4357" width="9.140625" style="35" customWidth="1"/>
    <col min="4358" max="4594" width="9.140625" style="35"/>
    <col min="4595" max="4595" width="4.42578125" style="35" bestFit="1" customWidth="1"/>
    <col min="4596" max="4596" width="11.42578125" style="35" bestFit="1" customWidth="1"/>
    <col min="4597" max="4597" width="9.42578125" style="35" bestFit="1" customWidth="1"/>
    <col min="4598" max="4598" width="6.42578125" style="35" bestFit="1" customWidth="1"/>
    <col min="4599" max="4599" width="7.7109375" style="35" bestFit="1" customWidth="1"/>
    <col min="4600" max="4601" width="6.42578125" style="35" bestFit="1" customWidth="1"/>
    <col min="4602" max="4602" width="10" style="35" bestFit="1" customWidth="1"/>
    <col min="4603" max="4603" width="7.140625" style="35" customWidth="1"/>
    <col min="4604" max="4604" width="6.7109375" style="35" bestFit="1" customWidth="1"/>
    <col min="4605" max="4605" width="5.42578125" style="35" bestFit="1" customWidth="1"/>
    <col min="4606" max="4606" width="6.28515625" style="35" bestFit="1" customWidth="1"/>
    <col min="4607" max="4607" width="5.42578125" style="35" customWidth="1"/>
    <col min="4608" max="4608" width="6.7109375" style="35" customWidth="1"/>
    <col min="4609" max="4609" width="7.42578125" style="35" customWidth="1"/>
    <col min="4610" max="4610" width="7.140625" style="35" customWidth="1"/>
    <col min="4611" max="4611" width="9.28515625" style="35" customWidth="1"/>
    <col min="4612" max="4612" width="10.7109375" style="35" customWidth="1"/>
    <col min="4613" max="4613" width="9.140625" style="35" customWidth="1"/>
    <col min="4614" max="4850" width="9.140625" style="35"/>
    <col min="4851" max="4851" width="4.42578125" style="35" bestFit="1" customWidth="1"/>
    <col min="4852" max="4852" width="11.42578125" style="35" bestFit="1" customWidth="1"/>
    <col min="4853" max="4853" width="9.42578125" style="35" bestFit="1" customWidth="1"/>
    <col min="4854" max="4854" width="6.42578125" style="35" bestFit="1" customWidth="1"/>
    <col min="4855" max="4855" width="7.7109375" style="35" bestFit="1" customWidth="1"/>
    <col min="4856" max="4857" width="6.42578125" style="35" bestFit="1" customWidth="1"/>
    <col min="4858" max="4858" width="10" style="35" bestFit="1" customWidth="1"/>
    <col min="4859" max="4859" width="7.140625" style="35" customWidth="1"/>
    <col min="4860" max="4860" width="6.7109375" style="35" bestFit="1" customWidth="1"/>
    <col min="4861" max="4861" width="5.42578125" style="35" bestFit="1" customWidth="1"/>
    <col min="4862" max="4862" width="6.28515625" style="35" bestFit="1" customWidth="1"/>
    <col min="4863" max="4863" width="5.42578125" style="35" customWidth="1"/>
    <col min="4864" max="4864" width="6.7109375" style="35" customWidth="1"/>
    <col min="4865" max="4865" width="7.42578125" style="35" customWidth="1"/>
    <col min="4866" max="4866" width="7.140625" style="35" customWidth="1"/>
    <col min="4867" max="4867" width="9.28515625" style="35" customWidth="1"/>
    <col min="4868" max="4868" width="10.7109375" style="35" customWidth="1"/>
    <col min="4869" max="4869" width="9.140625" style="35" customWidth="1"/>
    <col min="4870" max="5106" width="9.140625" style="35"/>
    <col min="5107" max="5107" width="4.42578125" style="35" bestFit="1" customWidth="1"/>
    <col min="5108" max="5108" width="11.42578125" style="35" bestFit="1" customWidth="1"/>
    <col min="5109" max="5109" width="9.42578125" style="35" bestFit="1" customWidth="1"/>
    <col min="5110" max="5110" width="6.42578125" style="35" bestFit="1" customWidth="1"/>
    <col min="5111" max="5111" width="7.7109375" style="35" bestFit="1" customWidth="1"/>
    <col min="5112" max="5113" width="6.42578125" style="35" bestFit="1" customWidth="1"/>
    <col min="5114" max="5114" width="10" style="35" bestFit="1" customWidth="1"/>
    <col min="5115" max="5115" width="7.140625" style="35" customWidth="1"/>
    <col min="5116" max="5116" width="6.7109375" style="35" bestFit="1" customWidth="1"/>
    <col min="5117" max="5117" width="5.42578125" style="35" bestFit="1" customWidth="1"/>
    <col min="5118" max="5118" width="6.28515625" style="35" bestFit="1" customWidth="1"/>
    <col min="5119" max="5119" width="5.42578125" style="35" customWidth="1"/>
    <col min="5120" max="5120" width="6.7109375" style="35" customWidth="1"/>
    <col min="5121" max="5121" width="7.42578125" style="35" customWidth="1"/>
    <col min="5122" max="5122" width="7.140625" style="35" customWidth="1"/>
    <col min="5123" max="5123" width="9.28515625" style="35" customWidth="1"/>
    <col min="5124" max="5124" width="10.7109375" style="35" customWidth="1"/>
    <col min="5125" max="5125" width="9.140625" style="35" customWidth="1"/>
    <col min="5126" max="5362" width="9.140625" style="35"/>
    <col min="5363" max="5363" width="4.42578125" style="35" bestFit="1" customWidth="1"/>
    <col min="5364" max="5364" width="11.42578125" style="35" bestFit="1" customWidth="1"/>
    <col min="5365" max="5365" width="9.42578125" style="35" bestFit="1" customWidth="1"/>
    <col min="5366" max="5366" width="6.42578125" style="35" bestFit="1" customWidth="1"/>
    <col min="5367" max="5367" width="7.7109375" style="35" bestFit="1" customWidth="1"/>
    <col min="5368" max="5369" width="6.42578125" style="35" bestFit="1" customWidth="1"/>
    <col min="5370" max="5370" width="10" style="35" bestFit="1" customWidth="1"/>
    <col min="5371" max="5371" width="7.140625" style="35" customWidth="1"/>
    <col min="5372" max="5372" width="6.7109375" style="35" bestFit="1" customWidth="1"/>
    <col min="5373" max="5373" width="5.42578125" style="35" bestFit="1" customWidth="1"/>
    <col min="5374" max="5374" width="6.28515625" style="35" bestFit="1" customWidth="1"/>
    <col min="5375" max="5375" width="5.42578125" style="35" customWidth="1"/>
    <col min="5376" max="5376" width="6.7109375" style="35" customWidth="1"/>
    <col min="5377" max="5377" width="7.42578125" style="35" customWidth="1"/>
    <col min="5378" max="5378" width="7.140625" style="35" customWidth="1"/>
    <col min="5379" max="5379" width="9.28515625" style="35" customWidth="1"/>
    <col min="5380" max="5380" width="10.7109375" style="35" customWidth="1"/>
    <col min="5381" max="5381" width="9.140625" style="35" customWidth="1"/>
    <col min="5382" max="5618" width="9.140625" style="35"/>
    <col min="5619" max="5619" width="4.42578125" style="35" bestFit="1" customWidth="1"/>
    <col min="5620" max="5620" width="11.42578125" style="35" bestFit="1" customWidth="1"/>
    <col min="5621" max="5621" width="9.42578125" style="35" bestFit="1" customWidth="1"/>
    <col min="5622" max="5622" width="6.42578125" style="35" bestFit="1" customWidth="1"/>
    <col min="5623" max="5623" width="7.7109375" style="35" bestFit="1" customWidth="1"/>
    <col min="5624" max="5625" width="6.42578125" style="35" bestFit="1" customWidth="1"/>
    <col min="5626" max="5626" width="10" style="35" bestFit="1" customWidth="1"/>
    <col min="5627" max="5627" width="7.140625" style="35" customWidth="1"/>
    <col min="5628" max="5628" width="6.7109375" style="35" bestFit="1" customWidth="1"/>
    <col min="5629" max="5629" width="5.42578125" style="35" bestFit="1" customWidth="1"/>
    <col min="5630" max="5630" width="6.28515625" style="35" bestFit="1" customWidth="1"/>
    <col min="5631" max="5631" width="5.42578125" style="35" customWidth="1"/>
    <col min="5632" max="5632" width="6.7109375" style="35" customWidth="1"/>
    <col min="5633" max="5633" width="7.42578125" style="35" customWidth="1"/>
    <col min="5634" max="5634" width="7.140625" style="35" customWidth="1"/>
    <col min="5635" max="5635" width="9.28515625" style="35" customWidth="1"/>
    <col min="5636" max="5636" width="10.7109375" style="35" customWidth="1"/>
    <col min="5637" max="5637" width="9.140625" style="35" customWidth="1"/>
    <col min="5638" max="5874" width="9.140625" style="35"/>
    <col min="5875" max="5875" width="4.42578125" style="35" bestFit="1" customWidth="1"/>
    <col min="5876" max="5876" width="11.42578125" style="35" bestFit="1" customWidth="1"/>
    <col min="5877" max="5877" width="9.42578125" style="35" bestFit="1" customWidth="1"/>
    <col min="5878" max="5878" width="6.42578125" style="35" bestFit="1" customWidth="1"/>
    <col min="5879" max="5879" width="7.7109375" style="35" bestFit="1" customWidth="1"/>
    <col min="5880" max="5881" width="6.42578125" style="35" bestFit="1" customWidth="1"/>
    <col min="5882" max="5882" width="10" style="35" bestFit="1" customWidth="1"/>
    <col min="5883" max="5883" width="7.140625" style="35" customWidth="1"/>
    <col min="5884" max="5884" width="6.7109375" style="35" bestFit="1" customWidth="1"/>
    <col min="5885" max="5885" width="5.42578125" style="35" bestFit="1" customWidth="1"/>
    <col min="5886" max="5886" width="6.28515625" style="35" bestFit="1" customWidth="1"/>
    <col min="5887" max="5887" width="5.42578125" style="35" customWidth="1"/>
    <col min="5888" max="5888" width="6.7109375" style="35" customWidth="1"/>
    <col min="5889" max="5889" width="7.42578125" style="35" customWidth="1"/>
    <col min="5890" max="5890" width="7.140625" style="35" customWidth="1"/>
    <col min="5891" max="5891" width="9.28515625" style="35" customWidth="1"/>
    <col min="5892" max="5892" width="10.7109375" style="35" customWidth="1"/>
    <col min="5893" max="5893" width="9.140625" style="35" customWidth="1"/>
    <col min="5894" max="6130" width="9.140625" style="35"/>
    <col min="6131" max="6131" width="4.42578125" style="35" bestFit="1" customWidth="1"/>
    <col min="6132" max="6132" width="11.42578125" style="35" bestFit="1" customWidth="1"/>
    <col min="6133" max="6133" width="9.42578125" style="35" bestFit="1" customWidth="1"/>
    <col min="6134" max="6134" width="6.42578125" style="35" bestFit="1" customWidth="1"/>
    <col min="6135" max="6135" width="7.7109375" style="35" bestFit="1" customWidth="1"/>
    <col min="6136" max="6137" width="6.42578125" style="35" bestFit="1" customWidth="1"/>
    <col min="6138" max="6138" width="10" style="35" bestFit="1" customWidth="1"/>
    <col min="6139" max="6139" width="7.140625" style="35" customWidth="1"/>
    <col min="6140" max="6140" width="6.7109375" style="35" bestFit="1" customWidth="1"/>
    <col min="6141" max="6141" width="5.42578125" style="35" bestFit="1" customWidth="1"/>
    <col min="6142" max="6142" width="6.28515625" style="35" bestFit="1" customWidth="1"/>
    <col min="6143" max="6143" width="5.42578125" style="35" customWidth="1"/>
    <col min="6144" max="6144" width="6.7109375" style="35" customWidth="1"/>
    <col min="6145" max="6145" width="7.42578125" style="35" customWidth="1"/>
    <col min="6146" max="6146" width="7.140625" style="35" customWidth="1"/>
    <col min="6147" max="6147" width="9.28515625" style="35" customWidth="1"/>
    <col min="6148" max="6148" width="10.7109375" style="35" customWidth="1"/>
    <col min="6149" max="6149" width="9.140625" style="35" customWidth="1"/>
    <col min="6150" max="6386" width="9.140625" style="35"/>
    <col min="6387" max="6387" width="4.42578125" style="35" bestFit="1" customWidth="1"/>
    <col min="6388" max="6388" width="11.42578125" style="35" bestFit="1" customWidth="1"/>
    <col min="6389" max="6389" width="9.42578125" style="35" bestFit="1" customWidth="1"/>
    <col min="6390" max="6390" width="6.42578125" style="35" bestFit="1" customWidth="1"/>
    <col min="6391" max="6391" width="7.7109375" style="35" bestFit="1" customWidth="1"/>
    <col min="6392" max="6393" width="6.42578125" style="35" bestFit="1" customWidth="1"/>
    <col min="6394" max="6394" width="10" style="35" bestFit="1" customWidth="1"/>
    <col min="6395" max="6395" width="7.140625" style="35" customWidth="1"/>
    <col min="6396" max="6396" width="6.7109375" style="35" bestFit="1" customWidth="1"/>
    <col min="6397" max="6397" width="5.42578125" style="35" bestFit="1" customWidth="1"/>
    <col min="6398" max="6398" width="6.28515625" style="35" bestFit="1" customWidth="1"/>
    <col min="6399" max="6399" width="5.42578125" style="35" customWidth="1"/>
    <col min="6400" max="6400" width="6.7109375" style="35" customWidth="1"/>
    <col min="6401" max="6401" width="7.42578125" style="35" customWidth="1"/>
    <col min="6402" max="6402" width="7.140625" style="35" customWidth="1"/>
    <col min="6403" max="6403" width="9.28515625" style="35" customWidth="1"/>
    <col min="6404" max="6404" width="10.7109375" style="35" customWidth="1"/>
    <col min="6405" max="6405" width="9.140625" style="35" customWidth="1"/>
    <col min="6406" max="6642" width="9.140625" style="35"/>
    <col min="6643" max="6643" width="4.42578125" style="35" bestFit="1" customWidth="1"/>
    <col min="6644" max="6644" width="11.42578125" style="35" bestFit="1" customWidth="1"/>
    <col min="6645" max="6645" width="9.42578125" style="35" bestFit="1" customWidth="1"/>
    <col min="6646" max="6646" width="6.42578125" style="35" bestFit="1" customWidth="1"/>
    <col min="6647" max="6647" width="7.7109375" style="35" bestFit="1" customWidth="1"/>
    <col min="6648" max="6649" width="6.42578125" style="35" bestFit="1" customWidth="1"/>
    <col min="6650" max="6650" width="10" style="35" bestFit="1" customWidth="1"/>
    <col min="6651" max="6651" width="7.140625" style="35" customWidth="1"/>
    <col min="6652" max="6652" width="6.7109375" style="35" bestFit="1" customWidth="1"/>
    <col min="6653" max="6653" width="5.42578125" style="35" bestFit="1" customWidth="1"/>
    <col min="6654" max="6654" width="6.28515625" style="35" bestFit="1" customWidth="1"/>
    <col min="6655" max="6655" width="5.42578125" style="35" customWidth="1"/>
    <col min="6656" max="6656" width="6.7109375" style="35" customWidth="1"/>
    <col min="6657" max="6657" width="7.42578125" style="35" customWidth="1"/>
    <col min="6658" max="6658" width="7.140625" style="35" customWidth="1"/>
    <col min="6659" max="6659" width="9.28515625" style="35" customWidth="1"/>
    <col min="6660" max="6660" width="10.7109375" style="35" customWidth="1"/>
    <col min="6661" max="6661" width="9.140625" style="35" customWidth="1"/>
    <col min="6662" max="6898" width="9.140625" style="35"/>
    <col min="6899" max="6899" width="4.42578125" style="35" bestFit="1" customWidth="1"/>
    <col min="6900" max="6900" width="11.42578125" style="35" bestFit="1" customWidth="1"/>
    <col min="6901" max="6901" width="9.42578125" style="35" bestFit="1" customWidth="1"/>
    <col min="6902" max="6902" width="6.42578125" style="35" bestFit="1" customWidth="1"/>
    <col min="6903" max="6903" width="7.7109375" style="35" bestFit="1" customWidth="1"/>
    <col min="6904" max="6905" width="6.42578125" style="35" bestFit="1" customWidth="1"/>
    <col min="6906" max="6906" width="10" style="35" bestFit="1" customWidth="1"/>
    <col min="6907" max="6907" width="7.140625" style="35" customWidth="1"/>
    <col min="6908" max="6908" width="6.7109375" style="35" bestFit="1" customWidth="1"/>
    <col min="6909" max="6909" width="5.42578125" style="35" bestFit="1" customWidth="1"/>
    <col min="6910" max="6910" width="6.28515625" style="35" bestFit="1" customWidth="1"/>
    <col min="6911" max="6911" width="5.42578125" style="35" customWidth="1"/>
    <col min="6912" max="6912" width="6.7109375" style="35" customWidth="1"/>
    <col min="6913" max="6913" width="7.42578125" style="35" customWidth="1"/>
    <col min="6914" max="6914" width="7.140625" style="35" customWidth="1"/>
    <col min="6915" max="6915" width="9.28515625" style="35" customWidth="1"/>
    <col min="6916" max="6916" width="10.7109375" style="35" customWidth="1"/>
    <col min="6917" max="6917" width="9.140625" style="35" customWidth="1"/>
    <col min="6918" max="7154" width="9.140625" style="35"/>
    <col min="7155" max="7155" width="4.42578125" style="35" bestFit="1" customWidth="1"/>
    <col min="7156" max="7156" width="11.42578125" style="35" bestFit="1" customWidth="1"/>
    <col min="7157" max="7157" width="9.42578125" style="35" bestFit="1" customWidth="1"/>
    <col min="7158" max="7158" width="6.42578125" style="35" bestFit="1" customWidth="1"/>
    <col min="7159" max="7159" width="7.7109375" style="35" bestFit="1" customWidth="1"/>
    <col min="7160" max="7161" width="6.42578125" style="35" bestFit="1" customWidth="1"/>
    <col min="7162" max="7162" width="10" style="35" bestFit="1" customWidth="1"/>
    <col min="7163" max="7163" width="7.140625" style="35" customWidth="1"/>
    <col min="7164" max="7164" width="6.7109375" style="35" bestFit="1" customWidth="1"/>
    <col min="7165" max="7165" width="5.42578125" style="35" bestFit="1" customWidth="1"/>
    <col min="7166" max="7166" width="6.28515625" style="35" bestFit="1" customWidth="1"/>
    <col min="7167" max="7167" width="5.42578125" style="35" customWidth="1"/>
    <col min="7168" max="7168" width="6.7109375" style="35" customWidth="1"/>
    <col min="7169" max="7169" width="7.42578125" style="35" customWidth="1"/>
    <col min="7170" max="7170" width="7.140625" style="35" customWidth="1"/>
    <col min="7171" max="7171" width="9.28515625" style="35" customWidth="1"/>
    <col min="7172" max="7172" width="10.7109375" style="35" customWidth="1"/>
    <col min="7173" max="7173" width="9.140625" style="35" customWidth="1"/>
    <col min="7174" max="7410" width="9.140625" style="35"/>
    <col min="7411" max="7411" width="4.42578125" style="35" bestFit="1" customWidth="1"/>
    <col min="7412" max="7412" width="11.42578125" style="35" bestFit="1" customWidth="1"/>
    <col min="7413" max="7413" width="9.42578125" style="35" bestFit="1" customWidth="1"/>
    <col min="7414" max="7414" width="6.42578125" style="35" bestFit="1" customWidth="1"/>
    <col min="7415" max="7415" width="7.7109375" style="35" bestFit="1" customWidth="1"/>
    <col min="7416" max="7417" width="6.42578125" style="35" bestFit="1" customWidth="1"/>
    <col min="7418" max="7418" width="10" style="35" bestFit="1" customWidth="1"/>
    <col min="7419" max="7419" width="7.140625" style="35" customWidth="1"/>
    <col min="7420" max="7420" width="6.7109375" style="35" bestFit="1" customWidth="1"/>
    <col min="7421" max="7421" width="5.42578125" style="35" bestFit="1" customWidth="1"/>
    <col min="7422" max="7422" width="6.28515625" style="35" bestFit="1" customWidth="1"/>
    <col min="7423" max="7423" width="5.42578125" style="35" customWidth="1"/>
    <col min="7424" max="7424" width="6.7109375" style="35" customWidth="1"/>
    <col min="7425" max="7425" width="7.42578125" style="35" customWidth="1"/>
    <col min="7426" max="7426" width="7.140625" style="35" customWidth="1"/>
    <col min="7427" max="7427" width="9.28515625" style="35" customWidth="1"/>
    <col min="7428" max="7428" width="10.7109375" style="35" customWidth="1"/>
    <col min="7429" max="7429" width="9.140625" style="35" customWidth="1"/>
    <col min="7430" max="7666" width="9.140625" style="35"/>
    <col min="7667" max="7667" width="4.42578125" style="35" bestFit="1" customWidth="1"/>
    <col min="7668" max="7668" width="11.42578125" style="35" bestFit="1" customWidth="1"/>
    <col min="7669" max="7669" width="9.42578125" style="35" bestFit="1" customWidth="1"/>
    <col min="7670" max="7670" width="6.42578125" style="35" bestFit="1" customWidth="1"/>
    <col min="7671" max="7671" width="7.7109375" style="35" bestFit="1" customWidth="1"/>
    <col min="7672" max="7673" width="6.42578125" style="35" bestFit="1" customWidth="1"/>
    <col min="7674" max="7674" width="10" style="35" bestFit="1" customWidth="1"/>
    <col min="7675" max="7675" width="7.140625" style="35" customWidth="1"/>
    <col min="7676" max="7676" width="6.7109375" style="35" bestFit="1" customWidth="1"/>
    <col min="7677" max="7677" width="5.42578125" style="35" bestFit="1" customWidth="1"/>
    <col min="7678" max="7678" width="6.28515625" style="35" bestFit="1" customWidth="1"/>
    <col min="7679" max="7679" width="5.42578125" style="35" customWidth="1"/>
    <col min="7680" max="7680" width="6.7109375" style="35" customWidth="1"/>
    <col min="7681" max="7681" width="7.42578125" style="35" customWidth="1"/>
    <col min="7682" max="7682" width="7.140625" style="35" customWidth="1"/>
    <col min="7683" max="7683" width="9.28515625" style="35" customWidth="1"/>
    <col min="7684" max="7684" width="10.7109375" style="35" customWidth="1"/>
    <col min="7685" max="7685" width="9.140625" style="35" customWidth="1"/>
    <col min="7686" max="7922" width="9.140625" style="35"/>
    <col min="7923" max="7923" width="4.42578125" style="35" bestFit="1" customWidth="1"/>
    <col min="7924" max="7924" width="11.42578125" style="35" bestFit="1" customWidth="1"/>
    <col min="7925" max="7925" width="9.42578125" style="35" bestFit="1" customWidth="1"/>
    <col min="7926" max="7926" width="6.42578125" style="35" bestFit="1" customWidth="1"/>
    <col min="7927" max="7927" width="7.7109375" style="35" bestFit="1" customWidth="1"/>
    <col min="7928" max="7929" width="6.42578125" style="35" bestFit="1" customWidth="1"/>
    <col min="7930" max="7930" width="10" style="35" bestFit="1" customWidth="1"/>
    <col min="7931" max="7931" width="7.140625" style="35" customWidth="1"/>
    <col min="7932" max="7932" width="6.7109375" style="35" bestFit="1" customWidth="1"/>
    <col min="7933" max="7933" width="5.42578125" style="35" bestFit="1" customWidth="1"/>
    <col min="7934" max="7934" width="6.28515625" style="35" bestFit="1" customWidth="1"/>
    <col min="7935" max="7935" width="5.42578125" style="35" customWidth="1"/>
    <col min="7936" max="7936" width="6.7109375" style="35" customWidth="1"/>
    <col min="7937" max="7937" width="7.42578125" style="35" customWidth="1"/>
    <col min="7938" max="7938" width="7.140625" style="35" customWidth="1"/>
    <col min="7939" max="7939" width="9.28515625" style="35" customWidth="1"/>
    <col min="7940" max="7940" width="10.7109375" style="35" customWidth="1"/>
    <col min="7941" max="7941" width="9.140625" style="35" customWidth="1"/>
    <col min="7942" max="8178" width="9.140625" style="35"/>
    <col min="8179" max="8179" width="4.42578125" style="35" bestFit="1" customWidth="1"/>
    <col min="8180" max="8180" width="11.42578125" style="35" bestFit="1" customWidth="1"/>
    <col min="8181" max="8181" width="9.42578125" style="35" bestFit="1" customWidth="1"/>
    <col min="8182" max="8182" width="6.42578125" style="35" bestFit="1" customWidth="1"/>
    <col min="8183" max="8183" width="7.7109375" style="35" bestFit="1" customWidth="1"/>
    <col min="8184" max="8185" width="6.42578125" style="35" bestFit="1" customWidth="1"/>
    <col min="8186" max="8186" width="10" style="35" bestFit="1" customWidth="1"/>
    <col min="8187" max="8187" width="7.140625" style="35" customWidth="1"/>
    <col min="8188" max="8188" width="6.7109375" style="35" bestFit="1" customWidth="1"/>
    <col min="8189" max="8189" width="5.42578125" style="35" bestFit="1" customWidth="1"/>
    <col min="8190" max="8190" width="6.28515625" style="35" bestFit="1" customWidth="1"/>
    <col min="8191" max="8191" width="5.42578125" style="35" customWidth="1"/>
    <col min="8192" max="8192" width="6.7109375" style="35" customWidth="1"/>
    <col min="8193" max="8193" width="7.42578125" style="35" customWidth="1"/>
    <col min="8194" max="8194" width="7.140625" style="35" customWidth="1"/>
    <col min="8195" max="8195" width="9.28515625" style="35" customWidth="1"/>
    <col min="8196" max="8196" width="10.7109375" style="35" customWidth="1"/>
    <col min="8197" max="8197" width="9.140625" style="35" customWidth="1"/>
    <col min="8198" max="8434" width="9.140625" style="35"/>
    <col min="8435" max="8435" width="4.42578125" style="35" bestFit="1" customWidth="1"/>
    <col min="8436" max="8436" width="11.42578125" style="35" bestFit="1" customWidth="1"/>
    <col min="8437" max="8437" width="9.42578125" style="35" bestFit="1" customWidth="1"/>
    <col min="8438" max="8438" width="6.42578125" style="35" bestFit="1" customWidth="1"/>
    <col min="8439" max="8439" width="7.7109375" style="35" bestFit="1" customWidth="1"/>
    <col min="8440" max="8441" width="6.42578125" style="35" bestFit="1" customWidth="1"/>
    <col min="8442" max="8442" width="10" style="35" bestFit="1" customWidth="1"/>
    <col min="8443" max="8443" width="7.140625" style="35" customWidth="1"/>
    <col min="8444" max="8444" width="6.7109375" style="35" bestFit="1" customWidth="1"/>
    <col min="8445" max="8445" width="5.42578125" style="35" bestFit="1" customWidth="1"/>
    <col min="8446" max="8446" width="6.28515625" style="35" bestFit="1" customWidth="1"/>
    <col min="8447" max="8447" width="5.42578125" style="35" customWidth="1"/>
    <col min="8448" max="8448" width="6.7109375" style="35" customWidth="1"/>
    <col min="8449" max="8449" width="7.42578125" style="35" customWidth="1"/>
    <col min="8450" max="8450" width="7.140625" style="35" customWidth="1"/>
    <col min="8451" max="8451" width="9.28515625" style="35" customWidth="1"/>
    <col min="8452" max="8452" width="10.7109375" style="35" customWidth="1"/>
    <col min="8453" max="8453" width="9.140625" style="35" customWidth="1"/>
    <col min="8454" max="8690" width="9.140625" style="35"/>
    <col min="8691" max="8691" width="4.42578125" style="35" bestFit="1" customWidth="1"/>
    <col min="8692" max="8692" width="11.42578125" style="35" bestFit="1" customWidth="1"/>
    <col min="8693" max="8693" width="9.42578125" style="35" bestFit="1" customWidth="1"/>
    <col min="8694" max="8694" width="6.42578125" style="35" bestFit="1" customWidth="1"/>
    <col min="8695" max="8695" width="7.7109375" style="35" bestFit="1" customWidth="1"/>
    <col min="8696" max="8697" width="6.42578125" style="35" bestFit="1" customWidth="1"/>
    <col min="8698" max="8698" width="10" style="35" bestFit="1" customWidth="1"/>
    <col min="8699" max="8699" width="7.140625" style="35" customWidth="1"/>
    <col min="8700" max="8700" width="6.7109375" style="35" bestFit="1" customWidth="1"/>
    <col min="8701" max="8701" width="5.42578125" style="35" bestFit="1" customWidth="1"/>
    <col min="8702" max="8702" width="6.28515625" style="35" bestFit="1" customWidth="1"/>
    <col min="8703" max="8703" width="5.42578125" style="35" customWidth="1"/>
    <col min="8704" max="8704" width="6.7109375" style="35" customWidth="1"/>
    <col min="8705" max="8705" width="7.42578125" style="35" customWidth="1"/>
    <col min="8706" max="8706" width="7.140625" style="35" customWidth="1"/>
    <col min="8707" max="8707" width="9.28515625" style="35" customWidth="1"/>
    <col min="8708" max="8708" width="10.7109375" style="35" customWidth="1"/>
    <col min="8709" max="8709" width="9.140625" style="35" customWidth="1"/>
    <col min="8710" max="8946" width="9.140625" style="35"/>
    <col min="8947" max="8947" width="4.42578125" style="35" bestFit="1" customWidth="1"/>
    <col min="8948" max="8948" width="11.42578125" style="35" bestFit="1" customWidth="1"/>
    <col min="8949" max="8949" width="9.42578125" style="35" bestFit="1" customWidth="1"/>
    <col min="8950" max="8950" width="6.42578125" style="35" bestFit="1" customWidth="1"/>
    <col min="8951" max="8951" width="7.7109375" style="35" bestFit="1" customWidth="1"/>
    <col min="8952" max="8953" width="6.42578125" style="35" bestFit="1" customWidth="1"/>
    <col min="8954" max="8954" width="10" style="35" bestFit="1" customWidth="1"/>
    <col min="8955" max="8955" width="7.140625" style="35" customWidth="1"/>
    <col min="8956" max="8956" width="6.7109375" style="35" bestFit="1" customWidth="1"/>
    <col min="8957" max="8957" width="5.42578125" style="35" bestFit="1" customWidth="1"/>
    <col min="8958" max="8958" width="6.28515625" style="35" bestFit="1" customWidth="1"/>
    <col min="8959" max="8959" width="5.42578125" style="35" customWidth="1"/>
    <col min="8960" max="8960" width="6.7109375" style="35" customWidth="1"/>
    <col min="8961" max="8961" width="7.42578125" style="35" customWidth="1"/>
    <col min="8962" max="8962" width="7.140625" style="35" customWidth="1"/>
    <col min="8963" max="8963" width="9.28515625" style="35" customWidth="1"/>
    <col min="8964" max="8964" width="10.7109375" style="35" customWidth="1"/>
    <col min="8965" max="8965" width="9.140625" style="35" customWidth="1"/>
    <col min="8966" max="9202" width="9.140625" style="35"/>
    <col min="9203" max="9203" width="4.42578125" style="35" bestFit="1" customWidth="1"/>
    <col min="9204" max="9204" width="11.42578125" style="35" bestFit="1" customWidth="1"/>
    <col min="9205" max="9205" width="9.42578125" style="35" bestFit="1" customWidth="1"/>
    <col min="9206" max="9206" width="6.42578125" style="35" bestFit="1" customWidth="1"/>
    <col min="9207" max="9207" width="7.7109375" style="35" bestFit="1" customWidth="1"/>
    <col min="9208" max="9209" width="6.42578125" style="35" bestFit="1" customWidth="1"/>
    <col min="9210" max="9210" width="10" style="35" bestFit="1" customWidth="1"/>
    <col min="9211" max="9211" width="7.140625" style="35" customWidth="1"/>
    <col min="9212" max="9212" width="6.7109375" style="35" bestFit="1" customWidth="1"/>
    <col min="9213" max="9213" width="5.42578125" style="35" bestFit="1" customWidth="1"/>
    <col min="9214" max="9214" width="6.28515625" style="35" bestFit="1" customWidth="1"/>
    <col min="9215" max="9215" width="5.42578125" style="35" customWidth="1"/>
    <col min="9216" max="9216" width="6.7109375" style="35" customWidth="1"/>
    <col min="9217" max="9217" width="7.42578125" style="35" customWidth="1"/>
    <col min="9218" max="9218" width="7.140625" style="35" customWidth="1"/>
    <col min="9219" max="9219" width="9.28515625" style="35" customWidth="1"/>
    <col min="9220" max="9220" width="10.7109375" style="35" customWidth="1"/>
    <col min="9221" max="9221" width="9.140625" style="35" customWidth="1"/>
    <col min="9222" max="9458" width="9.140625" style="35"/>
    <col min="9459" max="9459" width="4.42578125" style="35" bestFit="1" customWidth="1"/>
    <col min="9460" max="9460" width="11.42578125" style="35" bestFit="1" customWidth="1"/>
    <col min="9461" max="9461" width="9.42578125" style="35" bestFit="1" customWidth="1"/>
    <col min="9462" max="9462" width="6.42578125" style="35" bestFit="1" customWidth="1"/>
    <col min="9463" max="9463" width="7.7109375" style="35" bestFit="1" customWidth="1"/>
    <col min="9464" max="9465" width="6.42578125" style="35" bestFit="1" customWidth="1"/>
    <col min="9466" max="9466" width="10" style="35" bestFit="1" customWidth="1"/>
    <col min="9467" max="9467" width="7.140625" style="35" customWidth="1"/>
    <col min="9468" max="9468" width="6.7109375" style="35" bestFit="1" customWidth="1"/>
    <col min="9469" max="9469" width="5.42578125" style="35" bestFit="1" customWidth="1"/>
    <col min="9470" max="9470" width="6.28515625" style="35" bestFit="1" customWidth="1"/>
    <col min="9471" max="9471" width="5.42578125" style="35" customWidth="1"/>
    <col min="9472" max="9472" width="6.7109375" style="35" customWidth="1"/>
    <col min="9473" max="9473" width="7.42578125" style="35" customWidth="1"/>
    <col min="9474" max="9474" width="7.140625" style="35" customWidth="1"/>
    <col min="9475" max="9475" width="9.28515625" style="35" customWidth="1"/>
    <col min="9476" max="9476" width="10.7109375" style="35" customWidth="1"/>
    <col min="9477" max="9477" width="9.140625" style="35" customWidth="1"/>
    <col min="9478" max="9714" width="9.140625" style="35"/>
    <col min="9715" max="9715" width="4.42578125" style="35" bestFit="1" customWidth="1"/>
    <col min="9716" max="9716" width="11.42578125" style="35" bestFit="1" customWidth="1"/>
    <col min="9717" max="9717" width="9.42578125" style="35" bestFit="1" customWidth="1"/>
    <col min="9718" max="9718" width="6.42578125" style="35" bestFit="1" customWidth="1"/>
    <col min="9719" max="9719" width="7.7109375" style="35" bestFit="1" customWidth="1"/>
    <col min="9720" max="9721" width="6.42578125" style="35" bestFit="1" customWidth="1"/>
    <col min="9722" max="9722" width="10" style="35" bestFit="1" customWidth="1"/>
    <col min="9723" max="9723" width="7.140625" style="35" customWidth="1"/>
    <col min="9724" max="9724" width="6.7109375" style="35" bestFit="1" customWidth="1"/>
    <col min="9725" max="9725" width="5.42578125" style="35" bestFit="1" customWidth="1"/>
    <col min="9726" max="9726" width="6.28515625" style="35" bestFit="1" customWidth="1"/>
    <col min="9727" max="9727" width="5.42578125" style="35" customWidth="1"/>
    <col min="9728" max="9728" width="6.7109375" style="35" customWidth="1"/>
    <col min="9729" max="9729" width="7.42578125" style="35" customWidth="1"/>
    <col min="9730" max="9730" width="7.140625" style="35" customWidth="1"/>
    <col min="9731" max="9731" width="9.28515625" style="35" customWidth="1"/>
    <col min="9732" max="9732" width="10.7109375" style="35" customWidth="1"/>
    <col min="9733" max="9733" width="9.140625" style="35" customWidth="1"/>
    <col min="9734" max="9970" width="9.140625" style="35"/>
    <col min="9971" max="9971" width="4.42578125" style="35" bestFit="1" customWidth="1"/>
    <col min="9972" max="9972" width="11.42578125" style="35" bestFit="1" customWidth="1"/>
    <col min="9973" max="9973" width="9.42578125" style="35" bestFit="1" customWidth="1"/>
    <col min="9974" max="9974" width="6.42578125" style="35" bestFit="1" customWidth="1"/>
    <col min="9975" max="9975" width="7.7109375" style="35" bestFit="1" customWidth="1"/>
    <col min="9976" max="9977" width="6.42578125" style="35" bestFit="1" customWidth="1"/>
    <col min="9978" max="9978" width="10" style="35" bestFit="1" customWidth="1"/>
    <col min="9979" max="9979" width="7.140625" style="35" customWidth="1"/>
    <col min="9980" max="9980" width="6.7109375" style="35" bestFit="1" customWidth="1"/>
    <col min="9981" max="9981" width="5.42578125" style="35" bestFit="1" customWidth="1"/>
    <col min="9982" max="9982" width="6.28515625" style="35" bestFit="1" customWidth="1"/>
    <col min="9983" max="9983" width="5.42578125" style="35" customWidth="1"/>
    <col min="9984" max="9984" width="6.7109375" style="35" customWidth="1"/>
    <col min="9985" max="9985" width="7.42578125" style="35" customWidth="1"/>
    <col min="9986" max="9986" width="7.140625" style="35" customWidth="1"/>
    <col min="9987" max="9987" width="9.28515625" style="35" customWidth="1"/>
    <col min="9988" max="9988" width="10.7109375" style="35" customWidth="1"/>
    <col min="9989" max="9989" width="9.140625" style="35" customWidth="1"/>
    <col min="9990" max="10226" width="9.140625" style="35"/>
    <col min="10227" max="10227" width="4.42578125" style="35" bestFit="1" customWidth="1"/>
    <col min="10228" max="10228" width="11.42578125" style="35" bestFit="1" customWidth="1"/>
    <col min="10229" max="10229" width="9.42578125" style="35" bestFit="1" customWidth="1"/>
    <col min="10230" max="10230" width="6.42578125" style="35" bestFit="1" customWidth="1"/>
    <col min="10231" max="10231" width="7.7109375" style="35" bestFit="1" customWidth="1"/>
    <col min="10232" max="10233" width="6.42578125" style="35" bestFit="1" customWidth="1"/>
    <col min="10234" max="10234" width="10" style="35" bestFit="1" customWidth="1"/>
    <col min="10235" max="10235" width="7.140625" style="35" customWidth="1"/>
    <col min="10236" max="10236" width="6.7109375" style="35" bestFit="1" customWidth="1"/>
    <col min="10237" max="10237" width="5.42578125" style="35" bestFit="1" customWidth="1"/>
    <col min="10238" max="10238" width="6.28515625" style="35" bestFit="1" customWidth="1"/>
    <col min="10239" max="10239" width="5.42578125" style="35" customWidth="1"/>
    <col min="10240" max="10240" width="6.7109375" style="35" customWidth="1"/>
    <col min="10241" max="10241" width="7.42578125" style="35" customWidth="1"/>
    <col min="10242" max="10242" width="7.140625" style="35" customWidth="1"/>
    <col min="10243" max="10243" width="9.28515625" style="35" customWidth="1"/>
    <col min="10244" max="10244" width="10.7109375" style="35" customWidth="1"/>
    <col min="10245" max="10245" width="9.140625" style="35" customWidth="1"/>
    <col min="10246" max="10482" width="9.140625" style="35"/>
    <col min="10483" max="10483" width="4.42578125" style="35" bestFit="1" customWidth="1"/>
    <col min="10484" max="10484" width="11.42578125" style="35" bestFit="1" customWidth="1"/>
    <col min="10485" max="10485" width="9.42578125" style="35" bestFit="1" customWidth="1"/>
    <col min="10486" max="10486" width="6.42578125" style="35" bestFit="1" customWidth="1"/>
    <col min="10487" max="10487" width="7.7109375" style="35" bestFit="1" customWidth="1"/>
    <col min="10488" max="10489" width="6.42578125" style="35" bestFit="1" customWidth="1"/>
    <col min="10490" max="10490" width="10" style="35" bestFit="1" customWidth="1"/>
    <col min="10491" max="10491" width="7.140625" style="35" customWidth="1"/>
    <col min="10492" max="10492" width="6.7109375" style="35" bestFit="1" customWidth="1"/>
    <col min="10493" max="10493" width="5.42578125" style="35" bestFit="1" customWidth="1"/>
    <col min="10494" max="10494" width="6.28515625" style="35" bestFit="1" customWidth="1"/>
    <col min="10495" max="10495" width="5.42578125" style="35" customWidth="1"/>
    <col min="10496" max="10496" width="6.7109375" style="35" customWidth="1"/>
    <col min="10497" max="10497" width="7.42578125" style="35" customWidth="1"/>
    <col min="10498" max="10498" width="7.140625" style="35" customWidth="1"/>
    <col min="10499" max="10499" width="9.28515625" style="35" customWidth="1"/>
    <col min="10500" max="10500" width="10.7109375" style="35" customWidth="1"/>
    <col min="10501" max="10501" width="9.140625" style="35" customWidth="1"/>
    <col min="10502" max="10738" width="9.140625" style="35"/>
    <col min="10739" max="10739" width="4.42578125" style="35" bestFit="1" customWidth="1"/>
    <col min="10740" max="10740" width="11.42578125" style="35" bestFit="1" customWidth="1"/>
    <col min="10741" max="10741" width="9.42578125" style="35" bestFit="1" customWidth="1"/>
    <col min="10742" max="10742" width="6.42578125" style="35" bestFit="1" customWidth="1"/>
    <col min="10743" max="10743" width="7.7109375" style="35" bestFit="1" customWidth="1"/>
    <col min="10744" max="10745" width="6.42578125" style="35" bestFit="1" customWidth="1"/>
    <col min="10746" max="10746" width="10" style="35" bestFit="1" customWidth="1"/>
    <col min="10747" max="10747" width="7.140625" style="35" customWidth="1"/>
    <col min="10748" max="10748" width="6.7109375" style="35" bestFit="1" customWidth="1"/>
    <col min="10749" max="10749" width="5.42578125" style="35" bestFit="1" customWidth="1"/>
    <col min="10750" max="10750" width="6.28515625" style="35" bestFit="1" customWidth="1"/>
    <col min="10751" max="10751" width="5.42578125" style="35" customWidth="1"/>
    <col min="10752" max="10752" width="6.7109375" style="35" customWidth="1"/>
    <col min="10753" max="10753" width="7.42578125" style="35" customWidth="1"/>
    <col min="10754" max="10754" width="7.140625" style="35" customWidth="1"/>
    <col min="10755" max="10755" width="9.28515625" style="35" customWidth="1"/>
    <col min="10756" max="10756" width="10.7109375" style="35" customWidth="1"/>
    <col min="10757" max="10757" width="9.140625" style="35" customWidth="1"/>
    <col min="10758" max="10994" width="9.140625" style="35"/>
    <col min="10995" max="10995" width="4.42578125" style="35" bestFit="1" customWidth="1"/>
    <col min="10996" max="10996" width="11.42578125" style="35" bestFit="1" customWidth="1"/>
    <col min="10997" max="10997" width="9.42578125" style="35" bestFit="1" customWidth="1"/>
    <col min="10998" max="10998" width="6.42578125" style="35" bestFit="1" customWidth="1"/>
    <col min="10999" max="10999" width="7.7109375" style="35" bestFit="1" customWidth="1"/>
    <col min="11000" max="11001" width="6.42578125" style="35" bestFit="1" customWidth="1"/>
    <col min="11002" max="11002" width="10" style="35" bestFit="1" customWidth="1"/>
    <col min="11003" max="11003" width="7.140625" style="35" customWidth="1"/>
    <col min="11004" max="11004" width="6.7109375" style="35" bestFit="1" customWidth="1"/>
    <col min="11005" max="11005" width="5.42578125" style="35" bestFit="1" customWidth="1"/>
    <col min="11006" max="11006" width="6.28515625" style="35" bestFit="1" customWidth="1"/>
    <col min="11007" max="11007" width="5.42578125" style="35" customWidth="1"/>
    <col min="11008" max="11008" width="6.7109375" style="35" customWidth="1"/>
    <col min="11009" max="11009" width="7.42578125" style="35" customWidth="1"/>
    <col min="11010" max="11010" width="7.140625" style="35" customWidth="1"/>
    <col min="11011" max="11011" width="9.28515625" style="35" customWidth="1"/>
    <col min="11012" max="11012" width="10.7109375" style="35" customWidth="1"/>
    <col min="11013" max="11013" width="9.140625" style="35" customWidth="1"/>
    <col min="11014" max="11250" width="9.140625" style="35"/>
    <col min="11251" max="11251" width="4.42578125" style="35" bestFit="1" customWidth="1"/>
    <col min="11252" max="11252" width="11.42578125" style="35" bestFit="1" customWidth="1"/>
    <col min="11253" max="11253" width="9.42578125" style="35" bestFit="1" customWidth="1"/>
    <col min="11254" max="11254" width="6.42578125" style="35" bestFit="1" customWidth="1"/>
    <col min="11255" max="11255" width="7.7109375" style="35" bestFit="1" customWidth="1"/>
    <col min="11256" max="11257" width="6.42578125" style="35" bestFit="1" customWidth="1"/>
    <col min="11258" max="11258" width="10" style="35" bestFit="1" customWidth="1"/>
    <col min="11259" max="11259" width="7.140625" style="35" customWidth="1"/>
    <col min="11260" max="11260" width="6.7109375" style="35" bestFit="1" customWidth="1"/>
    <col min="11261" max="11261" width="5.42578125" style="35" bestFit="1" customWidth="1"/>
    <col min="11262" max="11262" width="6.28515625" style="35" bestFit="1" customWidth="1"/>
    <col min="11263" max="11263" width="5.42578125" style="35" customWidth="1"/>
    <col min="11264" max="11264" width="6.7109375" style="35" customWidth="1"/>
    <col min="11265" max="11265" width="7.42578125" style="35" customWidth="1"/>
    <col min="11266" max="11266" width="7.140625" style="35" customWidth="1"/>
    <col min="11267" max="11267" width="9.28515625" style="35" customWidth="1"/>
    <col min="11268" max="11268" width="10.7109375" style="35" customWidth="1"/>
    <col min="11269" max="11269" width="9.140625" style="35" customWidth="1"/>
    <col min="11270" max="11506" width="9.140625" style="35"/>
    <col min="11507" max="11507" width="4.42578125" style="35" bestFit="1" customWidth="1"/>
    <col min="11508" max="11508" width="11.42578125" style="35" bestFit="1" customWidth="1"/>
    <col min="11509" max="11509" width="9.42578125" style="35" bestFit="1" customWidth="1"/>
    <col min="11510" max="11510" width="6.42578125" style="35" bestFit="1" customWidth="1"/>
    <col min="11511" max="11511" width="7.7109375" style="35" bestFit="1" customWidth="1"/>
    <col min="11512" max="11513" width="6.42578125" style="35" bestFit="1" customWidth="1"/>
    <col min="11514" max="11514" width="10" style="35" bestFit="1" customWidth="1"/>
    <col min="11515" max="11515" width="7.140625" style="35" customWidth="1"/>
    <col min="11516" max="11516" width="6.7109375" style="35" bestFit="1" customWidth="1"/>
    <col min="11517" max="11517" width="5.42578125" style="35" bestFit="1" customWidth="1"/>
    <col min="11518" max="11518" width="6.28515625" style="35" bestFit="1" customWidth="1"/>
    <col min="11519" max="11519" width="5.42578125" style="35" customWidth="1"/>
    <col min="11520" max="11520" width="6.7109375" style="35" customWidth="1"/>
    <col min="11521" max="11521" width="7.42578125" style="35" customWidth="1"/>
    <col min="11522" max="11522" width="7.140625" style="35" customWidth="1"/>
    <col min="11523" max="11523" width="9.28515625" style="35" customWidth="1"/>
    <col min="11524" max="11524" width="10.7109375" style="35" customWidth="1"/>
    <col min="11525" max="11525" width="9.140625" style="35" customWidth="1"/>
    <col min="11526" max="11762" width="9.140625" style="35"/>
    <col min="11763" max="11763" width="4.42578125" style="35" bestFit="1" customWidth="1"/>
    <col min="11764" max="11764" width="11.42578125" style="35" bestFit="1" customWidth="1"/>
    <col min="11765" max="11765" width="9.42578125" style="35" bestFit="1" customWidth="1"/>
    <col min="11766" max="11766" width="6.42578125" style="35" bestFit="1" customWidth="1"/>
    <col min="11767" max="11767" width="7.7109375" style="35" bestFit="1" customWidth="1"/>
    <col min="11768" max="11769" width="6.42578125" style="35" bestFit="1" customWidth="1"/>
    <col min="11770" max="11770" width="10" style="35" bestFit="1" customWidth="1"/>
    <col min="11771" max="11771" width="7.140625" style="35" customWidth="1"/>
    <col min="11772" max="11772" width="6.7109375" style="35" bestFit="1" customWidth="1"/>
    <col min="11773" max="11773" width="5.42578125" style="35" bestFit="1" customWidth="1"/>
    <col min="11774" max="11774" width="6.28515625" style="35" bestFit="1" customWidth="1"/>
    <col min="11775" max="11775" width="5.42578125" style="35" customWidth="1"/>
    <col min="11776" max="11776" width="6.7109375" style="35" customWidth="1"/>
    <col min="11777" max="11777" width="7.42578125" style="35" customWidth="1"/>
    <col min="11778" max="11778" width="7.140625" style="35" customWidth="1"/>
    <col min="11779" max="11779" width="9.28515625" style="35" customWidth="1"/>
    <col min="11780" max="11780" width="10.7109375" style="35" customWidth="1"/>
    <col min="11781" max="11781" width="9.140625" style="35" customWidth="1"/>
    <col min="11782" max="12018" width="9.140625" style="35"/>
    <col min="12019" max="12019" width="4.42578125" style="35" bestFit="1" customWidth="1"/>
    <col min="12020" max="12020" width="11.42578125" style="35" bestFit="1" customWidth="1"/>
    <col min="12021" max="12021" width="9.42578125" style="35" bestFit="1" customWidth="1"/>
    <col min="12022" max="12022" width="6.42578125" style="35" bestFit="1" customWidth="1"/>
    <col min="12023" max="12023" width="7.7109375" style="35" bestFit="1" customWidth="1"/>
    <col min="12024" max="12025" width="6.42578125" style="35" bestFit="1" customWidth="1"/>
    <col min="12026" max="12026" width="10" style="35" bestFit="1" customWidth="1"/>
    <col min="12027" max="12027" width="7.140625" style="35" customWidth="1"/>
    <col min="12028" max="12028" width="6.7109375" style="35" bestFit="1" customWidth="1"/>
    <col min="12029" max="12029" width="5.42578125" style="35" bestFit="1" customWidth="1"/>
    <col min="12030" max="12030" width="6.28515625" style="35" bestFit="1" customWidth="1"/>
    <col min="12031" max="12031" width="5.42578125" style="35" customWidth="1"/>
    <col min="12032" max="12032" width="6.7109375" style="35" customWidth="1"/>
    <col min="12033" max="12033" width="7.42578125" style="35" customWidth="1"/>
    <col min="12034" max="12034" width="7.140625" style="35" customWidth="1"/>
    <col min="12035" max="12035" width="9.28515625" style="35" customWidth="1"/>
    <col min="12036" max="12036" width="10.7109375" style="35" customWidth="1"/>
    <col min="12037" max="12037" width="9.140625" style="35" customWidth="1"/>
    <col min="12038" max="12274" width="9.140625" style="35"/>
    <col min="12275" max="12275" width="4.42578125" style="35" bestFit="1" customWidth="1"/>
    <col min="12276" max="12276" width="11.42578125" style="35" bestFit="1" customWidth="1"/>
    <col min="12277" max="12277" width="9.42578125" style="35" bestFit="1" customWidth="1"/>
    <col min="12278" max="12278" width="6.42578125" style="35" bestFit="1" customWidth="1"/>
    <col min="12279" max="12279" width="7.7109375" style="35" bestFit="1" customWidth="1"/>
    <col min="12280" max="12281" width="6.42578125" style="35" bestFit="1" customWidth="1"/>
    <col min="12282" max="12282" width="10" style="35" bestFit="1" customWidth="1"/>
    <col min="12283" max="12283" width="7.140625" style="35" customWidth="1"/>
    <col min="12284" max="12284" width="6.7109375" style="35" bestFit="1" customWidth="1"/>
    <col min="12285" max="12285" width="5.42578125" style="35" bestFit="1" customWidth="1"/>
    <col min="12286" max="12286" width="6.28515625" style="35" bestFit="1" customWidth="1"/>
    <col min="12287" max="12287" width="5.42578125" style="35" customWidth="1"/>
    <col min="12288" max="12288" width="6.7109375" style="35" customWidth="1"/>
    <col min="12289" max="12289" width="7.42578125" style="35" customWidth="1"/>
    <col min="12290" max="12290" width="7.140625" style="35" customWidth="1"/>
    <col min="12291" max="12291" width="9.28515625" style="35" customWidth="1"/>
    <col min="12292" max="12292" width="10.7109375" style="35" customWidth="1"/>
    <col min="12293" max="12293" width="9.140625" style="35" customWidth="1"/>
    <col min="12294" max="12530" width="9.140625" style="35"/>
    <col min="12531" max="12531" width="4.42578125" style="35" bestFit="1" customWidth="1"/>
    <col min="12532" max="12532" width="11.42578125" style="35" bestFit="1" customWidth="1"/>
    <col min="12533" max="12533" width="9.42578125" style="35" bestFit="1" customWidth="1"/>
    <col min="12534" max="12534" width="6.42578125" style="35" bestFit="1" customWidth="1"/>
    <col min="12535" max="12535" width="7.7109375" style="35" bestFit="1" customWidth="1"/>
    <col min="12536" max="12537" width="6.42578125" style="35" bestFit="1" customWidth="1"/>
    <col min="12538" max="12538" width="10" style="35" bestFit="1" customWidth="1"/>
    <col min="12539" max="12539" width="7.140625" style="35" customWidth="1"/>
    <col min="12540" max="12540" width="6.7109375" style="35" bestFit="1" customWidth="1"/>
    <col min="12541" max="12541" width="5.42578125" style="35" bestFit="1" customWidth="1"/>
    <col min="12542" max="12542" width="6.28515625" style="35" bestFit="1" customWidth="1"/>
    <col min="12543" max="12543" width="5.42578125" style="35" customWidth="1"/>
    <col min="12544" max="12544" width="6.7109375" style="35" customWidth="1"/>
    <col min="12545" max="12545" width="7.42578125" style="35" customWidth="1"/>
    <col min="12546" max="12546" width="7.140625" style="35" customWidth="1"/>
    <col min="12547" max="12547" width="9.28515625" style="35" customWidth="1"/>
    <col min="12548" max="12548" width="10.7109375" style="35" customWidth="1"/>
    <col min="12549" max="12549" width="9.140625" style="35" customWidth="1"/>
    <col min="12550" max="12786" width="9.140625" style="35"/>
    <col min="12787" max="12787" width="4.42578125" style="35" bestFit="1" customWidth="1"/>
    <col min="12788" max="12788" width="11.42578125" style="35" bestFit="1" customWidth="1"/>
    <col min="12789" max="12789" width="9.42578125" style="35" bestFit="1" customWidth="1"/>
    <col min="12790" max="12790" width="6.42578125" style="35" bestFit="1" customWidth="1"/>
    <col min="12791" max="12791" width="7.7109375" style="35" bestFit="1" customWidth="1"/>
    <col min="12792" max="12793" width="6.42578125" style="35" bestFit="1" customWidth="1"/>
    <col min="12794" max="12794" width="10" style="35" bestFit="1" customWidth="1"/>
    <col min="12795" max="12795" width="7.140625" style="35" customWidth="1"/>
    <col min="12796" max="12796" width="6.7109375" style="35" bestFit="1" customWidth="1"/>
    <col min="12797" max="12797" width="5.42578125" style="35" bestFit="1" customWidth="1"/>
    <col min="12798" max="12798" width="6.28515625" style="35" bestFit="1" customWidth="1"/>
    <col min="12799" max="12799" width="5.42578125" style="35" customWidth="1"/>
    <col min="12800" max="12800" width="6.7109375" style="35" customWidth="1"/>
    <col min="12801" max="12801" width="7.42578125" style="35" customWidth="1"/>
    <col min="12802" max="12802" width="7.140625" style="35" customWidth="1"/>
    <col min="12803" max="12803" width="9.28515625" style="35" customWidth="1"/>
    <col min="12804" max="12804" width="10.7109375" style="35" customWidth="1"/>
    <col min="12805" max="12805" width="9.140625" style="35" customWidth="1"/>
    <col min="12806" max="13042" width="9.140625" style="35"/>
    <col min="13043" max="13043" width="4.42578125" style="35" bestFit="1" customWidth="1"/>
    <col min="13044" max="13044" width="11.42578125" style="35" bestFit="1" customWidth="1"/>
    <col min="13045" max="13045" width="9.42578125" style="35" bestFit="1" customWidth="1"/>
    <col min="13046" max="13046" width="6.42578125" style="35" bestFit="1" customWidth="1"/>
    <col min="13047" max="13047" width="7.7109375" style="35" bestFit="1" customWidth="1"/>
    <col min="13048" max="13049" width="6.42578125" style="35" bestFit="1" customWidth="1"/>
    <col min="13050" max="13050" width="10" style="35" bestFit="1" customWidth="1"/>
    <col min="13051" max="13051" width="7.140625" style="35" customWidth="1"/>
    <col min="13052" max="13052" width="6.7109375" style="35" bestFit="1" customWidth="1"/>
    <col min="13053" max="13053" width="5.42578125" style="35" bestFit="1" customWidth="1"/>
    <col min="13054" max="13054" width="6.28515625" style="35" bestFit="1" customWidth="1"/>
    <col min="13055" max="13055" width="5.42578125" style="35" customWidth="1"/>
    <col min="13056" max="13056" width="6.7109375" style="35" customWidth="1"/>
    <col min="13057" max="13057" width="7.42578125" style="35" customWidth="1"/>
    <col min="13058" max="13058" width="7.140625" style="35" customWidth="1"/>
    <col min="13059" max="13059" width="9.28515625" style="35" customWidth="1"/>
    <col min="13060" max="13060" width="10.7109375" style="35" customWidth="1"/>
    <col min="13061" max="13061" width="9.140625" style="35" customWidth="1"/>
    <col min="13062" max="13298" width="9.140625" style="35"/>
    <col min="13299" max="13299" width="4.42578125" style="35" bestFit="1" customWidth="1"/>
    <col min="13300" max="13300" width="11.42578125" style="35" bestFit="1" customWidth="1"/>
    <col min="13301" max="13301" width="9.42578125" style="35" bestFit="1" customWidth="1"/>
    <col min="13302" max="13302" width="6.42578125" style="35" bestFit="1" customWidth="1"/>
    <col min="13303" max="13303" width="7.7109375" style="35" bestFit="1" customWidth="1"/>
    <col min="13304" max="13305" width="6.42578125" style="35" bestFit="1" customWidth="1"/>
    <col min="13306" max="13306" width="10" style="35" bestFit="1" customWidth="1"/>
    <col min="13307" max="13307" width="7.140625" style="35" customWidth="1"/>
    <col min="13308" max="13308" width="6.7109375" style="35" bestFit="1" customWidth="1"/>
    <col min="13309" max="13309" width="5.42578125" style="35" bestFit="1" customWidth="1"/>
    <col min="13310" max="13310" width="6.28515625" style="35" bestFit="1" customWidth="1"/>
    <col min="13311" max="13311" width="5.42578125" style="35" customWidth="1"/>
    <col min="13312" max="13312" width="6.7109375" style="35" customWidth="1"/>
    <col min="13313" max="13313" width="7.42578125" style="35" customWidth="1"/>
    <col min="13314" max="13314" width="7.140625" style="35" customWidth="1"/>
    <col min="13315" max="13315" width="9.28515625" style="35" customWidth="1"/>
    <col min="13316" max="13316" width="10.7109375" style="35" customWidth="1"/>
    <col min="13317" max="13317" width="9.140625" style="35" customWidth="1"/>
    <col min="13318" max="13554" width="9.140625" style="35"/>
    <col min="13555" max="13555" width="4.42578125" style="35" bestFit="1" customWidth="1"/>
    <col min="13556" max="13556" width="11.42578125" style="35" bestFit="1" customWidth="1"/>
    <col min="13557" max="13557" width="9.42578125" style="35" bestFit="1" customWidth="1"/>
    <col min="13558" max="13558" width="6.42578125" style="35" bestFit="1" customWidth="1"/>
    <col min="13559" max="13559" width="7.7109375" style="35" bestFit="1" customWidth="1"/>
    <col min="13560" max="13561" width="6.42578125" style="35" bestFit="1" customWidth="1"/>
    <col min="13562" max="13562" width="10" style="35" bestFit="1" customWidth="1"/>
    <col min="13563" max="13563" width="7.140625" style="35" customWidth="1"/>
    <col min="13564" max="13564" width="6.7109375" style="35" bestFit="1" customWidth="1"/>
    <col min="13565" max="13565" width="5.42578125" style="35" bestFit="1" customWidth="1"/>
    <col min="13566" max="13566" width="6.28515625" style="35" bestFit="1" customWidth="1"/>
    <col min="13567" max="13567" width="5.42578125" style="35" customWidth="1"/>
    <col min="13568" max="13568" width="6.7109375" style="35" customWidth="1"/>
    <col min="13569" max="13569" width="7.42578125" style="35" customWidth="1"/>
    <col min="13570" max="13570" width="7.140625" style="35" customWidth="1"/>
    <col min="13571" max="13571" width="9.28515625" style="35" customWidth="1"/>
    <col min="13572" max="13572" width="10.7109375" style="35" customWidth="1"/>
    <col min="13573" max="13573" width="9.140625" style="35" customWidth="1"/>
    <col min="13574" max="13810" width="9.140625" style="35"/>
    <col min="13811" max="13811" width="4.42578125" style="35" bestFit="1" customWidth="1"/>
    <col min="13812" max="13812" width="11.42578125" style="35" bestFit="1" customWidth="1"/>
    <col min="13813" max="13813" width="9.42578125" style="35" bestFit="1" customWidth="1"/>
    <col min="13814" max="13814" width="6.42578125" style="35" bestFit="1" customWidth="1"/>
    <col min="13815" max="13815" width="7.7109375" style="35" bestFit="1" customWidth="1"/>
    <col min="13816" max="13817" width="6.42578125" style="35" bestFit="1" customWidth="1"/>
    <col min="13818" max="13818" width="10" style="35" bestFit="1" customWidth="1"/>
    <col min="13819" max="13819" width="7.140625" style="35" customWidth="1"/>
    <col min="13820" max="13820" width="6.7109375" style="35" bestFit="1" customWidth="1"/>
    <col min="13821" max="13821" width="5.42578125" style="35" bestFit="1" customWidth="1"/>
    <col min="13822" max="13822" width="6.28515625" style="35" bestFit="1" customWidth="1"/>
    <col min="13823" max="13823" width="5.42578125" style="35" customWidth="1"/>
    <col min="13824" max="13824" width="6.7109375" style="35" customWidth="1"/>
    <col min="13825" max="13825" width="7.42578125" style="35" customWidth="1"/>
    <col min="13826" max="13826" width="7.140625" style="35" customWidth="1"/>
    <col min="13827" max="13827" width="9.28515625" style="35" customWidth="1"/>
    <col min="13828" max="13828" width="10.7109375" style="35" customWidth="1"/>
    <col min="13829" max="13829" width="9.140625" style="35" customWidth="1"/>
    <col min="13830" max="14066" width="9.140625" style="35"/>
    <col min="14067" max="14067" width="4.42578125" style="35" bestFit="1" customWidth="1"/>
    <col min="14068" max="14068" width="11.42578125" style="35" bestFit="1" customWidth="1"/>
    <col min="14069" max="14069" width="9.42578125" style="35" bestFit="1" customWidth="1"/>
    <col min="14070" max="14070" width="6.42578125" style="35" bestFit="1" customWidth="1"/>
    <col min="14071" max="14071" width="7.7109375" style="35" bestFit="1" customWidth="1"/>
    <col min="14072" max="14073" width="6.42578125" style="35" bestFit="1" customWidth="1"/>
    <col min="14074" max="14074" width="10" style="35" bestFit="1" customWidth="1"/>
    <col min="14075" max="14075" width="7.140625" style="35" customWidth="1"/>
    <col min="14076" max="14076" width="6.7109375" style="35" bestFit="1" customWidth="1"/>
    <col min="14077" max="14077" width="5.42578125" style="35" bestFit="1" customWidth="1"/>
    <col min="14078" max="14078" width="6.28515625" style="35" bestFit="1" customWidth="1"/>
    <col min="14079" max="14079" width="5.42578125" style="35" customWidth="1"/>
    <col min="14080" max="14080" width="6.7109375" style="35" customWidth="1"/>
    <col min="14081" max="14081" width="7.42578125" style="35" customWidth="1"/>
    <col min="14082" max="14082" width="7.140625" style="35" customWidth="1"/>
    <col min="14083" max="14083" width="9.28515625" style="35" customWidth="1"/>
    <col min="14084" max="14084" width="10.7109375" style="35" customWidth="1"/>
    <col min="14085" max="14085" width="9.140625" style="35" customWidth="1"/>
    <col min="14086" max="14322" width="9.140625" style="35"/>
    <col min="14323" max="14323" width="4.42578125" style="35" bestFit="1" customWidth="1"/>
    <col min="14324" max="14324" width="11.42578125" style="35" bestFit="1" customWidth="1"/>
    <col min="14325" max="14325" width="9.42578125" style="35" bestFit="1" customWidth="1"/>
    <col min="14326" max="14326" width="6.42578125" style="35" bestFit="1" customWidth="1"/>
    <col min="14327" max="14327" width="7.7109375" style="35" bestFit="1" customWidth="1"/>
    <col min="14328" max="14329" width="6.42578125" style="35" bestFit="1" customWidth="1"/>
    <col min="14330" max="14330" width="10" style="35" bestFit="1" customWidth="1"/>
    <col min="14331" max="14331" width="7.140625" style="35" customWidth="1"/>
    <col min="14332" max="14332" width="6.7109375" style="35" bestFit="1" customWidth="1"/>
    <col min="14333" max="14333" width="5.42578125" style="35" bestFit="1" customWidth="1"/>
    <col min="14334" max="14334" width="6.28515625" style="35" bestFit="1" customWidth="1"/>
    <col min="14335" max="14335" width="5.42578125" style="35" customWidth="1"/>
    <col min="14336" max="14336" width="6.7109375" style="35" customWidth="1"/>
    <col min="14337" max="14337" width="7.42578125" style="35" customWidth="1"/>
    <col min="14338" max="14338" width="7.140625" style="35" customWidth="1"/>
    <col min="14339" max="14339" width="9.28515625" style="35" customWidth="1"/>
    <col min="14340" max="14340" width="10.7109375" style="35" customWidth="1"/>
    <col min="14341" max="14341" width="9.140625" style="35" customWidth="1"/>
    <col min="14342" max="14578" width="9.140625" style="35"/>
    <col min="14579" max="14579" width="4.42578125" style="35" bestFit="1" customWidth="1"/>
    <col min="14580" max="14580" width="11.42578125" style="35" bestFit="1" customWidth="1"/>
    <col min="14581" max="14581" width="9.42578125" style="35" bestFit="1" customWidth="1"/>
    <col min="14582" max="14582" width="6.42578125" style="35" bestFit="1" customWidth="1"/>
    <col min="14583" max="14583" width="7.7109375" style="35" bestFit="1" customWidth="1"/>
    <col min="14584" max="14585" width="6.42578125" style="35" bestFit="1" customWidth="1"/>
    <col min="14586" max="14586" width="10" style="35" bestFit="1" customWidth="1"/>
    <col min="14587" max="14587" width="7.140625" style="35" customWidth="1"/>
    <col min="14588" max="14588" width="6.7109375" style="35" bestFit="1" customWidth="1"/>
    <col min="14589" max="14589" width="5.42578125" style="35" bestFit="1" customWidth="1"/>
    <col min="14590" max="14590" width="6.28515625" style="35" bestFit="1" customWidth="1"/>
    <col min="14591" max="14591" width="5.42578125" style="35" customWidth="1"/>
    <col min="14592" max="14592" width="6.7109375" style="35" customWidth="1"/>
    <col min="14593" max="14593" width="7.42578125" style="35" customWidth="1"/>
    <col min="14594" max="14594" width="7.140625" style="35" customWidth="1"/>
    <col min="14595" max="14595" width="9.28515625" style="35" customWidth="1"/>
    <col min="14596" max="14596" width="10.7109375" style="35" customWidth="1"/>
    <col min="14597" max="14597" width="9.140625" style="35" customWidth="1"/>
    <col min="14598" max="14834" width="9.140625" style="35"/>
    <col min="14835" max="14835" width="4.42578125" style="35" bestFit="1" customWidth="1"/>
    <col min="14836" max="14836" width="11.42578125" style="35" bestFit="1" customWidth="1"/>
    <col min="14837" max="14837" width="9.42578125" style="35" bestFit="1" customWidth="1"/>
    <col min="14838" max="14838" width="6.42578125" style="35" bestFit="1" customWidth="1"/>
    <col min="14839" max="14839" width="7.7109375" style="35" bestFit="1" customWidth="1"/>
    <col min="14840" max="14841" width="6.42578125" style="35" bestFit="1" customWidth="1"/>
    <col min="14842" max="14842" width="10" style="35" bestFit="1" customWidth="1"/>
    <col min="14843" max="14843" width="7.140625" style="35" customWidth="1"/>
    <col min="14844" max="14844" width="6.7109375" style="35" bestFit="1" customWidth="1"/>
    <col min="14845" max="14845" width="5.42578125" style="35" bestFit="1" customWidth="1"/>
    <col min="14846" max="14846" width="6.28515625" style="35" bestFit="1" customWidth="1"/>
    <col min="14847" max="14847" width="5.42578125" style="35" customWidth="1"/>
    <col min="14848" max="14848" width="6.7109375" style="35" customWidth="1"/>
    <col min="14849" max="14849" width="7.42578125" style="35" customWidth="1"/>
    <col min="14850" max="14850" width="7.140625" style="35" customWidth="1"/>
    <col min="14851" max="14851" width="9.28515625" style="35" customWidth="1"/>
    <col min="14852" max="14852" width="10.7109375" style="35" customWidth="1"/>
    <col min="14853" max="14853" width="9.140625" style="35" customWidth="1"/>
    <col min="14854" max="15090" width="9.140625" style="35"/>
    <col min="15091" max="15091" width="4.42578125" style="35" bestFit="1" customWidth="1"/>
    <col min="15092" max="15092" width="11.42578125" style="35" bestFit="1" customWidth="1"/>
    <col min="15093" max="15093" width="9.42578125" style="35" bestFit="1" customWidth="1"/>
    <col min="15094" max="15094" width="6.42578125" style="35" bestFit="1" customWidth="1"/>
    <col min="15095" max="15095" width="7.7109375" style="35" bestFit="1" customWidth="1"/>
    <col min="15096" max="15097" width="6.42578125" style="35" bestFit="1" customWidth="1"/>
    <col min="15098" max="15098" width="10" style="35" bestFit="1" customWidth="1"/>
    <col min="15099" max="15099" width="7.140625" style="35" customWidth="1"/>
    <col min="15100" max="15100" width="6.7109375" style="35" bestFit="1" customWidth="1"/>
    <col min="15101" max="15101" width="5.42578125" style="35" bestFit="1" customWidth="1"/>
    <col min="15102" max="15102" width="6.28515625" style="35" bestFit="1" customWidth="1"/>
    <col min="15103" max="15103" width="5.42578125" style="35" customWidth="1"/>
    <col min="15104" max="15104" width="6.7109375" style="35" customWidth="1"/>
    <col min="15105" max="15105" width="7.42578125" style="35" customWidth="1"/>
    <col min="15106" max="15106" width="7.140625" style="35" customWidth="1"/>
    <col min="15107" max="15107" width="9.28515625" style="35" customWidth="1"/>
    <col min="15108" max="15108" width="10.7109375" style="35" customWidth="1"/>
    <col min="15109" max="15109" width="9.140625" style="35" customWidth="1"/>
    <col min="15110" max="15346" width="9.140625" style="35"/>
    <col min="15347" max="15347" width="4.42578125" style="35" bestFit="1" customWidth="1"/>
    <col min="15348" max="15348" width="11.42578125" style="35" bestFit="1" customWidth="1"/>
    <col min="15349" max="15349" width="9.42578125" style="35" bestFit="1" customWidth="1"/>
    <col min="15350" max="15350" width="6.42578125" style="35" bestFit="1" customWidth="1"/>
    <col min="15351" max="15351" width="7.7109375" style="35" bestFit="1" customWidth="1"/>
    <col min="15352" max="15353" width="6.42578125" style="35" bestFit="1" customWidth="1"/>
    <col min="15354" max="15354" width="10" style="35" bestFit="1" customWidth="1"/>
    <col min="15355" max="15355" width="7.140625" style="35" customWidth="1"/>
    <col min="15356" max="15356" width="6.7109375" style="35" bestFit="1" customWidth="1"/>
    <col min="15357" max="15357" width="5.42578125" style="35" bestFit="1" customWidth="1"/>
    <col min="15358" max="15358" width="6.28515625" style="35" bestFit="1" customWidth="1"/>
    <col min="15359" max="15359" width="5.42578125" style="35" customWidth="1"/>
    <col min="15360" max="15360" width="6.7109375" style="35" customWidth="1"/>
    <col min="15361" max="15361" width="7.42578125" style="35" customWidth="1"/>
    <col min="15362" max="15362" width="7.140625" style="35" customWidth="1"/>
    <col min="15363" max="15363" width="9.28515625" style="35" customWidth="1"/>
    <col min="15364" max="15364" width="10.7109375" style="35" customWidth="1"/>
    <col min="15365" max="15365" width="9.140625" style="35" customWidth="1"/>
    <col min="15366" max="15602" width="9.140625" style="35"/>
    <col min="15603" max="15603" width="4.42578125" style="35" bestFit="1" customWidth="1"/>
    <col min="15604" max="15604" width="11.42578125" style="35" bestFit="1" customWidth="1"/>
    <col min="15605" max="15605" width="9.42578125" style="35" bestFit="1" customWidth="1"/>
    <col min="15606" max="15606" width="6.42578125" style="35" bestFit="1" customWidth="1"/>
    <col min="15607" max="15607" width="7.7109375" style="35" bestFit="1" customWidth="1"/>
    <col min="15608" max="15609" width="6.42578125" style="35" bestFit="1" customWidth="1"/>
    <col min="15610" max="15610" width="10" style="35" bestFit="1" customWidth="1"/>
    <col min="15611" max="15611" width="7.140625" style="35" customWidth="1"/>
    <col min="15612" max="15612" width="6.7109375" style="35" bestFit="1" customWidth="1"/>
    <col min="15613" max="15613" width="5.42578125" style="35" bestFit="1" customWidth="1"/>
    <col min="15614" max="15614" width="6.28515625" style="35" bestFit="1" customWidth="1"/>
    <col min="15615" max="15615" width="5.42578125" style="35" customWidth="1"/>
    <col min="15616" max="15616" width="6.7109375" style="35" customWidth="1"/>
    <col min="15617" max="15617" width="7.42578125" style="35" customWidth="1"/>
    <col min="15618" max="15618" width="7.140625" style="35" customWidth="1"/>
    <col min="15619" max="15619" width="9.28515625" style="35" customWidth="1"/>
    <col min="15620" max="15620" width="10.7109375" style="35" customWidth="1"/>
    <col min="15621" max="15621" width="9.140625" style="35" customWidth="1"/>
    <col min="15622" max="15858" width="9.140625" style="35"/>
    <col min="15859" max="15859" width="4.42578125" style="35" bestFit="1" customWidth="1"/>
    <col min="15860" max="15860" width="11.42578125" style="35" bestFit="1" customWidth="1"/>
    <col min="15861" max="15861" width="9.42578125" style="35" bestFit="1" customWidth="1"/>
    <col min="15862" max="15862" width="6.42578125" style="35" bestFit="1" customWidth="1"/>
    <col min="15863" max="15863" width="7.7109375" style="35" bestFit="1" customWidth="1"/>
    <col min="15864" max="15865" width="6.42578125" style="35" bestFit="1" customWidth="1"/>
    <col min="15866" max="15866" width="10" style="35" bestFit="1" customWidth="1"/>
    <col min="15867" max="15867" width="7.140625" style="35" customWidth="1"/>
    <col min="15868" max="15868" width="6.7109375" style="35" bestFit="1" customWidth="1"/>
    <col min="15869" max="15869" width="5.42578125" style="35" bestFit="1" customWidth="1"/>
    <col min="15870" max="15870" width="6.28515625" style="35" bestFit="1" customWidth="1"/>
    <col min="15871" max="15871" width="5.42578125" style="35" customWidth="1"/>
    <col min="15872" max="15872" width="6.7109375" style="35" customWidth="1"/>
    <col min="15873" max="15873" width="7.42578125" style="35" customWidth="1"/>
    <col min="15874" max="15874" width="7.140625" style="35" customWidth="1"/>
    <col min="15875" max="15875" width="9.28515625" style="35" customWidth="1"/>
    <col min="15876" max="15876" width="10.7109375" style="35" customWidth="1"/>
    <col min="15877" max="15877" width="9.140625" style="35" customWidth="1"/>
    <col min="15878" max="16114" width="9.140625" style="35"/>
    <col min="16115" max="16115" width="4.42578125" style="35" bestFit="1" customWidth="1"/>
    <col min="16116" max="16116" width="11.42578125" style="35" bestFit="1" customWidth="1"/>
    <col min="16117" max="16117" width="9.42578125" style="35" bestFit="1" customWidth="1"/>
    <col min="16118" max="16118" width="6.42578125" style="35" bestFit="1" customWidth="1"/>
    <col min="16119" max="16119" width="7.7109375" style="35" bestFit="1" customWidth="1"/>
    <col min="16120" max="16121" width="6.42578125" style="35" bestFit="1" customWidth="1"/>
    <col min="16122" max="16122" width="10" style="35" bestFit="1" customWidth="1"/>
    <col min="16123" max="16123" width="7.140625" style="35" customWidth="1"/>
    <col min="16124" max="16124" width="6.7109375" style="35" bestFit="1" customWidth="1"/>
    <col min="16125" max="16125" width="5.42578125" style="35" bestFit="1" customWidth="1"/>
    <col min="16126" max="16126" width="6.28515625" style="35" bestFit="1" customWidth="1"/>
    <col min="16127" max="16127" width="5.42578125" style="35" customWidth="1"/>
    <col min="16128" max="16128" width="6.7109375" style="35" customWidth="1"/>
    <col min="16129" max="16129" width="7.42578125" style="35" customWidth="1"/>
    <col min="16130" max="16130" width="7.140625" style="35" customWidth="1"/>
    <col min="16131" max="16131" width="9.28515625" style="35" customWidth="1"/>
    <col min="16132" max="16132" width="10.7109375" style="35" customWidth="1"/>
    <col min="16133" max="16133" width="9.140625" style="35" customWidth="1"/>
    <col min="16134" max="16370" width="9.140625" style="35"/>
    <col min="16371" max="16384" width="9.140625" style="35" customWidth="1"/>
  </cols>
  <sheetData>
    <row r="1" spans="1:21" s="34" customFormat="1" ht="44.1" customHeight="1">
      <c r="A1" s="60" t="s">
        <v>10</v>
      </c>
      <c r="B1" s="36" t="s">
        <v>11</v>
      </c>
      <c r="C1" s="36" t="s">
        <v>12</v>
      </c>
      <c r="D1" s="55" t="s">
        <v>13</v>
      </c>
      <c r="E1" s="52" t="s">
        <v>14</v>
      </c>
      <c r="F1" s="37" t="s">
        <v>15</v>
      </c>
      <c r="G1" s="37" t="s">
        <v>16</v>
      </c>
      <c r="H1" s="36" t="s">
        <v>17</v>
      </c>
      <c r="I1" s="36" t="s">
        <v>18</v>
      </c>
      <c r="J1" s="36" t="s">
        <v>19</v>
      </c>
      <c r="K1" s="36" t="s">
        <v>20</v>
      </c>
      <c r="L1" s="36" t="s">
        <v>21</v>
      </c>
      <c r="M1" s="36" t="s">
        <v>22</v>
      </c>
      <c r="N1" s="57" t="s">
        <v>23</v>
      </c>
      <c r="O1" s="57" t="s">
        <v>24</v>
      </c>
      <c r="P1" s="57" t="s">
        <v>25</v>
      </c>
      <c r="Q1" s="55" t="s">
        <v>26</v>
      </c>
      <c r="R1" s="36" t="s">
        <v>27</v>
      </c>
      <c r="S1" s="36" t="s">
        <v>28</v>
      </c>
      <c r="T1" s="38" t="s">
        <v>29</v>
      </c>
      <c r="U1" s="38" t="s">
        <v>30</v>
      </c>
    </row>
    <row r="2" spans="1:21">
      <c r="A2" s="80">
        <v>2023</v>
      </c>
      <c r="B2" s="35" t="s">
        <v>31</v>
      </c>
      <c r="C2" s="74">
        <v>29060</v>
      </c>
      <c r="D2" s="56">
        <v>26</v>
      </c>
      <c r="E2" s="76">
        <v>45103</v>
      </c>
      <c r="F2" s="35" t="s">
        <v>32</v>
      </c>
      <c r="G2" s="80" t="s">
        <v>33</v>
      </c>
      <c r="H2" s="35" t="s">
        <v>34</v>
      </c>
      <c r="I2" s="80" t="s">
        <v>33</v>
      </c>
      <c r="J2" s="35" t="s">
        <v>35</v>
      </c>
      <c r="K2" s="35" t="s">
        <v>36</v>
      </c>
      <c r="L2" s="35" t="s">
        <v>37</v>
      </c>
      <c r="M2" s="35" t="s">
        <v>38</v>
      </c>
      <c r="O2" s="59">
        <v>50</v>
      </c>
      <c r="P2" s="59">
        <v>50</v>
      </c>
      <c r="Q2" s="56">
        <v>0</v>
      </c>
      <c r="R2" s="35" t="s">
        <v>39</v>
      </c>
      <c r="T2" s="35" t="s">
        <v>40</v>
      </c>
      <c r="U2" s="35" t="s">
        <v>40</v>
      </c>
    </row>
    <row r="3" spans="1:21">
      <c r="A3" s="80">
        <v>2023</v>
      </c>
      <c r="B3" s="35" t="s">
        <v>41</v>
      </c>
      <c r="C3" s="74">
        <v>29061</v>
      </c>
      <c r="D3" s="56">
        <v>26</v>
      </c>
      <c r="E3" s="76">
        <v>45103</v>
      </c>
      <c r="F3" s="35" t="s">
        <v>32</v>
      </c>
      <c r="G3" s="80" t="s">
        <v>33</v>
      </c>
      <c r="H3" s="35" t="s">
        <v>34</v>
      </c>
      <c r="I3" s="80" t="s">
        <v>33</v>
      </c>
      <c r="J3" s="35" t="s">
        <v>35</v>
      </c>
      <c r="K3" s="35" t="s">
        <v>36</v>
      </c>
      <c r="L3" s="35" t="s">
        <v>37</v>
      </c>
      <c r="M3" s="35" t="s">
        <v>38</v>
      </c>
      <c r="O3" s="59">
        <v>31</v>
      </c>
      <c r="P3" s="59">
        <v>31</v>
      </c>
      <c r="Q3" s="56">
        <v>0</v>
      </c>
      <c r="R3" s="35" t="s">
        <v>39</v>
      </c>
      <c r="T3" s="35" t="s">
        <v>40</v>
      </c>
      <c r="U3" s="35" t="s">
        <v>40</v>
      </c>
    </row>
    <row r="4" spans="1:21">
      <c r="A4" s="80">
        <v>2023</v>
      </c>
      <c r="B4" s="35" t="s">
        <v>42</v>
      </c>
      <c r="C4" s="74">
        <v>29062</v>
      </c>
      <c r="D4" s="56">
        <v>26</v>
      </c>
      <c r="E4" s="76">
        <v>45103</v>
      </c>
      <c r="F4" s="35" t="s">
        <v>32</v>
      </c>
      <c r="G4" s="80" t="s">
        <v>33</v>
      </c>
      <c r="H4" s="35" t="s">
        <v>43</v>
      </c>
      <c r="I4" s="80" t="s">
        <v>33</v>
      </c>
      <c r="J4" s="35" t="s">
        <v>35</v>
      </c>
      <c r="K4" s="35" t="s">
        <v>36</v>
      </c>
      <c r="L4" s="35" t="s">
        <v>37</v>
      </c>
      <c r="M4" s="35" t="s">
        <v>38</v>
      </c>
      <c r="O4" s="59">
        <v>50</v>
      </c>
      <c r="P4" s="59">
        <v>50</v>
      </c>
      <c r="Q4" s="56">
        <v>0</v>
      </c>
      <c r="R4" s="35" t="s">
        <v>39</v>
      </c>
      <c r="T4" s="35" t="s">
        <v>40</v>
      </c>
      <c r="U4" s="35" t="s">
        <v>40</v>
      </c>
    </row>
    <row r="5" spans="1:21">
      <c r="A5" s="80">
        <v>2023</v>
      </c>
      <c r="B5" s="35" t="s">
        <v>44</v>
      </c>
      <c r="C5" s="74">
        <v>29063</v>
      </c>
      <c r="D5" s="56">
        <v>26</v>
      </c>
      <c r="E5" s="76">
        <v>45103</v>
      </c>
      <c r="F5" s="35" t="s">
        <v>32</v>
      </c>
      <c r="G5" s="80" t="s">
        <v>33</v>
      </c>
      <c r="H5" s="35" t="s">
        <v>43</v>
      </c>
      <c r="I5" s="80" t="s">
        <v>33</v>
      </c>
      <c r="J5" s="35" t="s">
        <v>35</v>
      </c>
      <c r="K5" s="35" t="s">
        <v>36</v>
      </c>
      <c r="L5" s="35" t="s">
        <v>37</v>
      </c>
      <c r="M5" s="35" t="s">
        <v>38</v>
      </c>
      <c r="O5" s="59">
        <v>50</v>
      </c>
      <c r="P5" s="59">
        <v>50</v>
      </c>
      <c r="Q5" s="56">
        <v>0</v>
      </c>
      <c r="R5" s="35" t="s">
        <v>39</v>
      </c>
      <c r="T5" s="35" t="s">
        <v>40</v>
      </c>
      <c r="U5" s="35" t="s">
        <v>40</v>
      </c>
    </row>
    <row r="6" spans="1:21">
      <c r="A6" s="80">
        <v>2023</v>
      </c>
      <c r="B6" s="35" t="s">
        <v>45</v>
      </c>
      <c r="C6" s="74">
        <v>29064</v>
      </c>
      <c r="D6" s="56">
        <v>26</v>
      </c>
      <c r="E6" s="76">
        <v>45103</v>
      </c>
      <c r="F6" s="35" t="s">
        <v>32</v>
      </c>
      <c r="G6" s="80" t="s">
        <v>33</v>
      </c>
      <c r="H6" s="35" t="s">
        <v>43</v>
      </c>
      <c r="I6" s="80" t="s">
        <v>33</v>
      </c>
      <c r="J6" s="35" t="s">
        <v>35</v>
      </c>
      <c r="K6" s="35" t="s">
        <v>36</v>
      </c>
      <c r="L6" s="35" t="s">
        <v>37</v>
      </c>
      <c r="M6" s="35" t="s">
        <v>38</v>
      </c>
      <c r="O6" s="59">
        <v>50</v>
      </c>
      <c r="P6" s="59">
        <v>50</v>
      </c>
      <c r="Q6" s="56">
        <v>0</v>
      </c>
      <c r="R6" s="35" t="s">
        <v>39</v>
      </c>
      <c r="T6" s="35" t="s">
        <v>40</v>
      </c>
      <c r="U6" s="35" t="s">
        <v>40</v>
      </c>
    </row>
    <row r="7" spans="1:21">
      <c r="A7" s="59">
        <v>2023</v>
      </c>
      <c r="B7" s="35" t="s">
        <v>46</v>
      </c>
      <c r="C7" s="74">
        <v>29065</v>
      </c>
      <c r="D7" s="56">
        <v>26</v>
      </c>
      <c r="E7" s="76">
        <v>45103</v>
      </c>
      <c r="F7" s="35" t="s">
        <v>32</v>
      </c>
      <c r="G7" s="80" t="s">
        <v>33</v>
      </c>
      <c r="H7" s="35" t="s">
        <v>43</v>
      </c>
      <c r="I7" s="80" t="s">
        <v>33</v>
      </c>
      <c r="J7" s="35" t="s">
        <v>35</v>
      </c>
      <c r="K7" s="35" t="s">
        <v>36</v>
      </c>
      <c r="L7" s="35" t="s">
        <v>37</v>
      </c>
      <c r="M7" s="35" t="s">
        <v>38</v>
      </c>
      <c r="O7" s="59">
        <v>50</v>
      </c>
      <c r="P7" s="59">
        <v>50</v>
      </c>
      <c r="Q7" s="56">
        <v>0</v>
      </c>
      <c r="R7" s="35" t="s">
        <v>39</v>
      </c>
      <c r="T7" s="35" t="s">
        <v>40</v>
      </c>
      <c r="U7" s="35" t="s">
        <v>40</v>
      </c>
    </row>
    <row r="8" spans="1:21">
      <c r="A8" s="59">
        <v>2023</v>
      </c>
      <c r="B8" s="35" t="s">
        <v>47</v>
      </c>
      <c r="C8" s="74">
        <v>29066</v>
      </c>
      <c r="D8" s="56">
        <v>26</v>
      </c>
      <c r="E8" s="76">
        <v>45103</v>
      </c>
      <c r="F8" s="35" t="s">
        <v>32</v>
      </c>
      <c r="G8" s="35" t="s">
        <v>33</v>
      </c>
      <c r="H8" s="35" t="s">
        <v>43</v>
      </c>
      <c r="I8" s="80" t="s">
        <v>33</v>
      </c>
      <c r="J8" s="35" t="s">
        <v>35</v>
      </c>
      <c r="K8" s="35" t="s">
        <v>36</v>
      </c>
      <c r="L8" s="35" t="s">
        <v>37</v>
      </c>
      <c r="M8" s="35" t="s">
        <v>38</v>
      </c>
      <c r="O8" s="59">
        <v>50</v>
      </c>
      <c r="P8" s="59">
        <v>50</v>
      </c>
      <c r="Q8" s="56">
        <v>0</v>
      </c>
      <c r="R8" s="35" t="s">
        <v>39</v>
      </c>
      <c r="T8" s="35" t="s">
        <v>40</v>
      </c>
      <c r="U8" s="35" t="s">
        <v>40</v>
      </c>
    </row>
    <row r="9" spans="1:21">
      <c r="A9" s="59">
        <v>2023</v>
      </c>
      <c r="B9" s="35" t="s">
        <v>48</v>
      </c>
      <c r="C9" s="74">
        <v>29067</v>
      </c>
      <c r="D9" s="56">
        <v>26</v>
      </c>
      <c r="E9" s="76">
        <v>45103</v>
      </c>
      <c r="F9" s="35" t="s">
        <v>32</v>
      </c>
      <c r="G9" s="35" t="s">
        <v>33</v>
      </c>
      <c r="H9" s="35" t="s">
        <v>43</v>
      </c>
      <c r="I9" s="80" t="s">
        <v>33</v>
      </c>
      <c r="J9" s="35" t="s">
        <v>35</v>
      </c>
      <c r="K9" s="35" t="s">
        <v>36</v>
      </c>
      <c r="L9" s="35" t="s">
        <v>37</v>
      </c>
      <c r="M9" s="35" t="s">
        <v>38</v>
      </c>
      <c r="O9" s="59">
        <v>50</v>
      </c>
      <c r="P9" s="59">
        <v>50</v>
      </c>
      <c r="Q9" s="56">
        <v>0</v>
      </c>
      <c r="R9" s="35" t="s">
        <v>39</v>
      </c>
      <c r="T9" s="35" t="s">
        <v>40</v>
      </c>
      <c r="U9" s="35" t="s">
        <v>40</v>
      </c>
    </row>
    <row r="10" spans="1:21">
      <c r="A10" s="59">
        <v>2023</v>
      </c>
      <c r="B10" s="35" t="s">
        <v>49</v>
      </c>
      <c r="C10" s="74">
        <v>29068</v>
      </c>
      <c r="D10" s="56">
        <v>26</v>
      </c>
      <c r="E10" s="76">
        <v>45103</v>
      </c>
      <c r="F10" s="35" t="s">
        <v>32</v>
      </c>
      <c r="G10" s="35" t="s">
        <v>33</v>
      </c>
      <c r="H10" s="35" t="s">
        <v>43</v>
      </c>
      <c r="I10" s="35" t="s">
        <v>33</v>
      </c>
      <c r="J10" s="35" t="s">
        <v>35</v>
      </c>
      <c r="K10" s="35" t="s">
        <v>36</v>
      </c>
      <c r="L10" s="35" t="s">
        <v>37</v>
      </c>
      <c r="M10" s="35" t="s">
        <v>38</v>
      </c>
      <c r="O10" s="59">
        <v>50</v>
      </c>
      <c r="P10" s="59">
        <v>50</v>
      </c>
      <c r="Q10" s="56">
        <v>0</v>
      </c>
      <c r="R10" s="35" t="s">
        <v>39</v>
      </c>
      <c r="T10" s="35" t="s">
        <v>40</v>
      </c>
      <c r="U10" s="35" t="s">
        <v>40</v>
      </c>
    </row>
    <row r="11" spans="1:21">
      <c r="A11" s="59">
        <v>2023</v>
      </c>
      <c r="B11" s="35" t="s">
        <v>50</v>
      </c>
      <c r="C11" s="74">
        <v>29069</v>
      </c>
      <c r="D11" s="56">
        <v>26</v>
      </c>
      <c r="E11" s="76">
        <v>45103</v>
      </c>
      <c r="F11" s="35" t="s">
        <v>32</v>
      </c>
      <c r="G11" s="35" t="s">
        <v>33</v>
      </c>
      <c r="H11" s="35" t="s">
        <v>43</v>
      </c>
      <c r="I11" s="35" t="s">
        <v>33</v>
      </c>
      <c r="J11" s="35" t="s">
        <v>35</v>
      </c>
      <c r="K11" s="35" t="s">
        <v>36</v>
      </c>
      <c r="L11" s="35" t="s">
        <v>37</v>
      </c>
      <c r="M11" s="35" t="s">
        <v>38</v>
      </c>
      <c r="O11" s="59">
        <v>50</v>
      </c>
      <c r="P11" s="59">
        <v>50</v>
      </c>
      <c r="Q11" s="56">
        <v>0</v>
      </c>
      <c r="R11" s="35" t="s">
        <v>39</v>
      </c>
      <c r="T11" s="35" t="s">
        <v>40</v>
      </c>
      <c r="U11" s="35" t="s">
        <v>40</v>
      </c>
    </row>
    <row r="12" spans="1:21">
      <c r="A12" s="59">
        <v>2023</v>
      </c>
      <c r="B12" s="35" t="s">
        <v>51</v>
      </c>
      <c r="C12" s="74">
        <v>29070</v>
      </c>
      <c r="D12" s="56">
        <v>26</v>
      </c>
      <c r="E12" s="54">
        <v>45103</v>
      </c>
      <c r="F12" s="35" t="s">
        <v>32</v>
      </c>
      <c r="G12" s="35" t="s">
        <v>33</v>
      </c>
      <c r="H12" s="35" t="s">
        <v>43</v>
      </c>
      <c r="I12" s="35" t="s">
        <v>33</v>
      </c>
      <c r="J12" s="35" t="s">
        <v>35</v>
      </c>
      <c r="K12" s="35" t="s">
        <v>36</v>
      </c>
      <c r="L12" s="35" t="s">
        <v>37</v>
      </c>
      <c r="M12" s="35" t="s">
        <v>38</v>
      </c>
      <c r="O12" s="59">
        <v>50</v>
      </c>
      <c r="P12" s="59">
        <v>50</v>
      </c>
      <c r="Q12" s="56">
        <v>0</v>
      </c>
      <c r="R12" s="35" t="s">
        <v>39</v>
      </c>
      <c r="T12" s="35" t="s">
        <v>40</v>
      </c>
      <c r="U12" s="35" t="s">
        <v>40</v>
      </c>
    </row>
    <row r="13" spans="1:21">
      <c r="A13" s="59">
        <v>2023</v>
      </c>
      <c r="B13" s="35" t="s">
        <v>52</v>
      </c>
      <c r="C13" s="74">
        <v>29071</v>
      </c>
      <c r="D13" s="56">
        <v>26</v>
      </c>
      <c r="E13" s="54">
        <v>45103</v>
      </c>
      <c r="F13" s="35" t="s">
        <v>32</v>
      </c>
      <c r="G13" s="35" t="s">
        <v>33</v>
      </c>
      <c r="H13" s="35" t="s">
        <v>43</v>
      </c>
      <c r="I13" s="35" t="s">
        <v>33</v>
      </c>
      <c r="J13" s="35" t="s">
        <v>35</v>
      </c>
      <c r="K13" s="35" t="s">
        <v>36</v>
      </c>
      <c r="L13" s="35" t="s">
        <v>37</v>
      </c>
      <c r="M13" s="35" t="s">
        <v>38</v>
      </c>
      <c r="O13" s="59">
        <v>4</v>
      </c>
      <c r="P13" s="59">
        <v>4</v>
      </c>
      <c r="Q13" s="56">
        <v>0</v>
      </c>
      <c r="R13" s="35" t="s">
        <v>39</v>
      </c>
      <c r="T13" s="35" t="s">
        <v>40</v>
      </c>
      <c r="U13" s="35" t="s">
        <v>40</v>
      </c>
    </row>
    <row r="14" spans="1:21">
      <c r="A14" s="59">
        <v>2023</v>
      </c>
      <c r="B14" s="35" t="s">
        <v>53</v>
      </c>
      <c r="C14" s="74">
        <v>29072</v>
      </c>
      <c r="D14" s="56">
        <v>26</v>
      </c>
      <c r="E14" s="54">
        <v>45103</v>
      </c>
      <c r="F14" s="35" t="s">
        <v>32</v>
      </c>
      <c r="G14" s="35" t="s">
        <v>33</v>
      </c>
      <c r="H14" s="35" t="s">
        <v>43</v>
      </c>
      <c r="I14" s="35" t="s">
        <v>33</v>
      </c>
      <c r="J14" s="35" t="s">
        <v>35</v>
      </c>
      <c r="K14" s="35" t="s">
        <v>36</v>
      </c>
      <c r="L14" s="35" t="s">
        <v>54</v>
      </c>
      <c r="M14" s="35" t="s">
        <v>38</v>
      </c>
      <c r="O14" s="59">
        <v>15</v>
      </c>
      <c r="P14" s="59">
        <v>15</v>
      </c>
      <c r="Q14" s="56">
        <v>0</v>
      </c>
      <c r="R14" s="35" t="s">
        <v>39</v>
      </c>
      <c r="T14" s="35" t="s">
        <v>55</v>
      </c>
      <c r="U14" s="35" t="s">
        <v>55</v>
      </c>
    </row>
    <row r="15" spans="1:21">
      <c r="A15" s="59">
        <v>2023</v>
      </c>
      <c r="B15" s="35" t="s">
        <v>56</v>
      </c>
      <c r="C15" s="74">
        <v>29073</v>
      </c>
      <c r="D15" s="56">
        <v>26</v>
      </c>
      <c r="E15" s="54">
        <v>45103</v>
      </c>
      <c r="F15" s="35" t="s">
        <v>32</v>
      </c>
      <c r="G15" s="35" t="s">
        <v>57</v>
      </c>
      <c r="H15" s="35" t="s">
        <v>58</v>
      </c>
      <c r="I15" s="80" t="s">
        <v>59</v>
      </c>
      <c r="J15" s="35" t="s">
        <v>35</v>
      </c>
      <c r="K15" s="35" t="s">
        <v>36</v>
      </c>
      <c r="L15" s="35" t="s">
        <v>37</v>
      </c>
      <c r="M15" s="35" t="s">
        <v>38</v>
      </c>
      <c r="O15" s="59">
        <v>50</v>
      </c>
      <c r="P15" s="59">
        <v>50</v>
      </c>
      <c r="Q15" s="56">
        <v>0</v>
      </c>
      <c r="R15" s="35" t="s">
        <v>39</v>
      </c>
      <c r="T15" s="35" t="s">
        <v>60</v>
      </c>
      <c r="U15" s="35" t="s">
        <v>61</v>
      </c>
    </row>
    <row r="16" spans="1:21">
      <c r="A16" s="59">
        <v>2023</v>
      </c>
      <c r="B16" s="35" t="s">
        <v>62</v>
      </c>
      <c r="C16" s="74">
        <v>29074</v>
      </c>
      <c r="D16" s="56">
        <v>26</v>
      </c>
      <c r="E16" s="54">
        <v>45103</v>
      </c>
      <c r="F16" s="35" t="s">
        <v>32</v>
      </c>
      <c r="G16" s="35" t="s">
        <v>57</v>
      </c>
      <c r="H16" s="35" t="s">
        <v>58</v>
      </c>
      <c r="I16" s="80" t="s">
        <v>59</v>
      </c>
      <c r="J16" s="35" t="s">
        <v>35</v>
      </c>
      <c r="K16" s="35" t="s">
        <v>36</v>
      </c>
      <c r="L16" s="35" t="s">
        <v>37</v>
      </c>
      <c r="M16" s="35" t="s">
        <v>38</v>
      </c>
      <c r="O16" s="59">
        <v>50</v>
      </c>
      <c r="P16" s="59">
        <v>50</v>
      </c>
      <c r="Q16" s="56">
        <v>0</v>
      </c>
      <c r="R16" s="35" t="s">
        <v>39</v>
      </c>
      <c r="T16" s="35" t="s">
        <v>60</v>
      </c>
      <c r="U16" s="35" t="s">
        <v>61</v>
      </c>
    </row>
    <row r="17" spans="1:21">
      <c r="A17" s="59">
        <v>2023</v>
      </c>
      <c r="B17" s="73" t="s">
        <v>63</v>
      </c>
      <c r="C17" s="74">
        <v>29075</v>
      </c>
      <c r="D17" s="75">
        <v>26</v>
      </c>
      <c r="E17" s="76">
        <v>45103</v>
      </c>
      <c r="F17" s="77" t="s">
        <v>32</v>
      </c>
      <c r="G17" s="78" t="s">
        <v>57</v>
      </c>
      <c r="H17" s="78" t="s">
        <v>58</v>
      </c>
      <c r="I17" s="78" t="s">
        <v>59</v>
      </c>
      <c r="J17" s="78" t="s">
        <v>35</v>
      </c>
      <c r="K17" s="77" t="s">
        <v>36</v>
      </c>
      <c r="L17" s="35" t="s">
        <v>37</v>
      </c>
      <c r="M17" s="77" t="s">
        <v>38</v>
      </c>
      <c r="N17" s="79"/>
      <c r="O17" s="79">
        <v>50</v>
      </c>
      <c r="P17" s="79">
        <v>50</v>
      </c>
      <c r="Q17" s="56">
        <v>0</v>
      </c>
      <c r="R17" s="35" t="s">
        <v>39</v>
      </c>
      <c r="T17" s="35" t="s">
        <v>60</v>
      </c>
      <c r="U17" s="35" t="s">
        <v>61</v>
      </c>
    </row>
    <row r="18" spans="1:21">
      <c r="A18" s="59">
        <v>2023</v>
      </c>
      <c r="B18" s="73" t="s">
        <v>64</v>
      </c>
      <c r="C18" s="74">
        <v>29076</v>
      </c>
      <c r="D18" s="75">
        <v>26</v>
      </c>
      <c r="E18" s="76">
        <v>45103</v>
      </c>
      <c r="F18" s="77" t="s">
        <v>32</v>
      </c>
      <c r="G18" s="78" t="s">
        <v>57</v>
      </c>
      <c r="H18" s="78" t="s">
        <v>58</v>
      </c>
      <c r="I18" s="78" t="s">
        <v>59</v>
      </c>
      <c r="J18" s="78" t="s">
        <v>35</v>
      </c>
      <c r="K18" s="77" t="s">
        <v>36</v>
      </c>
      <c r="L18" s="35" t="s">
        <v>37</v>
      </c>
      <c r="M18" s="77" t="s">
        <v>38</v>
      </c>
      <c r="N18" s="79"/>
      <c r="O18" s="79">
        <v>19</v>
      </c>
      <c r="P18" s="79">
        <v>19</v>
      </c>
      <c r="Q18" s="56">
        <v>0</v>
      </c>
      <c r="R18" s="35" t="s">
        <v>39</v>
      </c>
      <c r="T18" s="35" t="s">
        <v>60</v>
      </c>
      <c r="U18" s="35" t="s">
        <v>61</v>
      </c>
    </row>
    <row r="19" spans="1:21">
      <c r="A19" s="59">
        <v>2023</v>
      </c>
      <c r="B19" s="73" t="s">
        <v>65</v>
      </c>
      <c r="C19" s="74">
        <v>29077</v>
      </c>
      <c r="D19" s="75">
        <v>26</v>
      </c>
      <c r="E19" s="76">
        <v>45103</v>
      </c>
      <c r="F19" s="77" t="s">
        <v>32</v>
      </c>
      <c r="G19" s="78" t="s">
        <v>57</v>
      </c>
      <c r="H19" s="78" t="s">
        <v>66</v>
      </c>
      <c r="I19" s="78" t="s">
        <v>59</v>
      </c>
      <c r="J19" s="78" t="s">
        <v>35</v>
      </c>
      <c r="K19" s="77" t="s">
        <v>36</v>
      </c>
      <c r="L19" s="35" t="s">
        <v>37</v>
      </c>
      <c r="M19" s="77" t="s">
        <v>38</v>
      </c>
      <c r="N19" s="79"/>
      <c r="O19" s="79">
        <v>50</v>
      </c>
      <c r="P19" s="79">
        <v>50</v>
      </c>
      <c r="Q19" s="56">
        <v>0</v>
      </c>
      <c r="R19" s="35" t="s">
        <v>39</v>
      </c>
      <c r="T19" s="35" t="s">
        <v>60</v>
      </c>
      <c r="U19" s="35" t="s">
        <v>61</v>
      </c>
    </row>
    <row r="20" spans="1:21">
      <c r="A20" s="59">
        <v>2023</v>
      </c>
      <c r="B20" s="73" t="s">
        <v>67</v>
      </c>
      <c r="C20" s="74">
        <v>29078</v>
      </c>
      <c r="D20" s="75">
        <v>26</v>
      </c>
      <c r="E20" s="76">
        <v>45103</v>
      </c>
      <c r="F20" s="77" t="s">
        <v>32</v>
      </c>
      <c r="G20" s="78" t="s">
        <v>57</v>
      </c>
      <c r="H20" s="78" t="s">
        <v>66</v>
      </c>
      <c r="I20" s="78" t="s">
        <v>59</v>
      </c>
      <c r="J20" s="78" t="s">
        <v>35</v>
      </c>
      <c r="K20" s="77" t="s">
        <v>36</v>
      </c>
      <c r="L20" s="35" t="s">
        <v>37</v>
      </c>
      <c r="M20" s="77" t="s">
        <v>38</v>
      </c>
      <c r="N20" s="79"/>
      <c r="O20" s="79">
        <v>50</v>
      </c>
      <c r="P20" s="79">
        <v>50</v>
      </c>
      <c r="Q20" s="56">
        <v>0</v>
      </c>
      <c r="R20" s="35" t="s">
        <v>39</v>
      </c>
      <c r="T20" s="35" t="s">
        <v>60</v>
      </c>
      <c r="U20" s="35" t="s">
        <v>61</v>
      </c>
    </row>
    <row r="21" spans="1:21">
      <c r="A21" s="59">
        <v>2023</v>
      </c>
      <c r="B21" s="73" t="s">
        <v>68</v>
      </c>
      <c r="C21" s="74">
        <v>29079</v>
      </c>
      <c r="D21" s="75">
        <v>26</v>
      </c>
      <c r="E21" s="76">
        <v>45103</v>
      </c>
      <c r="F21" s="77" t="s">
        <v>32</v>
      </c>
      <c r="G21" s="78" t="s">
        <v>57</v>
      </c>
      <c r="H21" s="78" t="s">
        <v>66</v>
      </c>
      <c r="I21" s="78" t="s">
        <v>59</v>
      </c>
      <c r="J21" s="78" t="s">
        <v>35</v>
      </c>
      <c r="K21" s="77" t="s">
        <v>36</v>
      </c>
      <c r="L21" s="35" t="s">
        <v>37</v>
      </c>
      <c r="M21" s="77" t="s">
        <v>38</v>
      </c>
      <c r="N21" s="79"/>
      <c r="O21" s="79">
        <v>47</v>
      </c>
      <c r="P21" s="79">
        <v>47</v>
      </c>
      <c r="Q21" s="56">
        <v>0</v>
      </c>
      <c r="R21" s="35" t="s">
        <v>39</v>
      </c>
      <c r="T21" s="35" t="s">
        <v>60</v>
      </c>
      <c r="U21" s="35" t="s">
        <v>61</v>
      </c>
    </row>
    <row r="22" spans="1:21">
      <c r="A22" s="59">
        <v>2023</v>
      </c>
      <c r="B22" s="73" t="s">
        <v>69</v>
      </c>
      <c r="C22" s="74">
        <v>29080</v>
      </c>
      <c r="D22" s="75">
        <v>26</v>
      </c>
      <c r="E22" s="76">
        <v>45103</v>
      </c>
      <c r="F22" s="77" t="s">
        <v>32</v>
      </c>
      <c r="G22" s="78" t="s">
        <v>57</v>
      </c>
      <c r="H22" s="78" t="s">
        <v>66</v>
      </c>
      <c r="I22" s="78" t="s">
        <v>59</v>
      </c>
      <c r="J22" s="78" t="s">
        <v>35</v>
      </c>
      <c r="K22" s="77" t="s">
        <v>36</v>
      </c>
      <c r="L22" s="35" t="s">
        <v>54</v>
      </c>
      <c r="M22" s="77" t="s">
        <v>38</v>
      </c>
      <c r="N22" s="79"/>
      <c r="O22" s="79">
        <v>11</v>
      </c>
      <c r="P22" s="79">
        <v>11</v>
      </c>
      <c r="Q22" s="56">
        <v>0</v>
      </c>
      <c r="R22" s="35" t="s">
        <v>39</v>
      </c>
      <c r="T22" s="35" t="s">
        <v>70</v>
      </c>
      <c r="U22" s="35" t="s">
        <v>71</v>
      </c>
    </row>
    <row r="23" spans="1:21">
      <c r="A23" s="59">
        <v>2023</v>
      </c>
      <c r="B23" s="35" t="s">
        <v>72</v>
      </c>
      <c r="C23" s="74">
        <v>29081</v>
      </c>
      <c r="D23" s="56">
        <v>26</v>
      </c>
      <c r="E23" s="76">
        <v>45103</v>
      </c>
      <c r="F23" s="35" t="s">
        <v>32</v>
      </c>
      <c r="G23" s="80" t="s">
        <v>57</v>
      </c>
      <c r="H23" s="35" t="s">
        <v>73</v>
      </c>
      <c r="I23" s="80" t="s">
        <v>59</v>
      </c>
      <c r="J23" s="35" t="s">
        <v>74</v>
      </c>
      <c r="K23" s="35" t="s">
        <v>36</v>
      </c>
      <c r="L23" s="80" t="s">
        <v>54</v>
      </c>
      <c r="M23" s="35" t="s">
        <v>38</v>
      </c>
      <c r="N23" s="59">
        <v>16</v>
      </c>
      <c r="P23" s="59">
        <v>16</v>
      </c>
      <c r="Q23" s="56">
        <v>0</v>
      </c>
      <c r="R23" s="35" t="s">
        <v>39</v>
      </c>
      <c r="T23" s="35" t="s">
        <v>70</v>
      </c>
      <c r="U23" s="35" t="s">
        <v>71</v>
      </c>
    </row>
    <row r="24" spans="1:21">
      <c r="A24" s="59">
        <v>2023</v>
      </c>
      <c r="B24" s="35" t="s">
        <v>75</v>
      </c>
      <c r="C24" s="74">
        <v>29082</v>
      </c>
      <c r="D24" s="56">
        <v>26</v>
      </c>
      <c r="E24" s="76">
        <v>45103</v>
      </c>
      <c r="F24" s="35" t="s">
        <v>32</v>
      </c>
      <c r="G24" s="80" t="s">
        <v>57</v>
      </c>
      <c r="H24" s="35" t="s">
        <v>76</v>
      </c>
      <c r="I24" s="80" t="s">
        <v>59</v>
      </c>
      <c r="J24" s="35" t="s">
        <v>35</v>
      </c>
      <c r="K24" s="35" t="s">
        <v>36</v>
      </c>
      <c r="L24" s="80" t="s">
        <v>37</v>
      </c>
      <c r="M24" s="35" t="s">
        <v>38</v>
      </c>
      <c r="O24" s="59">
        <v>50</v>
      </c>
      <c r="P24" s="59">
        <v>50</v>
      </c>
      <c r="Q24" s="56">
        <v>0</v>
      </c>
      <c r="R24" s="35" t="s">
        <v>39</v>
      </c>
      <c r="T24" s="35" t="s">
        <v>60</v>
      </c>
      <c r="U24" s="35" t="s">
        <v>61</v>
      </c>
    </row>
    <row r="25" spans="1:21">
      <c r="A25" s="59">
        <v>2023</v>
      </c>
      <c r="B25" s="35" t="s">
        <v>77</v>
      </c>
      <c r="C25" s="74">
        <v>29083</v>
      </c>
      <c r="D25" s="56">
        <v>26</v>
      </c>
      <c r="E25" s="76">
        <v>45103</v>
      </c>
      <c r="F25" s="35" t="s">
        <v>32</v>
      </c>
      <c r="G25" s="80" t="s">
        <v>57</v>
      </c>
      <c r="H25" s="35" t="s">
        <v>76</v>
      </c>
      <c r="I25" s="80" t="s">
        <v>59</v>
      </c>
      <c r="J25" s="35" t="s">
        <v>35</v>
      </c>
      <c r="K25" s="35" t="s">
        <v>36</v>
      </c>
      <c r="L25" s="80" t="s">
        <v>37</v>
      </c>
      <c r="M25" s="35" t="s">
        <v>38</v>
      </c>
      <c r="O25" s="59">
        <v>17</v>
      </c>
      <c r="P25" s="59">
        <v>17</v>
      </c>
      <c r="Q25" s="56">
        <v>0</v>
      </c>
      <c r="R25" s="35" t="s">
        <v>39</v>
      </c>
      <c r="T25" s="35" t="s">
        <v>60</v>
      </c>
      <c r="U25" s="35" t="s">
        <v>61</v>
      </c>
    </row>
    <row r="26" spans="1:21">
      <c r="A26" s="59">
        <v>2023</v>
      </c>
      <c r="B26" s="35" t="s">
        <v>78</v>
      </c>
      <c r="C26" s="74">
        <v>29084</v>
      </c>
      <c r="D26" s="56">
        <v>26</v>
      </c>
      <c r="E26" s="76">
        <v>45103</v>
      </c>
      <c r="F26" s="35" t="s">
        <v>32</v>
      </c>
      <c r="G26" s="80" t="s">
        <v>57</v>
      </c>
      <c r="H26" s="35" t="s">
        <v>76</v>
      </c>
      <c r="I26" s="80" t="s">
        <v>59</v>
      </c>
      <c r="J26" s="35" t="s">
        <v>35</v>
      </c>
      <c r="K26" s="35" t="s">
        <v>36</v>
      </c>
      <c r="L26" s="80" t="s">
        <v>54</v>
      </c>
      <c r="M26" s="35" t="s">
        <v>38</v>
      </c>
      <c r="O26" s="59">
        <v>1</v>
      </c>
      <c r="P26" s="59">
        <v>1</v>
      </c>
      <c r="Q26" s="56">
        <v>0</v>
      </c>
      <c r="R26" s="35" t="s">
        <v>39</v>
      </c>
      <c r="T26" s="35" t="s">
        <v>70</v>
      </c>
      <c r="U26" s="35" t="s">
        <v>71</v>
      </c>
    </row>
    <row r="27" spans="1:21">
      <c r="A27" s="72">
        <v>2023</v>
      </c>
      <c r="B27" s="35" t="s">
        <v>79</v>
      </c>
      <c r="C27" s="74">
        <v>29085</v>
      </c>
      <c r="D27" s="56">
        <v>26</v>
      </c>
      <c r="E27" s="76">
        <v>45103</v>
      </c>
      <c r="F27" s="35" t="s">
        <v>32</v>
      </c>
      <c r="G27" s="80" t="s">
        <v>57</v>
      </c>
      <c r="H27" s="35" t="s">
        <v>80</v>
      </c>
      <c r="I27" s="80" t="s">
        <v>59</v>
      </c>
      <c r="J27" s="35" t="s">
        <v>74</v>
      </c>
      <c r="K27" s="35" t="s">
        <v>36</v>
      </c>
      <c r="L27" s="80" t="s">
        <v>54</v>
      </c>
      <c r="M27" s="35" t="s">
        <v>38</v>
      </c>
      <c r="N27" s="59">
        <v>18</v>
      </c>
      <c r="P27" s="59">
        <v>18</v>
      </c>
      <c r="Q27" s="56">
        <v>0</v>
      </c>
      <c r="R27" s="35" t="s">
        <v>39</v>
      </c>
      <c r="T27" s="35" t="s">
        <v>70</v>
      </c>
      <c r="U27" s="35" t="s">
        <v>71</v>
      </c>
    </row>
    <row r="28" spans="1:21">
      <c r="A28" s="72">
        <v>2023</v>
      </c>
      <c r="B28" s="80" t="s">
        <v>81</v>
      </c>
      <c r="C28" s="74">
        <v>29086</v>
      </c>
      <c r="D28" s="74">
        <v>26</v>
      </c>
      <c r="E28" s="76">
        <v>45103</v>
      </c>
      <c r="F28" s="80" t="s">
        <v>32</v>
      </c>
      <c r="G28" s="80" t="s">
        <v>57</v>
      </c>
      <c r="H28" s="80" t="s">
        <v>82</v>
      </c>
      <c r="I28" s="35" t="s">
        <v>59</v>
      </c>
      <c r="J28" s="80" t="s">
        <v>74</v>
      </c>
      <c r="K28" s="80" t="s">
        <v>36</v>
      </c>
      <c r="L28" s="80" t="s">
        <v>54</v>
      </c>
      <c r="M28" s="80" t="s">
        <v>38</v>
      </c>
      <c r="N28" s="80">
        <v>10</v>
      </c>
      <c r="O28" s="80"/>
      <c r="P28" s="80">
        <v>10</v>
      </c>
      <c r="Q28" s="56">
        <v>0</v>
      </c>
      <c r="R28" s="35" t="s">
        <v>39</v>
      </c>
      <c r="T28" s="35" t="s">
        <v>70</v>
      </c>
      <c r="U28" s="35" t="s">
        <v>71</v>
      </c>
    </row>
    <row r="29" spans="1:21">
      <c r="A29" s="59">
        <v>2023</v>
      </c>
      <c r="B29" s="80" t="s">
        <v>83</v>
      </c>
      <c r="C29" s="74">
        <v>29087</v>
      </c>
      <c r="D29" s="74">
        <v>26</v>
      </c>
      <c r="E29" s="76">
        <v>45103</v>
      </c>
      <c r="F29" s="80" t="s">
        <v>32</v>
      </c>
      <c r="G29" s="80" t="s">
        <v>57</v>
      </c>
      <c r="H29" s="80" t="s">
        <v>84</v>
      </c>
      <c r="I29" s="35" t="s">
        <v>59</v>
      </c>
      <c r="J29" s="80" t="s">
        <v>74</v>
      </c>
      <c r="K29" s="80" t="s">
        <v>36</v>
      </c>
      <c r="L29" s="80" t="s">
        <v>54</v>
      </c>
      <c r="M29" s="80" t="s">
        <v>38</v>
      </c>
      <c r="N29" s="80">
        <v>24</v>
      </c>
      <c r="O29" s="80"/>
      <c r="P29" s="80">
        <v>24</v>
      </c>
      <c r="Q29" s="56">
        <v>0</v>
      </c>
      <c r="R29" s="35" t="s">
        <v>39</v>
      </c>
      <c r="T29" s="35" t="s">
        <v>70</v>
      </c>
      <c r="U29" s="35" t="s">
        <v>71</v>
      </c>
    </row>
    <row r="30" spans="1:21">
      <c r="A30" s="59">
        <v>2023</v>
      </c>
      <c r="B30" s="80" t="s">
        <v>85</v>
      </c>
      <c r="C30" s="74">
        <v>29088</v>
      </c>
      <c r="D30" s="74">
        <v>26</v>
      </c>
      <c r="E30" s="76">
        <v>45103</v>
      </c>
      <c r="F30" s="80" t="s">
        <v>32</v>
      </c>
      <c r="G30" s="80" t="s">
        <v>57</v>
      </c>
      <c r="H30" s="80" t="s">
        <v>86</v>
      </c>
      <c r="I30" s="35" t="s">
        <v>87</v>
      </c>
      <c r="J30" s="80" t="s">
        <v>35</v>
      </c>
      <c r="K30" s="80" t="s">
        <v>36</v>
      </c>
      <c r="L30" s="80" t="s">
        <v>37</v>
      </c>
      <c r="M30" s="80" t="s">
        <v>38</v>
      </c>
      <c r="N30" s="80"/>
      <c r="O30" s="80">
        <v>50</v>
      </c>
      <c r="P30" s="80">
        <v>50</v>
      </c>
      <c r="Q30" s="56">
        <v>0</v>
      </c>
      <c r="R30" s="35" t="s">
        <v>39</v>
      </c>
      <c r="T30" s="35" t="s">
        <v>60</v>
      </c>
      <c r="U30" s="35" t="s">
        <v>88</v>
      </c>
    </row>
    <row r="31" spans="1:21">
      <c r="A31" s="59">
        <v>2023</v>
      </c>
      <c r="B31" s="80" t="s">
        <v>89</v>
      </c>
      <c r="C31" s="74">
        <v>29089</v>
      </c>
      <c r="D31" s="74">
        <v>26</v>
      </c>
      <c r="E31" s="76">
        <v>45103</v>
      </c>
      <c r="F31" s="80" t="s">
        <v>32</v>
      </c>
      <c r="G31" s="80" t="s">
        <v>57</v>
      </c>
      <c r="H31" s="80" t="s">
        <v>86</v>
      </c>
      <c r="I31" s="35" t="s">
        <v>87</v>
      </c>
      <c r="J31" s="80" t="s">
        <v>35</v>
      </c>
      <c r="K31" s="80" t="s">
        <v>36</v>
      </c>
      <c r="L31" s="80" t="s">
        <v>37</v>
      </c>
      <c r="M31" s="80" t="s">
        <v>38</v>
      </c>
      <c r="N31" s="80"/>
      <c r="O31" s="80">
        <v>9</v>
      </c>
      <c r="P31" s="80">
        <v>9</v>
      </c>
      <c r="Q31" s="56">
        <v>0</v>
      </c>
      <c r="R31" s="35" t="s">
        <v>39</v>
      </c>
      <c r="T31" s="35" t="s">
        <v>60</v>
      </c>
      <c r="U31" s="35" t="s">
        <v>88</v>
      </c>
    </row>
    <row r="32" spans="1:21">
      <c r="A32" s="80">
        <v>2023</v>
      </c>
      <c r="B32" s="80" t="s">
        <v>90</v>
      </c>
      <c r="C32" s="74">
        <v>29090</v>
      </c>
      <c r="D32" s="74">
        <v>26</v>
      </c>
      <c r="E32" s="76">
        <v>45103</v>
      </c>
      <c r="F32" s="80" t="s">
        <v>32</v>
      </c>
      <c r="G32" s="80" t="s">
        <v>57</v>
      </c>
      <c r="H32" s="80" t="s">
        <v>91</v>
      </c>
      <c r="I32" s="35" t="s">
        <v>59</v>
      </c>
      <c r="J32" s="80" t="s">
        <v>35</v>
      </c>
      <c r="K32" s="80" t="s">
        <v>36</v>
      </c>
      <c r="L32" s="80" t="s">
        <v>37</v>
      </c>
      <c r="M32" s="80" t="s">
        <v>38</v>
      </c>
      <c r="N32" s="80"/>
      <c r="O32" s="80">
        <v>50</v>
      </c>
      <c r="P32" s="80">
        <v>50</v>
      </c>
      <c r="Q32" s="56">
        <v>0</v>
      </c>
      <c r="R32" s="35" t="s">
        <v>39</v>
      </c>
      <c r="T32" s="35" t="s">
        <v>60</v>
      </c>
      <c r="U32" s="35" t="s">
        <v>61</v>
      </c>
    </row>
    <row r="33" spans="1:21">
      <c r="A33" s="80">
        <v>2023</v>
      </c>
      <c r="B33" s="80" t="s">
        <v>92</v>
      </c>
      <c r="C33" s="74">
        <v>29091</v>
      </c>
      <c r="D33" s="74">
        <v>26</v>
      </c>
      <c r="E33" s="76">
        <v>45103</v>
      </c>
      <c r="F33" s="80" t="s">
        <v>32</v>
      </c>
      <c r="G33" s="80" t="s">
        <v>57</v>
      </c>
      <c r="H33" s="80" t="s">
        <v>91</v>
      </c>
      <c r="I33" s="35" t="s">
        <v>59</v>
      </c>
      <c r="J33" s="80" t="s">
        <v>35</v>
      </c>
      <c r="K33" s="80" t="s">
        <v>36</v>
      </c>
      <c r="L33" s="80" t="s">
        <v>37</v>
      </c>
      <c r="M33" s="80" t="s">
        <v>38</v>
      </c>
      <c r="N33" s="80"/>
      <c r="O33" s="80">
        <v>50</v>
      </c>
      <c r="P33" s="80">
        <v>50</v>
      </c>
      <c r="Q33" s="56">
        <v>0</v>
      </c>
      <c r="R33" s="35" t="s">
        <v>39</v>
      </c>
      <c r="T33" s="35" t="s">
        <v>60</v>
      </c>
      <c r="U33" s="35" t="s">
        <v>61</v>
      </c>
    </row>
    <row r="34" spans="1:21">
      <c r="A34" s="80">
        <v>2023</v>
      </c>
      <c r="B34" s="80" t="s">
        <v>93</v>
      </c>
      <c r="C34" s="74">
        <v>29092</v>
      </c>
      <c r="D34" s="74">
        <v>26</v>
      </c>
      <c r="E34" s="76">
        <v>45103</v>
      </c>
      <c r="F34" s="80" t="s">
        <v>32</v>
      </c>
      <c r="G34" s="80" t="s">
        <v>57</v>
      </c>
      <c r="H34" s="80" t="s">
        <v>91</v>
      </c>
      <c r="I34" s="35" t="s">
        <v>59</v>
      </c>
      <c r="J34" s="80" t="s">
        <v>35</v>
      </c>
      <c r="K34" s="80" t="s">
        <v>36</v>
      </c>
      <c r="L34" s="80" t="s">
        <v>37</v>
      </c>
      <c r="M34" s="80" t="s">
        <v>38</v>
      </c>
      <c r="N34" s="80"/>
      <c r="O34" s="80">
        <v>18</v>
      </c>
      <c r="P34" s="80">
        <v>18</v>
      </c>
      <c r="Q34" s="56">
        <v>0</v>
      </c>
      <c r="R34" s="35" t="s">
        <v>39</v>
      </c>
      <c r="T34" s="35" t="s">
        <v>60</v>
      </c>
      <c r="U34" s="35" t="s">
        <v>61</v>
      </c>
    </row>
    <row r="35" spans="1:21">
      <c r="A35" s="80">
        <v>2023</v>
      </c>
      <c r="B35" s="80" t="s">
        <v>94</v>
      </c>
      <c r="C35" s="74">
        <v>29093</v>
      </c>
      <c r="D35" s="74">
        <v>26</v>
      </c>
      <c r="E35" s="76">
        <v>45103</v>
      </c>
      <c r="F35" s="80" t="s">
        <v>32</v>
      </c>
      <c r="G35" s="80" t="s">
        <v>57</v>
      </c>
      <c r="H35" s="80" t="s">
        <v>91</v>
      </c>
      <c r="I35" s="35" t="s">
        <v>59</v>
      </c>
      <c r="J35" s="80" t="s">
        <v>35</v>
      </c>
      <c r="K35" s="80" t="s">
        <v>36</v>
      </c>
      <c r="L35" s="80" t="s">
        <v>54</v>
      </c>
      <c r="M35" s="80" t="s">
        <v>38</v>
      </c>
      <c r="N35" s="80"/>
      <c r="O35" s="80">
        <v>23</v>
      </c>
      <c r="P35" s="80">
        <v>23</v>
      </c>
      <c r="Q35" s="56">
        <v>0</v>
      </c>
      <c r="R35" s="35" t="s">
        <v>39</v>
      </c>
      <c r="T35" s="35" t="s">
        <v>70</v>
      </c>
      <c r="U35" s="35" t="s">
        <v>71</v>
      </c>
    </row>
    <row r="36" spans="1:21">
      <c r="A36" s="80">
        <v>2023</v>
      </c>
      <c r="B36" s="80" t="s">
        <v>95</v>
      </c>
      <c r="C36" s="74">
        <v>29094</v>
      </c>
      <c r="D36" s="74">
        <v>26</v>
      </c>
      <c r="E36" s="76">
        <v>45103</v>
      </c>
      <c r="F36" s="80" t="s">
        <v>32</v>
      </c>
      <c r="G36" s="80" t="s">
        <v>57</v>
      </c>
      <c r="H36" s="80" t="s">
        <v>96</v>
      </c>
      <c r="I36" s="35" t="s">
        <v>59</v>
      </c>
      <c r="J36" s="80" t="s">
        <v>35</v>
      </c>
      <c r="K36" s="80" t="s">
        <v>36</v>
      </c>
      <c r="L36" s="80" t="s">
        <v>37</v>
      </c>
      <c r="M36" s="80" t="s">
        <v>38</v>
      </c>
      <c r="N36" s="80"/>
      <c r="O36" s="80">
        <v>50</v>
      </c>
      <c r="P36" s="80">
        <v>50</v>
      </c>
      <c r="Q36" s="56">
        <v>0</v>
      </c>
      <c r="R36" s="35" t="s">
        <v>39</v>
      </c>
      <c r="T36" s="35" t="s">
        <v>60</v>
      </c>
      <c r="U36" s="35" t="s">
        <v>61</v>
      </c>
    </row>
    <row r="37" spans="1:21">
      <c r="A37" s="80">
        <v>2023</v>
      </c>
      <c r="B37" s="80" t="s">
        <v>97</v>
      </c>
      <c r="C37" s="74">
        <v>29095</v>
      </c>
      <c r="D37" s="74">
        <v>26</v>
      </c>
      <c r="E37" s="76">
        <v>45103</v>
      </c>
      <c r="F37" s="80" t="s">
        <v>32</v>
      </c>
      <c r="G37" s="80" t="s">
        <v>57</v>
      </c>
      <c r="H37" s="80" t="s">
        <v>96</v>
      </c>
      <c r="I37" s="35" t="s">
        <v>59</v>
      </c>
      <c r="J37" s="80" t="s">
        <v>35</v>
      </c>
      <c r="K37" s="80" t="s">
        <v>36</v>
      </c>
      <c r="L37" s="80" t="s">
        <v>37</v>
      </c>
      <c r="M37" s="80" t="s">
        <v>38</v>
      </c>
      <c r="N37" s="80"/>
      <c r="O37" s="80">
        <v>50</v>
      </c>
      <c r="P37" s="80">
        <v>50</v>
      </c>
      <c r="Q37" s="56">
        <v>0</v>
      </c>
      <c r="R37" s="35" t="s">
        <v>39</v>
      </c>
      <c r="T37" s="35" t="s">
        <v>60</v>
      </c>
      <c r="U37" s="35" t="s">
        <v>61</v>
      </c>
    </row>
    <row r="38" spans="1:21">
      <c r="A38" s="80">
        <v>2023</v>
      </c>
      <c r="B38" s="80" t="s">
        <v>98</v>
      </c>
      <c r="C38" s="74">
        <v>29096</v>
      </c>
      <c r="D38" s="74">
        <v>26</v>
      </c>
      <c r="E38" s="76">
        <v>45103</v>
      </c>
      <c r="F38" s="80" t="s">
        <v>32</v>
      </c>
      <c r="G38" s="80" t="s">
        <v>57</v>
      </c>
      <c r="H38" s="80" t="s">
        <v>96</v>
      </c>
      <c r="I38" s="35" t="s">
        <v>59</v>
      </c>
      <c r="J38" s="80" t="s">
        <v>35</v>
      </c>
      <c r="K38" s="80" t="s">
        <v>36</v>
      </c>
      <c r="L38" s="80" t="s">
        <v>37</v>
      </c>
      <c r="M38" s="80" t="s">
        <v>38</v>
      </c>
      <c r="N38" s="80"/>
      <c r="O38" s="80">
        <v>50</v>
      </c>
      <c r="P38" s="80">
        <v>50</v>
      </c>
      <c r="Q38" s="56">
        <v>0</v>
      </c>
      <c r="R38" s="35" t="s">
        <v>39</v>
      </c>
      <c r="T38" s="35" t="s">
        <v>60</v>
      </c>
      <c r="U38" s="35" t="s">
        <v>61</v>
      </c>
    </row>
    <row r="39" spans="1:21">
      <c r="A39" s="80">
        <v>2023</v>
      </c>
      <c r="B39" s="80" t="s">
        <v>99</v>
      </c>
      <c r="C39" s="74">
        <v>29097</v>
      </c>
      <c r="D39" s="74">
        <v>26</v>
      </c>
      <c r="E39" s="76">
        <v>45103</v>
      </c>
      <c r="F39" s="80" t="s">
        <v>32</v>
      </c>
      <c r="G39" s="80" t="s">
        <v>57</v>
      </c>
      <c r="H39" s="80" t="s">
        <v>96</v>
      </c>
      <c r="I39" s="35" t="s">
        <v>59</v>
      </c>
      <c r="J39" s="80" t="s">
        <v>35</v>
      </c>
      <c r="K39" s="80" t="s">
        <v>36</v>
      </c>
      <c r="L39" s="80" t="s">
        <v>37</v>
      </c>
      <c r="M39" s="80" t="s">
        <v>38</v>
      </c>
      <c r="N39" s="80"/>
      <c r="O39" s="80">
        <v>50</v>
      </c>
      <c r="P39" s="80">
        <v>50</v>
      </c>
      <c r="Q39" s="56">
        <v>0</v>
      </c>
      <c r="R39" s="35" t="s">
        <v>39</v>
      </c>
      <c r="T39" s="35" t="s">
        <v>60</v>
      </c>
      <c r="U39" s="35" t="s">
        <v>61</v>
      </c>
    </row>
    <row r="40" spans="1:21">
      <c r="A40" s="80">
        <v>2023</v>
      </c>
      <c r="B40" s="80" t="s">
        <v>100</v>
      </c>
      <c r="C40" s="74">
        <v>29098</v>
      </c>
      <c r="D40" s="74">
        <v>26</v>
      </c>
      <c r="E40" s="76">
        <v>45103</v>
      </c>
      <c r="F40" s="80" t="s">
        <v>32</v>
      </c>
      <c r="G40" s="80" t="s">
        <v>57</v>
      </c>
      <c r="H40" s="80" t="s">
        <v>96</v>
      </c>
      <c r="I40" s="35" t="s">
        <v>59</v>
      </c>
      <c r="J40" s="80" t="s">
        <v>35</v>
      </c>
      <c r="K40" s="80" t="s">
        <v>36</v>
      </c>
      <c r="L40" s="80" t="s">
        <v>37</v>
      </c>
      <c r="M40" s="80" t="s">
        <v>38</v>
      </c>
      <c r="N40" s="80"/>
      <c r="O40" s="80">
        <v>12</v>
      </c>
      <c r="P40" s="80">
        <v>12</v>
      </c>
      <c r="Q40" s="56">
        <v>0</v>
      </c>
      <c r="R40" s="35" t="s">
        <v>39</v>
      </c>
      <c r="T40" s="35" t="s">
        <v>60</v>
      </c>
      <c r="U40" s="35" t="s">
        <v>61</v>
      </c>
    </row>
    <row r="41" spans="1:21">
      <c r="A41" s="80">
        <v>2023</v>
      </c>
      <c r="B41" s="80" t="s">
        <v>101</v>
      </c>
      <c r="C41" s="74">
        <v>29099</v>
      </c>
      <c r="D41" s="74">
        <v>26</v>
      </c>
      <c r="E41" s="76">
        <v>45103</v>
      </c>
      <c r="F41" s="80" t="s">
        <v>32</v>
      </c>
      <c r="G41" s="80" t="s">
        <v>57</v>
      </c>
      <c r="H41" s="80" t="s">
        <v>96</v>
      </c>
      <c r="I41" s="35" t="s">
        <v>59</v>
      </c>
      <c r="J41" s="80" t="s">
        <v>35</v>
      </c>
      <c r="K41" s="80" t="s">
        <v>36</v>
      </c>
      <c r="L41" s="80" t="s">
        <v>54</v>
      </c>
      <c r="M41" s="80" t="s">
        <v>38</v>
      </c>
      <c r="N41" s="80"/>
      <c r="O41" s="80">
        <v>16</v>
      </c>
      <c r="P41" s="80">
        <v>16</v>
      </c>
      <c r="Q41" s="56">
        <v>0</v>
      </c>
      <c r="R41" s="35" t="s">
        <v>39</v>
      </c>
      <c r="T41" s="35" t="s">
        <v>70</v>
      </c>
      <c r="U41" s="35" t="s">
        <v>71</v>
      </c>
    </row>
    <row r="42" spans="1:21">
      <c r="A42" s="80">
        <v>2023</v>
      </c>
      <c r="B42" s="80" t="s">
        <v>102</v>
      </c>
      <c r="C42" s="74">
        <v>29100</v>
      </c>
      <c r="D42" s="74">
        <v>26</v>
      </c>
      <c r="E42" s="76">
        <v>45103</v>
      </c>
      <c r="F42" s="80" t="s">
        <v>32</v>
      </c>
      <c r="G42" s="80" t="s">
        <v>57</v>
      </c>
      <c r="H42" s="80" t="s">
        <v>103</v>
      </c>
      <c r="I42" s="35" t="s">
        <v>59</v>
      </c>
      <c r="J42" s="80" t="s">
        <v>35</v>
      </c>
      <c r="K42" s="80" t="s">
        <v>36</v>
      </c>
      <c r="L42" s="80" t="s">
        <v>37</v>
      </c>
      <c r="M42" s="80" t="s">
        <v>38</v>
      </c>
      <c r="N42" s="80"/>
      <c r="O42" s="80">
        <v>50</v>
      </c>
      <c r="P42" s="80">
        <v>50</v>
      </c>
      <c r="Q42" s="56">
        <v>0</v>
      </c>
      <c r="R42" s="35" t="s">
        <v>39</v>
      </c>
      <c r="T42" s="35" t="s">
        <v>60</v>
      </c>
      <c r="U42" s="35" t="s">
        <v>61</v>
      </c>
    </row>
    <row r="43" spans="1:21">
      <c r="A43" s="80">
        <v>2023</v>
      </c>
      <c r="B43" s="80" t="s">
        <v>104</v>
      </c>
      <c r="C43" s="74">
        <v>29101</v>
      </c>
      <c r="D43" s="74">
        <v>26</v>
      </c>
      <c r="E43" s="76">
        <v>45103</v>
      </c>
      <c r="F43" s="80" t="s">
        <v>32</v>
      </c>
      <c r="G43" s="80" t="s">
        <v>57</v>
      </c>
      <c r="H43" s="80" t="s">
        <v>103</v>
      </c>
      <c r="I43" s="35" t="s">
        <v>59</v>
      </c>
      <c r="J43" s="80" t="s">
        <v>35</v>
      </c>
      <c r="K43" s="80" t="s">
        <v>36</v>
      </c>
      <c r="L43" s="80" t="s">
        <v>37</v>
      </c>
      <c r="M43" s="80" t="s">
        <v>38</v>
      </c>
      <c r="N43" s="80"/>
      <c r="O43" s="80">
        <v>36</v>
      </c>
      <c r="P43" s="80">
        <v>36</v>
      </c>
      <c r="Q43" s="56">
        <v>0</v>
      </c>
      <c r="R43" s="35" t="s">
        <v>39</v>
      </c>
      <c r="T43" s="35" t="s">
        <v>60</v>
      </c>
      <c r="U43" s="35" t="s">
        <v>61</v>
      </c>
    </row>
    <row r="44" spans="1:21">
      <c r="A44" s="80">
        <v>2023</v>
      </c>
      <c r="B44" s="80" t="s">
        <v>105</v>
      </c>
      <c r="C44" s="74">
        <v>29102</v>
      </c>
      <c r="D44" s="74">
        <v>26</v>
      </c>
      <c r="E44" s="76">
        <v>45103</v>
      </c>
      <c r="F44" s="80" t="s">
        <v>32</v>
      </c>
      <c r="G44" s="80" t="s">
        <v>57</v>
      </c>
      <c r="H44" s="80" t="s">
        <v>106</v>
      </c>
      <c r="I44" s="35" t="s">
        <v>59</v>
      </c>
      <c r="J44" s="80" t="s">
        <v>35</v>
      </c>
      <c r="K44" s="80" t="s">
        <v>36</v>
      </c>
      <c r="L44" s="80" t="s">
        <v>37</v>
      </c>
      <c r="M44" s="80" t="s">
        <v>38</v>
      </c>
      <c r="N44" s="80"/>
      <c r="O44" s="80">
        <v>50</v>
      </c>
      <c r="P44" s="80">
        <v>50</v>
      </c>
      <c r="Q44" s="56">
        <v>0</v>
      </c>
      <c r="R44" s="35" t="s">
        <v>39</v>
      </c>
      <c r="T44" s="35" t="s">
        <v>60</v>
      </c>
      <c r="U44" s="35" t="s">
        <v>61</v>
      </c>
    </row>
    <row r="45" spans="1:21">
      <c r="A45" s="80">
        <v>2023</v>
      </c>
      <c r="B45" s="80" t="s">
        <v>107</v>
      </c>
      <c r="C45" s="74">
        <v>29103</v>
      </c>
      <c r="D45" s="74">
        <v>26</v>
      </c>
      <c r="E45" s="76">
        <v>45103</v>
      </c>
      <c r="F45" s="80" t="s">
        <v>32</v>
      </c>
      <c r="G45" s="80" t="s">
        <v>57</v>
      </c>
      <c r="H45" s="80" t="s">
        <v>106</v>
      </c>
      <c r="I45" s="35" t="s">
        <v>59</v>
      </c>
      <c r="J45" s="80" t="s">
        <v>35</v>
      </c>
      <c r="K45" s="80" t="s">
        <v>36</v>
      </c>
      <c r="L45" s="80" t="s">
        <v>37</v>
      </c>
      <c r="M45" s="80" t="s">
        <v>38</v>
      </c>
      <c r="N45" s="80"/>
      <c r="O45" s="80">
        <v>26</v>
      </c>
      <c r="P45" s="80">
        <v>26</v>
      </c>
      <c r="Q45" s="56">
        <v>0</v>
      </c>
      <c r="R45" s="35" t="s">
        <v>39</v>
      </c>
      <c r="T45" s="35" t="s">
        <v>60</v>
      </c>
      <c r="U45" s="35" t="s">
        <v>61</v>
      </c>
    </row>
    <row r="46" spans="1:21">
      <c r="A46" s="80">
        <v>2023</v>
      </c>
      <c r="B46" s="80" t="s">
        <v>108</v>
      </c>
      <c r="C46" s="74">
        <v>29104</v>
      </c>
      <c r="D46" s="74">
        <v>26</v>
      </c>
      <c r="E46" s="76">
        <v>45103</v>
      </c>
      <c r="F46" s="80" t="s">
        <v>32</v>
      </c>
      <c r="G46" s="80" t="s">
        <v>57</v>
      </c>
      <c r="H46" s="80" t="s">
        <v>106</v>
      </c>
      <c r="I46" s="35" t="s">
        <v>59</v>
      </c>
      <c r="J46" s="80" t="s">
        <v>35</v>
      </c>
      <c r="K46" s="80" t="s">
        <v>36</v>
      </c>
      <c r="L46" s="80" t="s">
        <v>54</v>
      </c>
      <c r="M46" s="80" t="s">
        <v>38</v>
      </c>
      <c r="N46" s="80"/>
      <c r="O46" s="80">
        <v>4</v>
      </c>
      <c r="P46" s="80">
        <v>4</v>
      </c>
      <c r="Q46" s="56">
        <v>0</v>
      </c>
      <c r="R46" s="35" t="s">
        <v>39</v>
      </c>
      <c r="T46" s="35" t="s">
        <v>70</v>
      </c>
      <c r="U46" s="35" t="s">
        <v>71</v>
      </c>
    </row>
    <row r="47" spans="1:21">
      <c r="A47" s="80">
        <v>2023</v>
      </c>
      <c r="B47" s="80" t="s">
        <v>109</v>
      </c>
      <c r="C47" s="74">
        <v>29105</v>
      </c>
      <c r="D47" s="74">
        <v>26</v>
      </c>
      <c r="E47" s="76">
        <v>45103</v>
      </c>
      <c r="F47" s="80" t="s">
        <v>32</v>
      </c>
      <c r="G47" s="80" t="s">
        <v>57</v>
      </c>
      <c r="H47" s="80" t="s">
        <v>110</v>
      </c>
      <c r="I47" s="35" t="s">
        <v>59</v>
      </c>
      <c r="J47" s="80" t="s">
        <v>35</v>
      </c>
      <c r="K47" s="80" t="s">
        <v>36</v>
      </c>
      <c r="L47" s="80" t="s">
        <v>37</v>
      </c>
      <c r="M47" s="80" t="s">
        <v>38</v>
      </c>
      <c r="N47" s="80"/>
      <c r="O47" s="80">
        <v>50</v>
      </c>
      <c r="P47" s="80">
        <v>50</v>
      </c>
      <c r="Q47" s="56">
        <v>0</v>
      </c>
      <c r="R47" s="35" t="s">
        <v>39</v>
      </c>
      <c r="T47" s="35" t="s">
        <v>60</v>
      </c>
      <c r="U47" s="35" t="s">
        <v>61</v>
      </c>
    </row>
    <row r="48" spans="1:21">
      <c r="A48" s="80">
        <v>2023</v>
      </c>
      <c r="B48" s="80" t="s">
        <v>111</v>
      </c>
      <c r="C48" s="74">
        <v>29106</v>
      </c>
      <c r="D48" s="74">
        <v>26</v>
      </c>
      <c r="E48" s="76">
        <v>45103</v>
      </c>
      <c r="F48" s="80" t="s">
        <v>32</v>
      </c>
      <c r="G48" s="80" t="s">
        <v>57</v>
      </c>
      <c r="H48" s="80" t="s">
        <v>110</v>
      </c>
      <c r="I48" s="35" t="s">
        <v>59</v>
      </c>
      <c r="J48" s="80" t="s">
        <v>35</v>
      </c>
      <c r="K48" s="80" t="s">
        <v>36</v>
      </c>
      <c r="L48" s="80" t="s">
        <v>37</v>
      </c>
      <c r="M48" s="80" t="s">
        <v>38</v>
      </c>
      <c r="N48" s="80"/>
      <c r="O48" s="80">
        <v>50</v>
      </c>
      <c r="P48" s="80">
        <v>50</v>
      </c>
      <c r="Q48" s="56">
        <v>0</v>
      </c>
      <c r="R48" s="35" t="s">
        <v>39</v>
      </c>
      <c r="T48" s="35" t="s">
        <v>60</v>
      </c>
      <c r="U48" s="35" t="s">
        <v>61</v>
      </c>
    </row>
    <row r="49" spans="1:21">
      <c r="A49" s="80">
        <v>2023</v>
      </c>
      <c r="B49" s="80" t="s">
        <v>112</v>
      </c>
      <c r="C49" s="74">
        <v>29107</v>
      </c>
      <c r="D49" s="74">
        <v>26</v>
      </c>
      <c r="E49" s="76">
        <v>45103</v>
      </c>
      <c r="F49" s="80" t="s">
        <v>32</v>
      </c>
      <c r="G49" s="80" t="s">
        <v>57</v>
      </c>
      <c r="H49" s="80" t="s">
        <v>110</v>
      </c>
      <c r="I49" s="35" t="s">
        <v>59</v>
      </c>
      <c r="J49" s="80" t="s">
        <v>35</v>
      </c>
      <c r="K49" s="80" t="s">
        <v>36</v>
      </c>
      <c r="L49" s="80" t="s">
        <v>37</v>
      </c>
      <c r="M49" s="80" t="s">
        <v>38</v>
      </c>
      <c r="N49" s="80"/>
      <c r="O49" s="80">
        <v>20</v>
      </c>
      <c r="P49" s="80">
        <v>20</v>
      </c>
      <c r="Q49" s="56">
        <v>0</v>
      </c>
      <c r="R49" s="35" t="s">
        <v>39</v>
      </c>
      <c r="T49" s="35" t="s">
        <v>60</v>
      </c>
      <c r="U49" s="35" t="s">
        <v>61</v>
      </c>
    </row>
    <row r="50" spans="1:21">
      <c r="A50" s="80">
        <v>2023</v>
      </c>
      <c r="B50" s="80" t="s">
        <v>113</v>
      </c>
      <c r="C50" s="74">
        <v>29108</v>
      </c>
      <c r="D50" s="74">
        <v>26</v>
      </c>
      <c r="E50" s="76">
        <v>45103</v>
      </c>
      <c r="F50" s="80" t="s">
        <v>32</v>
      </c>
      <c r="G50" s="80" t="s">
        <v>57</v>
      </c>
      <c r="H50" s="80" t="s">
        <v>110</v>
      </c>
      <c r="I50" s="35" t="s">
        <v>59</v>
      </c>
      <c r="J50" s="80" t="s">
        <v>35</v>
      </c>
      <c r="K50" s="80" t="s">
        <v>36</v>
      </c>
      <c r="L50" s="80" t="s">
        <v>54</v>
      </c>
      <c r="M50" s="80" t="s">
        <v>38</v>
      </c>
      <c r="N50" s="80"/>
      <c r="O50" s="80">
        <v>30</v>
      </c>
      <c r="P50" s="80">
        <v>30</v>
      </c>
      <c r="Q50" s="56">
        <v>0</v>
      </c>
      <c r="R50" s="35" t="s">
        <v>39</v>
      </c>
      <c r="T50" s="35" t="s">
        <v>70</v>
      </c>
      <c r="U50" s="35" t="s">
        <v>71</v>
      </c>
    </row>
    <row r="51" spans="1:21">
      <c r="A51" s="81">
        <v>2023</v>
      </c>
      <c r="B51" s="80" t="s">
        <v>114</v>
      </c>
      <c r="C51" s="74">
        <v>29109</v>
      </c>
      <c r="D51" s="74">
        <v>26</v>
      </c>
      <c r="E51" s="76">
        <v>45103</v>
      </c>
      <c r="F51" s="80" t="s">
        <v>32</v>
      </c>
      <c r="G51" s="80" t="s">
        <v>57</v>
      </c>
      <c r="H51" s="80" t="s">
        <v>115</v>
      </c>
      <c r="I51" s="35" t="s">
        <v>59</v>
      </c>
      <c r="J51" s="80" t="s">
        <v>35</v>
      </c>
      <c r="K51" s="80" t="s">
        <v>36</v>
      </c>
      <c r="L51" s="80" t="s">
        <v>37</v>
      </c>
      <c r="M51" s="80" t="s">
        <v>38</v>
      </c>
      <c r="N51" s="80"/>
      <c r="O51" s="80">
        <v>50</v>
      </c>
      <c r="P51" s="80">
        <v>50</v>
      </c>
      <c r="Q51" s="56">
        <v>0</v>
      </c>
      <c r="R51" s="35" t="s">
        <v>39</v>
      </c>
      <c r="T51" s="35" t="s">
        <v>60</v>
      </c>
      <c r="U51" s="35" t="s">
        <v>61</v>
      </c>
    </row>
    <row r="52" spans="1:21">
      <c r="A52" s="81">
        <v>2023</v>
      </c>
      <c r="B52" s="80" t="s">
        <v>116</v>
      </c>
      <c r="C52" s="74">
        <v>29110</v>
      </c>
      <c r="D52" s="74">
        <v>26</v>
      </c>
      <c r="E52" s="76">
        <v>45103</v>
      </c>
      <c r="F52" s="80" t="s">
        <v>32</v>
      </c>
      <c r="G52" s="80" t="s">
        <v>57</v>
      </c>
      <c r="H52" s="80" t="s">
        <v>115</v>
      </c>
      <c r="I52" s="35" t="s">
        <v>59</v>
      </c>
      <c r="J52" s="80" t="s">
        <v>35</v>
      </c>
      <c r="K52" s="80" t="s">
        <v>36</v>
      </c>
      <c r="L52" s="80" t="s">
        <v>37</v>
      </c>
      <c r="M52" s="80" t="s">
        <v>38</v>
      </c>
      <c r="N52" s="80"/>
      <c r="O52" s="80">
        <v>50</v>
      </c>
      <c r="P52" s="80">
        <v>50</v>
      </c>
      <c r="Q52" s="56">
        <v>0</v>
      </c>
      <c r="R52" s="35" t="s">
        <v>39</v>
      </c>
      <c r="T52" s="35" t="s">
        <v>60</v>
      </c>
      <c r="U52" s="35" t="s">
        <v>61</v>
      </c>
    </row>
    <row r="53" spans="1:21">
      <c r="A53" s="81">
        <v>2023</v>
      </c>
      <c r="B53" s="80" t="s">
        <v>117</v>
      </c>
      <c r="C53" s="74">
        <v>29111</v>
      </c>
      <c r="D53" s="74">
        <v>26</v>
      </c>
      <c r="E53" s="76">
        <v>45103</v>
      </c>
      <c r="F53" s="80" t="s">
        <v>32</v>
      </c>
      <c r="G53" s="80" t="s">
        <v>57</v>
      </c>
      <c r="H53" s="80" t="s">
        <v>115</v>
      </c>
      <c r="I53" s="35" t="s">
        <v>59</v>
      </c>
      <c r="J53" s="80" t="s">
        <v>35</v>
      </c>
      <c r="K53" s="80" t="s">
        <v>36</v>
      </c>
      <c r="L53" s="80" t="s">
        <v>37</v>
      </c>
      <c r="M53" s="80" t="s">
        <v>38</v>
      </c>
      <c r="N53" s="80"/>
      <c r="O53" s="80">
        <v>50</v>
      </c>
      <c r="P53" s="80">
        <v>50</v>
      </c>
      <c r="Q53" s="56">
        <v>0</v>
      </c>
      <c r="R53" s="35" t="s">
        <v>39</v>
      </c>
      <c r="T53" s="35" t="s">
        <v>60</v>
      </c>
      <c r="U53" s="35" t="s">
        <v>61</v>
      </c>
    </row>
    <row r="54" spans="1:21">
      <c r="A54" s="81">
        <v>2023</v>
      </c>
      <c r="B54" s="80" t="s">
        <v>118</v>
      </c>
      <c r="C54" s="74">
        <v>29112</v>
      </c>
      <c r="D54" s="74">
        <v>26</v>
      </c>
      <c r="E54" s="76">
        <v>45103</v>
      </c>
      <c r="F54" s="80" t="s">
        <v>32</v>
      </c>
      <c r="G54" s="80" t="s">
        <v>57</v>
      </c>
      <c r="H54" s="80" t="s">
        <v>115</v>
      </c>
      <c r="I54" s="35" t="s">
        <v>59</v>
      </c>
      <c r="J54" s="80" t="s">
        <v>35</v>
      </c>
      <c r="K54" s="80" t="s">
        <v>36</v>
      </c>
      <c r="L54" s="80" t="s">
        <v>37</v>
      </c>
      <c r="M54" s="80" t="s">
        <v>38</v>
      </c>
      <c r="N54" s="80"/>
      <c r="O54" s="80">
        <v>11</v>
      </c>
      <c r="P54" s="80">
        <v>11</v>
      </c>
      <c r="Q54" s="56">
        <v>0</v>
      </c>
      <c r="R54" s="35" t="s">
        <v>39</v>
      </c>
      <c r="T54" s="35" t="s">
        <v>60</v>
      </c>
      <c r="U54" s="35" t="s">
        <v>61</v>
      </c>
    </row>
    <row r="55" spans="1:21">
      <c r="A55" s="81">
        <v>2023</v>
      </c>
      <c r="B55" s="80" t="s">
        <v>119</v>
      </c>
      <c r="C55" s="74">
        <v>29113</v>
      </c>
      <c r="D55" s="74">
        <v>26</v>
      </c>
      <c r="E55" s="76">
        <v>45103</v>
      </c>
      <c r="F55" s="80" t="s">
        <v>32</v>
      </c>
      <c r="G55" s="80" t="s">
        <v>57</v>
      </c>
      <c r="H55" s="80" t="s">
        <v>115</v>
      </c>
      <c r="I55" s="35" t="s">
        <v>59</v>
      </c>
      <c r="J55" s="80" t="s">
        <v>35</v>
      </c>
      <c r="K55" s="80" t="s">
        <v>36</v>
      </c>
      <c r="L55" s="80" t="s">
        <v>54</v>
      </c>
      <c r="M55" s="80" t="s">
        <v>38</v>
      </c>
      <c r="N55" s="80"/>
      <c r="O55" s="80">
        <v>11</v>
      </c>
      <c r="P55" s="80">
        <v>11</v>
      </c>
      <c r="Q55" s="56">
        <v>0</v>
      </c>
      <c r="R55" s="35" t="s">
        <v>39</v>
      </c>
      <c r="T55" s="35" t="s">
        <v>70</v>
      </c>
      <c r="U55" s="35" t="s">
        <v>71</v>
      </c>
    </row>
    <row r="56" spans="1:21">
      <c r="A56" s="81">
        <v>2023</v>
      </c>
      <c r="B56" s="80" t="s">
        <v>120</v>
      </c>
      <c r="C56" s="74">
        <v>29114</v>
      </c>
      <c r="D56" s="74">
        <v>26</v>
      </c>
      <c r="E56" s="76">
        <v>45103</v>
      </c>
      <c r="F56" s="80" t="s">
        <v>32</v>
      </c>
      <c r="G56" s="80" t="s">
        <v>57</v>
      </c>
      <c r="H56" s="80" t="s">
        <v>121</v>
      </c>
      <c r="I56" s="35" t="s">
        <v>59</v>
      </c>
      <c r="J56" s="80" t="s">
        <v>35</v>
      </c>
      <c r="K56" s="80" t="s">
        <v>36</v>
      </c>
      <c r="L56" s="80" t="s">
        <v>37</v>
      </c>
      <c r="M56" s="80" t="s">
        <v>38</v>
      </c>
      <c r="N56" s="80"/>
      <c r="O56" s="80">
        <v>29</v>
      </c>
      <c r="P56" s="80">
        <v>29</v>
      </c>
      <c r="Q56" s="56">
        <v>0</v>
      </c>
      <c r="R56" s="35" t="s">
        <v>39</v>
      </c>
      <c r="T56" s="35" t="s">
        <v>60</v>
      </c>
      <c r="U56" s="35" t="s">
        <v>61</v>
      </c>
    </row>
    <row r="57" spans="1:21">
      <c r="A57" s="61">
        <v>2023</v>
      </c>
      <c r="B57" s="80" t="s">
        <v>122</v>
      </c>
      <c r="C57" s="74">
        <v>29115</v>
      </c>
      <c r="D57" s="74">
        <v>26</v>
      </c>
      <c r="E57" s="76">
        <v>45103</v>
      </c>
      <c r="F57" s="80" t="s">
        <v>32</v>
      </c>
      <c r="G57" s="80" t="s">
        <v>57</v>
      </c>
      <c r="H57" s="80" t="s">
        <v>121</v>
      </c>
      <c r="I57" s="35" t="s">
        <v>59</v>
      </c>
      <c r="J57" s="80" t="s">
        <v>35</v>
      </c>
      <c r="K57" s="80" t="s">
        <v>36</v>
      </c>
      <c r="L57" s="80" t="s">
        <v>54</v>
      </c>
      <c r="M57" s="80" t="s">
        <v>38</v>
      </c>
      <c r="N57" s="80"/>
      <c r="O57" s="80">
        <v>4</v>
      </c>
      <c r="P57" s="80">
        <v>4</v>
      </c>
      <c r="Q57" s="56">
        <v>0</v>
      </c>
      <c r="R57" s="35" t="s">
        <v>39</v>
      </c>
      <c r="T57" s="35" t="s">
        <v>70</v>
      </c>
      <c r="U57" s="35" t="s">
        <v>71</v>
      </c>
    </row>
    <row r="58" spans="1:21">
      <c r="A58" s="61">
        <v>2023</v>
      </c>
      <c r="B58" s="80" t="s">
        <v>123</v>
      </c>
      <c r="C58" s="74">
        <v>29116</v>
      </c>
      <c r="D58" s="74">
        <v>26</v>
      </c>
      <c r="E58" s="76">
        <v>45104</v>
      </c>
      <c r="F58" s="80" t="s">
        <v>32</v>
      </c>
      <c r="G58" s="80" t="s">
        <v>33</v>
      </c>
      <c r="H58" s="80" t="s">
        <v>124</v>
      </c>
      <c r="I58" s="35" t="s">
        <v>33</v>
      </c>
      <c r="J58" s="80" t="s">
        <v>35</v>
      </c>
      <c r="K58" s="80" t="s">
        <v>36</v>
      </c>
      <c r="L58" s="80" t="s">
        <v>37</v>
      </c>
      <c r="M58" s="80" t="s">
        <v>38</v>
      </c>
      <c r="N58" s="80"/>
      <c r="O58" s="80">
        <v>23</v>
      </c>
      <c r="P58" s="80">
        <v>23</v>
      </c>
      <c r="Q58" s="56">
        <v>0</v>
      </c>
      <c r="R58" s="35" t="s">
        <v>39</v>
      </c>
      <c r="T58" s="35" t="s">
        <v>40</v>
      </c>
      <c r="U58" s="35" t="s">
        <v>40</v>
      </c>
    </row>
    <row r="59" spans="1:21">
      <c r="A59" s="61">
        <v>2023</v>
      </c>
      <c r="B59" s="80" t="s">
        <v>125</v>
      </c>
      <c r="C59" s="74">
        <v>29117</v>
      </c>
      <c r="D59" s="74">
        <v>26</v>
      </c>
      <c r="E59" s="76">
        <v>45104</v>
      </c>
      <c r="F59" s="80" t="s">
        <v>32</v>
      </c>
      <c r="G59" s="80" t="s">
        <v>33</v>
      </c>
      <c r="H59" s="80" t="s">
        <v>126</v>
      </c>
      <c r="I59" s="35" t="s">
        <v>33</v>
      </c>
      <c r="J59" s="80" t="s">
        <v>35</v>
      </c>
      <c r="K59" s="80" t="s">
        <v>36</v>
      </c>
      <c r="L59" s="80" t="s">
        <v>37</v>
      </c>
      <c r="M59" s="80" t="s">
        <v>38</v>
      </c>
      <c r="N59" s="80"/>
      <c r="O59" s="80">
        <v>50</v>
      </c>
      <c r="P59" s="80">
        <v>50</v>
      </c>
      <c r="Q59" s="56">
        <v>0</v>
      </c>
      <c r="R59" s="35" t="s">
        <v>39</v>
      </c>
      <c r="T59" s="35" t="s">
        <v>40</v>
      </c>
      <c r="U59" s="35" t="s">
        <v>40</v>
      </c>
    </row>
    <row r="60" spans="1:21">
      <c r="A60" s="61">
        <v>2023</v>
      </c>
      <c r="B60" s="80" t="s">
        <v>127</v>
      </c>
      <c r="C60" s="74">
        <v>29118</v>
      </c>
      <c r="D60" s="74">
        <v>26</v>
      </c>
      <c r="E60" s="76">
        <v>45104</v>
      </c>
      <c r="F60" s="80" t="s">
        <v>32</v>
      </c>
      <c r="G60" s="80" t="s">
        <v>33</v>
      </c>
      <c r="H60" s="80" t="s">
        <v>126</v>
      </c>
      <c r="I60" s="35" t="s">
        <v>33</v>
      </c>
      <c r="J60" s="80" t="s">
        <v>35</v>
      </c>
      <c r="K60" s="80" t="s">
        <v>36</v>
      </c>
      <c r="L60" s="80" t="s">
        <v>37</v>
      </c>
      <c r="M60" s="80" t="s">
        <v>38</v>
      </c>
      <c r="N60" s="80"/>
      <c r="O60" s="80">
        <v>50</v>
      </c>
      <c r="P60" s="80">
        <v>50</v>
      </c>
      <c r="Q60" s="56">
        <v>0</v>
      </c>
      <c r="R60" s="35" t="s">
        <v>39</v>
      </c>
      <c r="T60" s="35" t="s">
        <v>40</v>
      </c>
      <c r="U60" s="35" t="s">
        <v>40</v>
      </c>
    </row>
    <row r="61" spans="1:21">
      <c r="A61" s="61">
        <v>2023</v>
      </c>
      <c r="B61" s="80" t="s">
        <v>128</v>
      </c>
      <c r="C61" s="74">
        <v>29119</v>
      </c>
      <c r="D61" s="74">
        <v>26</v>
      </c>
      <c r="E61" s="76">
        <v>45104</v>
      </c>
      <c r="F61" s="80" t="s">
        <v>32</v>
      </c>
      <c r="G61" s="80" t="s">
        <v>33</v>
      </c>
      <c r="H61" s="80" t="s">
        <v>126</v>
      </c>
      <c r="I61" s="80" t="s">
        <v>33</v>
      </c>
      <c r="J61" s="80" t="s">
        <v>35</v>
      </c>
      <c r="K61" s="80" t="s">
        <v>36</v>
      </c>
      <c r="L61" s="80" t="s">
        <v>37</v>
      </c>
      <c r="M61" s="80" t="s">
        <v>38</v>
      </c>
      <c r="N61" s="80"/>
      <c r="O61" s="80">
        <v>27</v>
      </c>
      <c r="P61" s="80">
        <v>27</v>
      </c>
      <c r="Q61" s="56">
        <v>0</v>
      </c>
      <c r="R61" s="35" t="s">
        <v>39</v>
      </c>
      <c r="T61" s="35" t="s">
        <v>40</v>
      </c>
      <c r="U61" s="35" t="s">
        <v>40</v>
      </c>
    </row>
    <row r="62" spans="1:21">
      <c r="A62" s="61">
        <v>2023</v>
      </c>
      <c r="B62" s="80" t="s">
        <v>129</v>
      </c>
      <c r="C62" s="74">
        <v>29120</v>
      </c>
      <c r="D62" s="74">
        <v>26</v>
      </c>
      <c r="E62" s="76">
        <v>45104</v>
      </c>
      <c r="F62" s="80" t="s">
        <v>32</v>
      </c>
      <c r="G62" s="80" t="s">
        <v>33</v>
      </c>
      <c r="H62" s="80" t="s">
        <v>126</v>
      </c>
      <c r="I62" s="80" t="s">
        <v>33</v>
      </c>
      <c r="J62" s="80" t="s">
        <v>35</v>
      </c>
      <c r="K62" s="80" t="s">
        <v>36</v>
      </c>
      <c r="L62" s="80" t="s">
        <v>54</v>
      </c>
      <c r="M62" s="80" t="s">
        <v>38</v>
      </c>
      <c r="N62" s="80"/>
      <c r="O62" s="80">
        <v>6</v>
      </c>
      <c r="P62" s="80">
        <v>6</v>
      </c>
      <c r="Q62" s="56">
        <v>0</v>
      </c>
      <c r="R62" s="35" t="s">
        <v>39</v>
      </c>
      <c r="T62" s="35" t="s">
        <v>55</v>
      </c>
      <c r="U62" s="35" t="s">
        <v>55</v>
      </c>
    </row>
    <row r="63" spans="1:21">
      <c r="A63" s="61">
        <v>2023</v>
      </c>
      <c r="B63" s="80" t="s">
        <v>130</v>
      </c>
      <c r="C63" s="74">
        <v>29121</v>
      </c>
      <c r="D63" s="74">
        <v>26</v>
      </c>
      <c r="E63" s="76">
        <v>45104</v>
      </c>
      <c r="F63" s="80" t="s">
        <v>32</v>
      </c>
      <c r="G63" s="80" t="s">
        <v>57</v>
      </c>
      <c r="H63" s="80" t="s">
        <v>131</v>
      </c>
      <c r="I63" s="80" t="s">
        <v>132</v>
      </c>
      <c r="J63" s="80" t="s">
        <v>35</v>
      </c>
      <c r="K63" s="80" t="s">
        <v>36</v>
      </c>
      <c r="L63" s="80" t="s">
        <v>37</v>
      </c>
      <c r="M63" s="80" t="s">
        <v>38</v>
      </c>
      <c r="N63" s="80"/>
      <c r="O63" s="80">
        <v>50</v>
      </c>
      <c r="P63" s="80">
        <v>50</v>
      </c>
      <c r="Q63" s="56">
        <v>0</v>
      </c>
      <c r="R63" s="35" t="s">
        <v>39</v>
      </c>
      <c r="T63" s="35" t="s">
        <v>60</v>
      </c>
      <c r="U63" s="35" t="s">
        <v>133</v>
      </c>
    </row>
    <row r="64" spans="1:21">
      <c r="A64" s="61">
        <v>2023</v>
      </c>
      <c r="B64" s="80" t="s">
        <v>134</v>
      </c>
      <c r="C64" s="74">
        <v>29122</v>
      </c>
      <c r="D64" s="74">
        <v>26</v>
      </c>
      <c r="E64" s="76">
        <v>45104</v>
      </c>
      <c r="F64" s="80" t="s">
        <v>32</v>
      </c>
      <c r="G64" s="80" t="s">
        <v>57</v>
      </c>
      <c r="H64" s="80" t="s">
        <v>131</v>
      </c>
      <c r="I64" s="80" t="s">
        <v>132</v>
      </c>
      <c r="J64" s="80" t="s">
        <v>35</v>
      </c>
      <c r="K64" s="80" t="s">
        <v>36</v>
      </c>
      <c r="L64" s="80" t="s">
        <v>37</v>
      </c>
      <c r="M64" s="80" t="s">
        <v>38</v>
      </c>
      <c r="N64" s="80"/>
      <c r="O64" s="80">
        <v>4</v>
      </c>
      <c r="P64" s="80">
        <v>4</v>
      </c>
      <c r="Q64" s="56">
        <v>0</v>
      </c>
      <c r="R64" s="35" t="s">
        <v>39</v>
      </c>
      <c r="T64" s="35" t="s">
        <v>60</v>
      </c>
      <c r="U64" s="35" t="s">
        <v>133</v>
      </c>
    </row>
    <row r="65" spans="1:21">
      <c r="A65" s="61">
        <v>2023</v>
      </c>
      <c r="B65" s="80" t="s">
        <v>135</v>
      </c>
      <c r="C65" s="74">
        <v>29123</v>
      </c>
      <c r="D65" s="74">
        <v>26</v>
      </c>
      <c r="E65" s="76">
        <v>45104</v>
      </c>
      <c r="F65" s="80" t="s">
        <v>32</v>
      </c>
      <c r="G65" s="80" t="s">
        <v>57</v>
      </c>
      <c r="H65" s="80" t="s">
        <v>136</v>
      </c>
      <c r="I65" s="80" t="s">
        <v>132</v>
      </c>
      <c r="J65" s="80" t="s">
        <v>35</v>
      </c>
      <c r="K65" s="80" t="s">
        <v>36</v>
      </c>
      <c r="L65" s="80" t="s">
        <v>37</v>
      </c>
      <c r="M65" s="80" t="s">
        <v>38</v>
      </c>
      <c r="N65" s="80"/>
      <c r="O65" s="80">
        <v>50</v>
      </c>
      <c r="P65" s="80">
        <v>50</v>
      </c>
      <c r="Q65" s="56">
        <v>0</v>
      </c>
      <c r="R65" s="35" t="s">
        <v>39</v>
      </c>
      <c r="T65" s="35" t="s">
        <v>60</v>
      </c>
      <c r="U65" s="35" t="s">
        <v>133</v>
      </c>
    </row>
    <row r="66" spans="1:21">
      <c r="A66" s="61">
        <v>2023</v>
      </c>
      <c r="B66" s="80" t="s">
        <v>137</v>
      </c>
      <c r="C66" s="74">
        <v>29124</v>
      </c>
      <c r="D66" s="74">
        <v>26</v>
      </c>
      <c r="E66" s="76">
        <v>45104</v>
      </c>
      <c r="F66" s="80" t="s">
        <v>32</v>
      </c>
      <c r="G66" s="80" t="s">
        <v>57</v>
      </c>
      <c r="H66" s="80" t="s">
        <v>136</v>
      </c>
      <c r="I66" s="35" t="s">
        <v>132</v>
      </c>
      <c r="J66" s="80" t="s">
        <v>35</v>
      </c>
      <c r="K66" s="80" t="s">
        <v>36</v>
      </c>
      <c r="L66" s="80" t="s">
        <v>37</v>
      </c>
      <c r="M66" s="80" t="s">
        <v>38</v>
      </c>
      <c r="N66" s="80"/>
      <c r="O66" s="80">
        <v>1</v>
      </c>
      <c r="P66" s="80">
        <v>1</v>
      </c>
      <c r="Q66" s="56">
        <v>0</v>
      </c>
      <c r="R66" s="35" t="s">
        <v>39</v>
      </c>
      <c r="T66" s="35" t="s">
        <v>60</v>
      </c>
      <c r="U66" s="35" t="s">
        <v>133</v>
      </c>
    </row>
    <row r="67" spans="1:21">
      <c r="A67" s="61">
        <v>2023</v>
      </c>
      <c r="B67" s="80" t="s">
        <v>138</v>
      </c>
      <c r="C67" s="74">
        <v>29125</v>
      </c>
      <c r="D67" s="74">
        <v>26</v>
      </c>
      <c r="E67" s="76">
        <v>45104</v>
      </c>
      <c r="F67" s="80" t="s">
        <v>32</v>
      </c>
      <c r="G67" s="80" t="s">
        <v>57</v>
      </c>
      <c r="H67" s="80" t="s">
        <v>139</v>
      </c>
      <c r="I67" s="35" t="s">
        <v>132</v>
      </c>
      <c r="J67" s="80" t="s">
        <v>74</v>
      </c>
      <c r="K67" s="80" t="s">
        <v>36</v>
      </c>
      <c r="L67" s="80" t="s">
        <v>37</v>
      </c>
      <c r="M67" s="80" t="s">
        <v>38</v>
      </c>
      <c r="N67" s="80">
        <v>4</v>
      </c>
      <c r="O67" s="80"/>
      <c r="P67" s="80">
        <v>4</v>
      </c>
      <c r="Q67" s="56">
        <v>0</v>
      </c>
      <c r="R67" s="35" t="s">
        <v>39</v>
      </c>
      <c r="T67" s="35" t="s">
        <v>60</v>
      </c>
      <c r="U67" s="35" t="s">
        <v>133</v>
      </c>
    </row>
    <row r="68" spans="1:21">
      <c r="A68" s="61">
        <v>2023</v>
      </c>
      <c r="B68" s="80" t="s">
        <v>140</v>
      </c>
      <c r="C68" s="74">
        <v>29126</v>
      </c>
      <c r="D68" s="74">
        <v>26</v>
      </c>
      <c r="E68" s="76">
        <v>45104</v>
      </c>
      <c r="F68" s="80" t="s">
        <v>32</v>
      </c>
      <c r="G68" s="80" t="s">
        <v>57</v>
      </c>
      <c r="H68" s="80" t="s">
        <v>139</v>
      </c>
      <c r="I68" s="35" t="s">
        <v>132</v>
      </c>
      <c r="J68" s="80" t="s">
        <v>74</v>
      </c>
      <c r="K68" s="80" t="s">
        <v>36</v>
      </c>
      <c r="L68" s="80" t="s">
        <v>54</v>
      </c>
      <c r="M68" s="80" t="s">
        <v>38</v>
      </c>
      <c r="N68" s="80">
        <v>21</v>
      </c>
      <c r="O68" s="80"/>
      <c r="P68" s="80">
        <v>21</v>
      </c>
      <c r="Q68" s="56">
        <v>0</v>
      </c>
      <c r="R68" s="35" t="s">
        <v>39</v>
      </c>
      <c r="T68" s="35" t="s">
        <v>70</v>
      </c>
      <c r="U68" s="35" t="s">
        <v>141</v>
      </c>
    </row>
    <row r="69" spans="1:21">
      <c r="A69" s="61">
        <v>2023</v>
      </c>
      <c r="B69" s="80" t="s">
        <v>142</v>
      </c>
      <c r="C69" s="74">
        <v>29127</v>
      </c>
      <c r="D69" s="74">
        <v>26</v>
      </c>
      <c r="E69" s="76">
        <v>45104</v>
      </c>
      <c r="F69" s="80" t="s">
        <v>32</v>
      </c>
      <c r="G69" s="80" t="s">
        <v>33</v>
      </c>
      <c r="H69" s="80" t="s">
        <v>143</v>
      </c>
      <c r="I69" s="35" t="s">
        <v>33</v>
      </c>
      <c r="J69" s="80" t="s">
        <v>35</v>
      </c>
      <c r="K69" s="80" t="s">
        <v>36</v>
      </c>
      <c r="L69" s="80" t="s">
        <v>37</v>
      </c>
      <c r="M69" s="80" t="s">
        <v>38</v>
      </c>
      <c r="N69" s="80"/>
      <c r="O69" s="80">
        <v>50</v>
      </c>
      <c r="P69" s="80">
        <v>50</v>
      </c>
      <c r="Q69" s="56">
        <v>0</v>
      </c>
      <c r="R69" s="35" t="s">
        <v>39</v>
      </c>
      <c r="T69" s="35" t="s">
        <v>40</v>
      </c>
      <c r="U69" s="35" t="s">
        <v>40</v>
      </c>
    </row>
    <row r="70" spans="1:21">
      <c r="A70" s="61">
        <v>2023</v>
      </c>
      <c r="B70" s="80" t="s">
        <v>144</v>
      </c>
      <c r="C70" s="74">
        <v>29128</v>
      </c>
      <c r="D70" s="74">
        <v>26</v>
      </c>
      <c r="E70" s="76">
        <v>45104</v>
      </c>
      <c r="F70" s="80" t="s">
        <v>32</v>
      </c>
      <c r="G70" s="80" t="s">
        <v>33</v>
      </c>
      <c r="H70" s="80" t="s">
        <v>143</v>
      </c>
      <c r="I70" s="35" t="s">
        <v>33</v>
      </c>
      <c r="J70" s="80" t="s">
        <v>35</v>
      </c>
      <c r="K70" s="80" t="s">
        <v>36</v>
      </c>
      <c r="L70" s="80" t="s">
        <v>37</v>
      </c>
      <c r="M70" s="80" t="s">
        <v>38</v>
      </c>
      <c r="N70" s="80"/>
      <c r="O70" s="80">
        <v>50</v>
      </c>
      <c r="P70" s="80">
        <v>50</v>
      </c>
      <c r="Q70" s="56">
        <v>0</v>
      </c>
      <c r="R70" s="35" t="s">
        <v>39</v>
      </c>
      <c r="T70" s="35" t="s">
        <v>40</v>
      </c>
      <c r="U70" s="35" t="s">
        <v>40</v>
      </c>
    </row>
    <row r="71" spans="1:21">
      <c r="A71" s="59">
        <v>2023</v>
      </c>
      <c r="B71" s="80" t="s">
        <v>145</v>
      </c>
      <c r="C71" s="74">
        <v>29129</v>
      </c>
      <c r="D71" s="74">
        <v>26</v>
      </c>
      <c r="E71" s="76">
        <v>45104</v>
      </c>
      <c r="F71" s="80" t="s">
        <v>32</v>
      </c>
      <c r="G71" s="80" t="s">
        <v>33</v>
      </c>
      <c r="H71" s="80" t="s">
        <v>143</v>
      </c>
      <c r="I71" s="80" t="s">
        <v>33</v>
      </c>
      <c r="J71" s="80" t="s">
        <v>35</v>
      </c>
      <c r="K71" s="80" t="s">
        <v>36</v>
      </c>
      <c r="L71" s="80" t="s">
        <v>37</v>
      </c>
      <c r="M71" s="80" t="s">
        <v>38</v>
      </c>
      <c r="N71" s="80"/>
      <c r="O71" s="80">
        <v>50</v>
      </c>
      <c r="P71" s="80">
        <v>50</v>
      </c>
      <c r="Q71" s="56">
        <v>0</v>
      </c>
      <c r="R71" s="35" t="s">
        <v>39</v>
      </c>
      <c r="T71" s="35" t="s">
        <v>40</v>
      </c>
      <c r="U71" s="35" t="s">
        <v>40</v>
      </c>
    </row>
    <row r="72" spans="1:21">
      <c r="A72" s="59">
        <v>2023</v>
      </c>
      <c r="B72" s="80" t="s">
        <v>146</v>
      </c>
      <c r="C72" s="74">
        <v>29130</v>
      </c>
      <c r="D72" s="74">
        <v>26</v>
      </c>
      <c r="E72" s="76">
        <v>45104</v>
      </c>
      <c r="F72" s="80" t="s">
        <v>32</v>
      </c>
      <c r="G72" s="80" t="s">
        <v>33</v>
      </c>
      <c r="H72" s="80" t="s">
        <v>143</v>
      </c>
      <c r="I72" s="80" t="s">
        <v>33</v>
      </c>
      <c r="J72" s="80" t="s">
        <v>35</v>
      </c>
      <c r="K72" s="80" t="s">
        <v>36</v>
      </c>
      <c r="L72" s="80" t="s">
        <v>37</v>
      </c>
      <c r="M72" s="80" t="s">
        <v>38</v>
      </c>
      <c r="N72" s="80"/>
      <c r="O72" s="80">
        <v>50</v>
      </c>
      <c r="P72" s="80">
        <v>50</v>
      </c>
      <c r="Q72" s="56">
        <v>0</v>
      </c>
      <c r="R72" s="35" t="s">
        <v>39</v>
      </c>
      <c r="T72" s="35" t="s">
        <v>40</v>
      </c>
      <c r="U72" s="35" t="s">
        <v>40</v>
      </c>
    </row>
    <row r="73" spans="1:21">
      <c r="A73" s="59">
        <v>2023</v>
      </c>
      <c r="B73" s="80" t="s">
        <v>147</v>
      </c>
      <c r="C73" s="74">
        <v>29131</v>
      </c>
      <c r="D73" s="74">
        <v>26</v>
      </c>
      <c r="E73" s="76">
        <v>45104</v>
      </c>
      <c r="F73" s="80" t="s">
        <v>32</v>
      </c>
      <c r="G73" s="80" t="s">
        <v>33</v>
      </c>
      <c r="H73" s="80" t="s">
        <v>143</v>
      </c>
      <c r="I73" s="80" t="s">
        <v>33</v>
      </c>
      <c r="J73" s="80" t="s">
        <v>35</v>
      </c>
      <c r="K73" s="80" t="s">
        <v>36</v>
      </c>
      <c r="L73" s="80" t="s">
        <v>37</v>
      </c>
      <c r="M73" s="80" t="s">
        <v>38</v>
      </c>
      <c r="N73" s="80"/>
      <c r="O73" s="80">
        <v>50</v>
      </c>
      <c r="P73" s="80">
        <v>50</v>
      </c>
      <c r="Q73" s="56">
        <v>0</v>
      </c>
      <c r="R73" s="35" t="s">
        <v>39</v>
      </c>
      <c r="T73" s="35" t="s">
        <v>40</v>
      </c>
      <c r="U73" s="35" t="s">
        <v>40</v>
      </c>
    </row>
    <row r="74" spans="1:21">
      <c r="A74" s="59">
        <v>2023</v>
      </c>
      <c r="B74" s="80" t="s">
        <v>148</v>
      </c>
      <c r="C74" s="74">
        <v>29132</v>
      </c>
      <c r="D74" s="74">
        <v>26</v>
      </c>
      <c r="E74" s="76">
        <v>45104</v>
      </c>
      <c r="F74" s="80" t="s">
        <v>32</v>
      </c>
      <c r="G74" s="80" t="s">
        <v>33</v>
      </c>
      <c r="H74" s="80" t="s">
        <v>143</v>
      </c>
      <c r="I74" s="35" t="s">
        <v>33</v>
      </c>
      <c r="J74" s="80" t="s">
        <v>35</v>
      </c>
      <c r="K74" s="80" t="s">
        <v>36</v>
      </c>
      <c r="L74" s="80" t="s">
        <v>37</v>
      </c>
      <c r="M74" s="80" t="s">
        <v>38</v>
      </c>
      <c r="N74" s="80"/>
      <c r="O74" s="80">
        <v>50</v>
      </c>
      <c r="P74" s="80">
        <v>50</v>
      </c>
      <c r="Q74" s="56">
        <v>0</v>
      </c>
      <c r="R74" s="35" t="s">
        <v>39</v>
      </c>
      <c r="T74" s="35" t="s">
        <v>40</v>
      </c>
      <c r="U74" s="35" t="s">
        <v>40</v>
      </c>
    </row>
    <row r="75" spans="1:21">
      <c r="A75" s="59">
        <v>2023</v>
      </c>
      <c r="B75" s="80" t="s">
        <v>149</v>
      </c>
      <c r="C75" s="74">
        <v>29133</v>
      </c>
      <c r="D75" s="74">
        <v>26</v>
      </c>
      <c r="E75" s="76">
        <v>45104</v>
      </c>
      <c r="F75" s="80" t="s">
        <v>32</v>
      </c>
      <c r="G75" s="80" t="s">
        <v>33</v>
      </c>
      <c r="H75" s="80" t="s">
        <v>143</v>
      </c>
      <c r="I75" s="35" t="s">
        <v>33</v>
      </c>
      <c r="J75" s="80" t="s">
        <v>35</v>
      </c>
      <c r="K75" s="80" t="s">
        <v>36</v>
      </c>
      <c r="L75" s="80" t="s">
        <v>37</v>
      </c>
      <c r="M75" s="80" t="s">
        <v>38</v>
      </c>
      <c r="N75" s="80"/>
      <c r="O75" s="80">
        <v>50</v>
      </c>
      <c r="P75" s="80">
        <v>50</v>
      </c>
      <c r="Q75" s="56">
        <v>0</v>
      </c>
      <c r="R75" s="35" t="s">
        <v>39</v>
      </c>
      <c r="T75" s="35" t="s">
        <v>40</v>
      </c>
      <c r="U75" s="35" t="s">
        <v>40</v>
      </c>
    </row>
    <row r="76" spans="1:21">
      <c r="A76" s="59">
        <v>2023</v>
      </c>
      <c r="B76" s="80" t="s">
        <v>150</v>
      </c>
      <c r="C76" s="74">
        <v>29134</v>
      </c>
      <c r="D76" s="74">
        <v>26</v>
      </c>
      <c r="E76" s="76">
        <v>45104</v>
      </c>
      <c r="F76" s="80" t="s">
        <v>32</v>
      </c>
      <c r="G76" s="80" t="s">
        <v>33</v>
      </c>
      <c r="H76" s="80" t="s">
        <v>143</v>
      </c>
      <c r="I76" s="35" t="s">
        <v>33</v>
      </c>
      <c r="J76" s="80" t="s">
        <v>35</v>
      </c>
      <c r="K76" s="80" t="s">
        <v>36</v>
      </c>
      <c r="L76" s="80" t="s">
        <v>37</v>
      </c>
      <c r="M76" s="80" t="s">
        <v>38</v>
      </c>
      <c r="N76" s="80"/>
      <c r="O76" s="80">
        <v>50</v>
      </c>
      <c r="P76" s="80">
        <v>50</v>
      </c>
      <c r="Q76" s="56">
        <v>0</v>
      </c>
      <c r="R76" s="35" t="s">
        <v>39</v>
      </c>
      <c r="T76" s="35" t="s">
        <v>40</v>
      </c>
      <c r="U76" s="35" t="s">
        <v>40</v>
      </c>
    </row>
    <row r="77" spans="1:21">
      <c r="A77" s="59">
        <v>2023</v>
      </c>
      <c r="B77" s="35" t="s">
        <v>151</v>
      </c>
      <c r="C77" s="74">
        <v>29135</v>
      </c>
      <c r="D77" s="56">
        <v>26</v>
      </c>
      <c r="E77" s="76">
        <v>45104</v>
      </c>
      <c r="F77" s="35" t="s">
        <v>32</v>
      </c>
      <c r="G77" s="80" t="s">
        <v>33</v>
      </c>
      <c r="H77" s="35" t="s">
        <v>143</v>
      </c>
      <c r="I77" s="35" t="s">
        <v>33</v>
      </c>
      <c r="J77" s="35" t="s">
        <v>35</v>
      </c>
      <c r="K77" s="35" t="s">
        <v>36</v>
      </c>
      <c r="L77" s="35" t="s">
        <v>37</v>
      </c>
      <c r="M77" s="35" t="s">
        <v>38</v>
      </c>
      <c r="O77" s="59">
        <v>50</v>
      </c>
      <c r="P77" s="59">
        <v>50</v>
      </c>
      <c r="Q77" s="56">
        <v>0</v>
      </c>
      <c r="R77" s="35" t="s">
        <v>39</v>
      </c>
      <c r="T77" s="35" t="s">
        <v>40</v>
      </c>
      <c r="U77" s="35" t="s">
        <v>40</v>
      </c>
    </row>
    <row r="78" spans="1:21">
      <c r="A78" s="59">
        <v>2023</v>
      </c>
      <c r="B78" s="35" t="s">
        <v>152</v>
      </c>
      <c r="C78" s="74">
        <v>29136</v>
      </c>
      <c r="D78" s="56">
        <v>26</v>
      </c>
      <c r="E78" s="76">
        <v>45104</v>
      </c>
      <c r="F78" s="35" t="s">
        <v>32</v>
      </c>
      <c r="G78" s="80" t="s">
        <v>33</v>
      </c>
      <c r="H78" s="35" t="s">
        <v>143</v>
      </c>
      <c r="I78" s="35" t="s">
        <v>33</v>
      </c>
      <c r="J78" s="35" t="s">
        <v>35</v>
      </c>
      <c r="K78" s="35" t="s">
        <v>36</v>
      </c>
      <c r="L78" s="35" t="s">
        <v>37</v>
      </c>
      <c r="M78" s="35" t="s">
        <v>38</v>
      </c>
      <c r="O78" s="59">
        <v>50</v>
      </c>
      <c r="P78" s="59">
        <v>50</v>
      </c>
      <c r="Q78" s="56">
        <v>0</v>
      </c>
      <c r="R78" s="35" t="s">
        <v>39</v>
      </c>
      <c r="T78" s="35" t="s">
        <v>40</v>
      </c>
      <c r="U78" s="35" t="s">
        <v>40</v>
      </c>
    </row>
    <row r="79" spans="1:21">
      <c r="A79" s="59">
        <v>2023</v>
      </c>
      <c r="B79" s="35" t="s">
        <v>153</v>
      </c>
      <c r="C79" s="74">
        <v>29137</v>
      </c>
      <c r="D79" s="56">
        <v>26</v>
      </c>
      <c r="E79" s="76">
        <v>45104</v>
      </c>
      <c r="F79" s="35" t="s">
        <v>32</v>
      </c>
      <c r="G79" s="80" t="s">
        <v>33</v>
      </c>
      <c r="H79" s="35" t="s">
        <v>143</v>
      </c>
      <c r="I79" s="35" t="s">
        <v>33</v>
      </c>
      <c r="J79" s="35" t="s">
        <v>35</v>
      </c>
      <c r="K79" s="35" t="s">
        <v>36</v>
      </c>
      <c r="L79" s="35" t="s">
        <v>37</v>
      </c>
      <c r="M79" s="35" t="s">
        <v>38</v>
      </c>
      <c r="O79" s="59">
        <v>50</v>
      </c>
      <c r="P79" s="59">
        <v>50</v>
      </c>
      <c r="Q79" s="56">
        <v>0</v>
      </c>
      <c r="R79" s="35" t="s">
        <v>39</v>
      </c>
      <c r="T79" s="35" t="s">
        <v>40</v>
      </c>
      <c r="U79" s="35" t="s">
        <v>40</v>
      </c>
    </row>
    <row r="80" spans="1:21">
      <c r="A80" s="59">
        <v>2023</v>
      </c>
      <c r="B80" s="35" t="s">
        <v>154</v>
      </c>
      <c r="C80" s="74">
        <v>29138</v>
      </c>
      <c r="D80" s="56">
        <v>26</v>
      </c>
      <c r="E80" s="76">
        <v>45104</v>
      </c>
      <c r="F80" s="35" t="s">
        <v>32</v>
      </c>
      <c r="G80" s="80" t="s">
        <v>33</v>
      </c>
      <c r="H80" s="35" t="s">
        <v>143</v>
      </c>
      <c r="I80" s="80" t="s">
        <v>33</v>
      </c>
      <c r="J80" s="35" t="s">
        <v>35</v>
      </c>
      <c r="K80" s="35" t="s">
        <v>36</v>
      </c>
      <c r="L80" s="35" t="s">
        <v>37</v>
      </c>
      <c r="M80" s="35" t="s">
        <v>38</v>
      </c>
      <c r="O80" s="59">
        <v>29</v>
      </c>
      <c r="P80" s="59">
        <v>29</v>
      </c>
      <c r="Q80" s="56">
        <v>0</v>
      </c>
      <c r="R80" s="35" t="s">
        <v>39</v>
      </c>
      <c r="T80" s="35" t="s">
        <v>40</v>
      </c>
      <c r="U80" s="35" t="s">
        <v>40</v>
      </c>
    </row>
    <row r="81" spans="1:21">
      <c r="A81" s="59">
        <v>2023</v>
      </c>
      <c r="B81" s="35" t="s">
        <v>155</v>
      </c>
      <c r="C81" s="74">
        <v>29139</v>
      </c>
      <c r="D81" s="56">
        <v>26</v>
      </c>
      <c r="E81" s="76">
        <v>45104</v>
      </c>
      <c r="F81" s="35" t="s">
        <v>32</v>
      </c>
      <c r="G81" s="80" t="s">
        <v>57</v>
      </c>
      <c r="H81" s="35" t="s">
        <v>156</v>
      </c>
      <c r="I81" s="80" t="s">
        <v>132</v>
      </c>
      <c r="J81" s="35" t="s">
        <v>74</v>
      </c>
      <c r="K81" s="35" t="s">
        <v>36</v>
      </c>
      <c r="L81" s="35" t="s">
        <v>54</v>
      </c>
      <c r="M81" s="35" t="s">
        <v>38</v>
      </c>
      <c r="N81" s="59">
        <v>29</v>
      </c>
      <c r="P81" s="59">
        <v>29</v>
      </c>
      <c r="Q81" s="56">
        <v>0</v>
      </c>
      <c r="R81" s="35" t="s">
        <v>39</v>
      </c>
      <c r="T81" s="35" t="s">
        <v>70</v>
      </c>
      <c r="U81" s="35" t="s">
        <v>141</v>
      </c>
    </row>
    <row r="82" spans="1:21">
      <c r="A82" s="59">
        <v>2023</v>
      </c>
      <c r="B82" s="35" t="s">
        <v>157</v>
      </c>
      <c r="C82" s="74">
        <v>29140</v>
      </c>
      <c r="D82" s="56">
        <v>26</v>
      </c>
      <c r="E82" s="76">
        <v>45104</v>
      </c>
      <c r="F82" s="35" t="s">
        <v>32</v>
      </c>
      <c r="G82" s="80" t="s">
        <v>57</v>
      </c>
      <c r="H82" s="35" t="s">
        <v>158</v>
      </c>
      <c r="I82" s="80" t="s">
        <v>132</v>
      </c>
      <c r="J82" s="35" t="s">
        <v>35</v>
      </c>
      <c r="K82" s="35" t="s">
        <v>36</v>
      </c>
      <c r="L82" s="35" t="s">
        <v>37</v>
      </c>
      <c r="M82" s="35" t="s">
        <v>38</v>
      </c>
      <c r="O82" s="59">
        <v>50</v>
      </c>
      <c r="P82" s="59">
        <v>50</v>
      </c>
      <c r="Q82" s="56">
        <v>0</v>
      </c>
      <c r="R82" s="35" t="s">
        <v>39</v>
      </c>
      <c r="T82" s="35" t="s">
        <v>60</v>
      </c>
      <c r="U82" s="35" t="s">
        <v>133</v>
      </c>
    </row>
    <row r="83" spans="1:21">
      <c r="A83" s="59">
        <v>2023</v>
      </c>
      <c r="B83" s="35" t="s">
        <v>159</v>
      </c>
      <c r="C83" s="74">
        <v>29141</v>
      </c>
      <c r="D83" s="56">
        <v>26</v>
      </c>
      <c r="E83" s="76">
        <v>45104</v>
      </c>
      <c r="F83" s="35" t="s">
        <v>32</v>
      </c>
      <c r="G83" s="80" t="s">
        <v>57</v>
      </c>
      <c r="H83" s="35" t="s">
        <v>158</v>
      </c>
      <c r="I83" s="80" t="s">
        <v>132</v>
      </c>
      <c r="J83" s="35" t="s">
        <v>35</v>
      </c>
      <c r="K83" s="35" t="s">
        <v>36</v>
      </c>
      <c r="L83" s="35" t="s">
        <v>37</v>
      </c>
      <c r="M83" s="35" t="s">
        <v>38</v>
      </c>
      <c r="O83" s="59">
        <v>5</v>
      </c>
      <c r="P83" s="59">
        <v>5</v>
      </c>
      <c r="Q83" s="56">
        <v>0</v>
      </c>
      <c r="R83" s="35" t="s">
        <v>39</v>
      </c>
      <c r="T83" s="35" t="s">
        <v>60</v>
      </c>
      <c r="U83" s="35" t="s">
        <v>133</v>
      </c>
    </row>
    <row r="84" spans="1:21">
      <c r="A84" s="59">
        <v>2023</v>
      </c>
      <c r="B84" s="35" t="s">
        <v>160</v>
      </c>
      <c r="C84" s="74">
        <v>29142</v>
      </c>
      <c r="D84" s="56">
        <v>26</v>
      </c>
      <c r="E84" s="76">
        <v>45104</v>
      </c>
      <c r="F84" s="35" t="s">
        <v>32</v>
      </c>
      <c r="G84" s="80" t="s">
        <v>57</v>
      </c>
      <c r="H84" s="35" t="s">
        <v>161</v>
      </c>
      <c r="I84" s="80" t="s">
        <v>132</v>
      </c>
      <c r="J84" s="35" t="s">
        <v>35</v>
      </c>
      <c r="K84" s="35" t="s">
        <v>36</v>
      </c>
      <c r="L84" s="35" t="s">
        <v>37</v>
      </c>
      <c r="M84" s="35" t="s">
        <v>38</v>
      </c>
      <c r="O84" s="59">
        <v>50</v>
      </c>
      <c r="P84" s="59">
        <v>50</v>
      </c>
      <c r="Q84" s="56">
        <v>0</v>
      </c>
      <c r="R84" s="35" t="s">
        <v>39</v>
      </c>
      <c r="T84" s="35" t="s">
        <v>60</v>
      </c>
      <c r="U84" s="35" t="s">
        <v>133</v>
      </c>
    </row>
    <row r="85" spans="1:21">
      <c r="A85" s="59">
        <v>2023</v>
      </c>
      <c r="B85" s="35" t="s">
        <v>162</v>
      </c>
      <c r="C85" s="74">
        <v>29143</v>
      </c>
      <c r="D85" s="56">
        <v>26</v>
      </c>
      <c r="E85" s="76">
        <v>45104</v>
      </c>
      <c r="F85" s="35" t="s">
        <v>32</v>
      </c>
      <c r="G85" s="80" t="s">
        <v>57</v>
      </c>
      <c r="H85" s="35" t="s">
        <v>161</v>
      </c>
      <c r="I85" s="80" t="s">
        <v>132</v>
      </c>
      <c r="J85" s="35" t="s">
        <v>35</v>
      </c>
      <c r="K85" s="35" t="s">
        <v>36</v>
      </c>
      <c r="L85" s="35" t="s">
        <v>37</v>
      </c>
      <c r="M85" s="35" t="s">
        <v>38</v>
      </c>
      <c r="O85" s="59">
        <v>43</v>
      </c>
      <c r="P85" s="59">
        <v>43</v>
      </c>
      <c r="Q85" s="56">
        <v>0</v>
      </c>
      <c r="R85" s="35" t="s">
        <v>39</v>
      </c>
      <c r="T85" s="35" t="s">
        <v>60</v>
      </c>
      <c r="U85" s="35" t="s">
        <v>133</v>
      </c>
    </row>
    <row r="86" spans="1:21">
      <c r="A86" s="59">
        <v>2023</v>
      </c>
      <c r="B86" s="35" t="s">
        <v>163</v>
      </c>
      <c r="C86" s="74">
        <v>29144</v>
      </c>
      <c r="D86" s="56">
        <v>26</v>
      </c>
      <c r="E86" s="76">
        <v>45104</v>
      </c>
      <c r="F86" s="35" t="s">
        <v>32</v>
      </c>
      <c r="G86" s="80" t="s">
        <v>57</v>
      </c>
      <c r="H86" s="35" t="s">
        <v>164</v>
      </c>
      <c r="I86" s="80" t="s">
        <v>132</v>
      </c>
      <c r="J86" s="35" t="s">
        <v>35</v>
      </c>
      <c r="K86" s="35" t="s">
        <v>36</v>
      </c>
      <c r="L86" s="35" t="s">
        <v>37</v>
      </c>
      <c r="M86" s="35" t="s">
        <v>38</v>
      </c>
      <c r="O86" s="59">
        <v>50</v>
      </c>
      <c r="P86" s="59">
        <v>50</v>
      </c>
      <c r="Q86" s="56">
        <v>0</v>
      </c>
      <c r="R86" s="35" t="s">
        <v>39</v>
      </c>
      <c r="T86" s="35" t="s">
        <v>60</v>
      </c>
      <c r="U86" s="35" t="s">
        <v>133</v>
      </c>
    </row>
    <row r="87" spans="1:21">
      <c r="A87" s="59">
        <v>2023</v>
      </c>
      <c r="B87" s="35" t="s">
        <v>165</v>
      </c>
      <c r="C87" s="74">
        <v>29145</v>
      </c>
      <c r="D87" s="56">
        <v>26</v>
      </c>
      <c r="E87" s="76">
        <v>45104</v>
      </c>
      <c r="F87" s="35" t="s">
        <v>32</v>
      </c>
      <c r="G87" s="80" t="s">
        <v>57</v>
      </c>
      <c r="H87" s="35" t="s">
        <v>164</v>
      </c>
      <c r="I87" s="80" t="s">
        <v>132</v>
      </c>
      <c r="J87" s="35" t="s">
        <v>35</v>
      </c>
      <c r="K87" s="35" t="s">
        <v>36</v>
      </c>
      <c r="L87" s="35" t="s">
        <v>37</v>
      </c>
      <c r="M87" s="35" t="s">
        <v>38</v>
      </c>
      <c r="O87" s="59">
        <v>50</v>
      </c>
      <c r="P87" s="59">
        <v>50</v>
      </c>
      <c r="Q87" s="56">
        <v>0</v>
      </c>
      <c r="R87" s="35" t="s">
        <v>39</v>
      </c>
      <c r="T87" s="35" t="s">
        <v>60</v>
      </c>
      <c r="U87" s="35" t="s">
        <v>133</v>
      </c>
    </row>
    <row r="88" spans="1:21">
      <c r="A88" s="59">
        <v>2023</v>
      </c>
      <c r="B88" s="35" t="s">
        <v>166</v>
      </c>
      <c r="C88" s="74">
        <v>29146</v>
      </c>
      <c r="D88" s="56">
        <v>26</v>
      </c>
      <c r="E88" s="76">
        <v>45104</v>
      </c>
      <c r="F88" s="35" t="s">
        <v>32</v>
      </c>
      <c r="G88" s="80" t="s">
        <v>57</v>
      </c>
      <c r="H88" s="35" t="s">
        <v>164</v>
      </c>
      <c r="I88" s="80" t="s">
        <v>132</v>
      </c>
      <c r="J88" s="35" t="s">
        <v>35</v>
      </c>
      <c r="K88" s="35" t="s">
        <v>36</v>
      </c>
      <c r="L88" s="35" t="s">
        <v>37</v>
      </c>
      <c r="M88" s="35" t="s">
        <v>38</v>
      </c>
      <c r="O88" s="59">
        <v>50</v>
      </c>
      <c r="P88" s="59">
        <v>50</v>
      </c>
      <c r="Q88" s="56">
        <v>0</v>
      </c>
      <c r="R88" s="35" t="s">
        <v>39</v>
      </c>
      <c r="T88" s="35" t="s">
        <v>60</v>
      </c>
      <c r="U88" s="35" t="s">
        <v>133</v>
      </c>
    </row>
    <row r="89" spans="1:21">
      <c r="A89" s="59">
        <v>2023</v>
      </c>
      <c r="B89" s="35" t="s">
        <v>167</v>
      </c>
      <c r="C89" s="74">
        <v>29147</v>
      </c>
      <c r="D89" s="56">
        <v>26</v>
      </c>
      <c r="E89" s="76">
        <v>45104</v>
      </c>
      <c r="F89" s="35" t="s">
        <v>32</v>
      </c>
      <c r="G89" s="80" t="s">
        <v>57</v>
      </c>
      <c r="H89" s="35" t="s">
        <v>164</v>
      </c>
      <c r="I89" s="80" t="s">
        <v>132</v>
      </c>
      <c r="J89" s="35" t="s">
        <v>35</v>
      </c>
      <c r="K89" s="35" t="s">
        <v>36</v>
      </c>
      <c r="L89" s="35" t="s">
        <v>37</v>
      </c>
      <c r="M89" s="35" t="s">
        <v>38</v>
      </c>
      <c r="O89" s="59">
        <v>50</v>
      </c>
      <c r="P89" s="59">
        <v>50</v>
      </c>
      <c r="Q89" s="56">
        <v>0</v>
      </c>
      <c r="R89" s="35" t="s">
        <v>39</v>
      </c>
      <c r="T89" s="35" t="s">
        <v>60</v>
      </c>
      <c r="U89" s="35" t="s">
        <v>133</v>
      </c>
    </row>
    <row r="90" spans="1:21">
      <c r="A90" s="59">
        <v>2023</v>
      </c>
      <c r="B90" s="35" t="s">
        <v>168</v>
      </c>
      <c r="C90" s="74">
        <v>29148</v>
      </c>
      <c r="D90" s="56">
        <v>26</v>
      </c>
      <c r="E90" s="76">
        <v>45104</v>
      </c>
      <c r="F90" s="35" t="s">
        <v>32</v>
      </c>
      <c r="G90" s="80" t="s">
        <v>57</v>
      </c>
      <c r="H90" s="35" t="s">
        <v>164</v>
      </c>
      <c r="I90" s="80" t="s">
        <v>132</v>
      </c>
      <c r="J90" s="35" t="s">
        <v>35</v>
      </c>
      <c r="K90" s="35" t="s">
        <v>36</v>
      </c>
      <c r="L90" s="35" t="s">
        <v>37</v>
      </c>
      <c r="M90" s="35" t="s">
        <v>38</v>
      </c>
      <c r="O90" s="59">
        <v>50</v>
      </c>
      <c r="P90" s="59">
        <v>50</v>
      </c>
      <c r="Q90" s="56">
        <v>0</v>
      </c>
      <c r="R90" s="35" t="s">
        <v>39</v>
      </c>
      <c r="T90" s="35" t="s">
        <v>60</v>
      </c>
      <c r="U90" s="35" t="s">
        <v>133</v>
      </c>
    </row>
    <row r="91" spans="1:21">
      <c r="A91" s="59">
        <v>2023</v>
      </c>
      <c r="B91" s="35" t="s">
        <v>169</v>
      </c>
      <c r="C91" s="74">
        <v>29149</v>
      </c>
      <c r="D91" s="56">
        <v>26</v>
      </c>
      <c r="E91" s="76">
        <v>45104</v>
      </c>
      <c r="F91" s="35" t="s">
        <v>32</v>
      </c>
      <c r="G91" s="80" t="s">
        <v>57</v>
      </c>
      <c r="H91" s="35" t="s">
        <v>164</v>
      </c>
      <c r="I91" s="80" t="s">
        <v>132</v>
      </c>
      <c r="J91" s="35" t="s">
        <v>35</v>
      </c>
      <c r="K91" s="35" t="s">
        <v>36</v>
      </c>
      <c r="L91" s="35" t="s">
        <v>37</v>
      </c>
      <c r="M91" s="35" t="s">
        <v>38</v>
      </c>
      <c r="O91" s="59">
        <v>21</v>
      </c>
      <c r="P91" s="59">
        <v>21</v>
      </c>
      <c r="Q91" s="56">
        <v>0</v>
      </c>
      <c r="R91" s="35" t="s">
        <v>39</v>
      </c>
      <c r="T91" s="35" t="s">
        <v>60</v>
      </c>
      <c r="U91" s="35" t="s">
        <v>133</v>
      </c>
    </row>
    <row r="92" spans="1:21">
      <c r="A92" s="59">
        <v>2023</v>
      </c>
      <c r="B92" s="35" t="s">
        <v>170</v>
      </c>
      <c r="C92" s="74">
        <v>29150</v>
      </c>
      <c r="D92" s="56">
        <v>26</v>
      </c>
      <c r="E92" s="76">
        <v>45104</v>
      </c>
      <c r="F92" s="35" t="s">
        <v>32</v>
      </c>
      <c r="G92" s="80" t="s">
        <v>57</v>
      </c>
      <c r="H92" s="35" t="s">
        <v>164</v>
      </c>
      <c r="I92" s="80" t="s">
        <v>132</v>
      </c>
      <c r="J92" s="35" t="s">
        <v>35</v>
      </c>
      <c r="K92" s="35" t="s">
        <v>36</v>
      </c>
      <c r="L92" s="35" t="s">
        <v>54</v>
      </c>
      <c r="M92" s="35" t="s">
        <v>38</v>
      </c>
      <c r="O92" s="59">
        <v>20</v>
      </c>
      <c r="P92" s="59">
        <v>20</v>
      </c>
      <c r="Q92" s="56">
        <v>0</v>
      </c>
      <c r="R92" s="35" t="s">
        <v>39</v>
      </c>
      <c r="T92" s="35" t="s">
        <v>70</v>
      </c>
      <c r="U92" s="35" t="s">
        <v>141</v>
      </c>
    </row>
    <row r="93" spans="1:21">
      <c r="A93" s="59">
        <v>2023</v>
      </c>
      <c r="B93" s="35" t="s">
        <v>171</v>
      </c>
      <c r="C93" s="74">
        <v>29151</v>
      </c>
      <c r="D93" s="56">
        <v>26</v>
      </c>
      <c r="E93" s="76">
        <v>45104</v>
      </c>
      <c r="F93" s="35" t="s">
        <v>32</v>
      </c>
      <c r="G93" s="80" t="s">
        <v>57</v>
      </c>
      <c r="H93" s="35" t="s">
        <v>172</v>
      </c>
      <c r="I93" s="80" t="s">
        <v>132</v>
      </c>
      <c r="J93" s="35" t="s">
        <v>35</v>
      </c>
      <c r="K93" s="35" t="s">
        <v>36</v>
      </c>
      <c r="L93" s="35" t="s">
        <v>37</v>
      </c>
      <c r="M93" s="35" t="s">
        <v>38</v>
      </c>
      <c r="O93" s="59">
        <v>50</v>
      </c>
      <c r="P93" s="59">
        <v>50</v>
      </c>
      <c r="Q93" s="56">
        <v>0</v>
      </c>
      <c r="R93" s="35" t="s">
        <v>39</v>
      </c>
      <c r="T93" s="35" t="s">
        <v>60</v>
      </c>
      <c r="U93" s="35" t="s">
        <v>133</v>
      </c>
    </row>
    <row r="94" spans="1:21">
      <c r="A94" s="59">
        <v>2023</v>
      </c>
      <c r="B94" s="35" t="s">
        <v>173</v>
      </c>
      <c r="C94" s="74">
        <v>29152</v>
      </c>
      <c r="D94" s="56">
        <v>26</v>
      </c>
      <c r="E94" s="76">
        <v>45104</v>
      </c>
      <c r="F94" s="35" t="s">
        <v>32</v>
      </c>
      <c r="G94" s="80" t="s">
        <v>57</v>
      </c>
      <c r="H94" s="35" t="s">
        <v>172</v>
      </c>
      <c r="I94" s="80" t="s">
        <v>132</v>
      </c>
      <c r="J94" s="35" t="s">
        <v>35</v>
      </c>
      <c r="K94" s="35" t="s">
        <v>36</v>
      </c>
      <c r="L94" s="35" t="s">
        <v>37</v>
      </c>
      <c r="M94" s="35" t="s">
        <v>38</v>
      </c>
      <c r="O94" s="59">
        <v>50</v>
      </c>
      <c r="P94" s="59">
        <v>50</v>
      </c>
      <c r="Q94" s="56">
        <v>0</v>
      </c>
      <c r="R94" s="35" t="s">
        <v>39</v>
      </c>
      <c r="T94" s="35" t="s">
        <v>60</v>
      </c>
      <c r="U94" s="35" t="s">
        <v>133</v>
      </c>
    </row>
    <row r="95" spans="1:21">
      <c r="A95" s="59">
        <v>2023</v>
      </c>
      <c r="B95" s="35" t="s">
        <v>174</v>
      </c>
      <c r="C95" s="74">
        <v>29153</v>
      </c>
      <c r="D95" s="56">
        <v>26</v>
      </c>
      <c r="E95" s="76">
        <v>45104</v>
      </c>
      <c r="F95" s="35" t="s">
        <v>32</v>
      </c>
      <c r="G95" s="80" t="s">
        <v>57</v>
      </c>
      <c r="H95" s="35" t="s">
        <v>172</v>
      </c>
      <c r="I95" s="80" t="s">
        <v>132</v>
      </c>
      <c r="J95" s="35" t="s">
        <v>35</v>
      </c>
      <c r="K95" s="35" t="s">
        <v>36</v>
      </c>
      <c r="L95" s="80" t="s">
        <v>37</v>
      </c>
      <c r="M95" s="35" t="s">
        <v>38</v>
      </c>
      <c r="O95" s="59">
        <v>50</v>
      </c>
      <c r="P95" s="59">
        <v>50</v>
      </c>
      <c r="Q95" s="56">
        <v>0</v>
      </c>
      <c r="R95" s="35" t="s">
        <v>39</v>
      </c>
      <c r="T95" s="35" t="s">
        <v>60</v>
      </c>
      <c r="U95" s="35" t="s">
        <v>133</v>
      </c>
    </row>
    <row r="96" spans="1:21">
      <c r="A96" s="59">
        <v>2023</v>
      </c>
      <c r="B96" s="35" t="s">
        <v>175</v>
      </c>
      <c r="C96" s="74">
        <v>29154</v>
      </c>
      <c r="D96" s="56">
        <v>26</v>
      </c>
      <c r="E96" s="76">
        <v>45104</v>
      </c>
      <c r="F96" s="35" t="s">
        <v>32</v>
      </c>
      <c r="G96" s="80" t="s">
        <v>57</v>
      </c>
      <c r="H96" s="35" t="s">
        <v>172</v>
      </c>
      <c r="I96" s="80" t="s">
        <v>132</v>
      </c>
      <c r="J96" s="35" t="s">
        <v>35</v>
      </c>
      <c r="K96" s="35" t="s">
        <v>36</v>
      </c>
      <c r="L96" s="35" t="s">
        <v>37</v>
      </c>
      <c r="M96" s="35" t="s">
        <v>38</v>
      </c>
      <c r="O96" s="59">
        <v>50</v>
      </c>
      <c r="P96" s="59">
        <v>50</v>
      </c>
      <c r="Q96" s="56">
        <v>0</v>
      </c>
      <c r="R96" s="35" t="s">
        <v>39</v>
      </c>
      <c r="T96" s="35" t="s">
        <v>60</v>
      </c>
      <c r="U96" s="35" t="s">
        <v>133</v>
      </c>
    </row>
    <row r="97" spans="1:21">
      <c r="A97" s="59">
        <v>2023</v>
      </c>
      <c r="B97" s="35" t="s">
        <v>176</v>
      </c>
      <c r="C97" s="74">
        <v>29155</v>
      </c>
      <c r="D97" s="56">
        <v>26</v>
      </c>
      <c r="E97" s="76">
        <v>45104</v>
      </c>
      <c r="F97" s="35" t="s">
        <v>32</v>
      </c>
      <c r="G97" s="80" t="s">
        <v>57</v>
      </c>
      <c r="H97" s="35" t="s">
        <v>172</v>
      </c>
      <c r="I97" s="80" t="s">
        <v>132</v>
      </c>
      <c r="J97" s="35" t="s">
        <v>35</v>
      </c>
      <c r="K97" s="35" t="s">
        <v>36</v>
      </c>
      <c r="L97" s="35" t="s">
        <v>37</v>
      </c>
      <c r="M97" s="35" t="s">
        <v>38</v>
      </c>
      <c r="O97" s="59">
        <v>50</v>
      </c>
      <c r="P97" s="59">
        <v>50</v>
      </c>
      <c r="Q97" s="56">
        <v>0</v>
      </c>
      <c r="R97" s="35" t="s">
        <v>39</v>
      </c>
      <c r="T97" s="35" t="s">
        <v>60</v>
      </c>
      <c r="U97" s="35" t="s">
        <v>133</v>
      </c>
    </row>
    <row r="98" spans="1:21">
      <c r="A98" s="59">
        <v>2023</v>
      </c>
      <c r="B98" s="35" t="s">
        <v>177</v>
      </c>
      <c r="C98" s="74">
        <v>29156</v>
      </c>
      <c r="D98" s="56">
        <v>26</v>
      </c>
      <c r="E98" s="76">
        <v>45104</v>
      </c>
      <c r="F98" s="35" t="s">
        <v>32</v>
      </c>
      <c r="G98" s="80" t="s">
        <v>57</v>
      </c>
      <c r="H98" s="35" t="s">
        <v>172</v>
      </c>
      <c r="I98" s="80" t="s">
        <v>132</v>
      </c>
      <c r="J98" s="35" t="s">
        <v>35</v>
      </c>
      <c r="K98" s="35" t="s">
        <v>36</v>
      </c>
      <c r="L98" s="35" t="s">
        <v>37</v>
      </c>
      <c r="M98" s="35" t="s">
        <v>38</v>
      </c>
      <c r="O98" s="59">
        <v>50</v>
      </c>
      <c r="P98" s="59">
        <v>50</v>
      </c>
      <c r="Q98" s="56">
        <v>0</v>
      </c>
      <c r="R98" s="35" t="s">
        <v>39</v>
      </c>
      <c r="T98" s="35" t="s">
        <v>60</v>
      </c>
      <c r="U98" s="35" t="s">
        <v>133</v>
      </c>
    </row>
    <row r="99" spans="1:21">
      <c r="A99" s="59">
        <v>2023</v>
      </c>
      <c r="B99" s="35" t="s">
        <v>178</v>
      </c>
      <c r="C99" s="74">
        <v>29157</v>
      </c>
      <c r="D99" s="56">
        <v>26</v>
      </c>
      <c r="E99" s="76">
        <v>45104</v>
      </c>
      <c r="F99" s="35" t="s">
        <v>32</v>
      </c>
      <c r="G99" s="80" t="s">
        <v>57</v>
      </c>
      <c r="H99" s="35" t="s">
        <v>172</v>
      </c>
      <c r="I99" s="80" t="s">
        <v>132</v>
      </c>
      <c r="J99" s="35" t="s">
        <v>35</v>
      </c>
      <c r="K99" s="35" t="s">
        <v>36</v>
      </c>
      <c r="L99" s="35" t="s">
        <v>37</v>
      </c>
      <c r="M99" s="35" t="s">
        <v>38</v>
      </c>
      <c r="O99" s="59">
        <v>36</v>
      </c>
      <c r="P99" s="59">
        <v>36</v>
      </c>
      <c r="Q99" s="56">
        <v>0</v>
      </c>
      <c r="R99" s="35" t="s">
        <v>39</v>
      </c>
      <c r="T99" s="35" t="s">
        <v>60</v>
      </c>
      <c r="U99" s="35" t="s">
        <v>133</v>
      </c>
    </row>
    <row r="100" spans="1:21">
      <c r="A100" s="59">
        <v>2023</v>
      </c>
      <c r="B100" s="35" t="s">
        <v>179</v>
      </c>
      <c r="C100" s="74">
        <v>29158</v>
      </c>
      <c r="D100" s="56">
        <v>26</v>
      </c>
      <c r="E100" s="76">
        <v>45104</v>
      </c>
      <c r="F100" s="35" t="s">
        <v>32</v>
      </c>
      <c r="G100" s="80" t="s">
        <v>57</v>
      </c>
      <c r="H100" s="35" t="s">
        <v>180</v>
      </c>
      <c r="I100" s="80" t="s">
        <v>132</v>
      </c>
      <c r="J100" s="35" t="s">
        <v>35</v>
      </c>
      <c r="K100" s="35" t="s">
        <v>36</v>
      </c>
      <c r="L100" s="35" t="s">
        <v>37</v>
      </c>
      <c r="M100" s="35" t="s">
        <v>38</v>
      </c>
      <c r="O100" s="59">
        <v>50</v>
      </c>
      <c r="P100" s="59">
        <v>50</v>
      </c>
      <c r="Q100" s="56">
        <v>0</v>
      </c>
      <c r="R100" s="35" t="s">
        <v>39</v>
      </c>
      <c r="T100" s="35" t="s">
        <v>60</v>
      </c>
      <c r="U100" s="35" t="s">
        <v>133</v>
      </c>
    </row>
    <row r="101" spans="1:21">
      <c r="A101" s="59">
        <v>2023</v>
      </c>
      <c r="B101" s="35" t="s">
        <v>181</v>
      </c>
      <c r="C101" s="74">
        <v>29159</v>
      </c>
      <c r="D101" s="56">
        <v>26</v>
      </c>
      <c r="E101" s="76">
        <v>45104</v>
      </c>
      <c r="F101" s="35" t="s">
        <v>32</v>
      </c>
      <c r="G101" s="80" t="s">
        <v>57</v>
      </c>
      <c r="H101" s="35" t="s">
        <v>180</v>
      </c>
      <c r="I101" s="80" t="s">
        <v>132</v>
      </c>
      <c r="J101" s="35" t="s">
        <v>35</v>
      </c>
      <c r="K101" s="35" t="s">
        <v>36</v>
      </c>
      <c r="L101" s="35" t="s">
        <v>37</v>
      </c>
      <c r="M101" s="35" t="s">
        <v>38</v>
      </c>
      <c r="O101" s="59">
        <v>50</v>
      </c>
      <c r="P101" s="59">
        <v>50</v>
      </c>
      <c r="Q101" s="56">
        <v>0</v>
      </c>
      <c r="R101" s="35" t="s">
        <v>39</v>
      </c>
      <c r="T101" s="35" t="s">
        <v>60</v>
      </c>
      <c r="U101" s="35" t="s">
        <v>133</v>
      </c>
    </row>
    <row r="102" spans="1:21">
      <c r="A102" s="72">
        <v>2023</v>
      </c>
      <c r="B102" s="35" t="s">
        <v>182</v>
      </c>
      <c r="C102" s="74">
        <v>29160</v>
      </c>
      <c r="D102" s="56">
        <v>26</v>
      </c>
      <c r="E102" s="76">
        <v>45104</v>
      </c>
      <c r="F102" s="35" t="s">
        <v>32</v>
      </c>
      <c r="G102" s="80" t="s">
        <v>57</v>
      </c>
      <c r="H102" s="35" t="s">
        <v>180</v>
      </c>
      <c r="I102" s="80" t="s">
        <v>132</v>
      </c>
      <c r="J102" s="35" t="s">
        <v>35</v>
      </c>
      <c r="K102" s="35" t="s">
        <v>36</v>
      </c>
      <c r="L102" s="35" t="s">
        <v>37</v>
      </c>
      <c r="M102" s="35" t="s">
        <v>38</v>
      </c>
      <c r="O102" s="59">
        <v>50</v>
      </c>
      <c r="P102" s="59">
        <v>50</v>
      </c>
      <c r="Q102" s="56">
        <v>0</v>
      </c>
      <c r="R102" s="35" t="s">
        <v>39</v>
      </c>
      <c r="T102" s="35" t="s">
        <v>60</v>
      </c>
      <c r="U102" s="35" t="s">
        <v>133</v>
      </c>
    </row>
    <row r="103" spans="1:21">
      <c r="A103" s="72">
        <v>2023</v>
      </c>
      <c r="B103" s="35" t="s">
        <v>183</v>
      </c>
      <c r="C103" s="74">
        <v>29161</v>
      </c>
      <c r="D103" s="56">
        <v>26</v>
      </c>
      <c r="E103" s="76">
        <v>45104</v>
      </c>
      <c r="F103" s="35" t="s">
        <v>32</v>
      </c>
      <c r="G103" s="80" t="s">
        <v>57</v>
      </c>
      <c r="H103" s="35" t="s">
        <v>180</v>
      </c>
      <c r="I103" s="80" t="s">
        <v>132</v>
      </c>
      <c r="J103" s="35" t="s">
        <v>35</v>
      </c>
      <c r="K103" s="35" t="s">
        <v>36</v>
      </c>
      <c r="L103" s="35" t="s">
        <v>37</v>
      </c>
      <c r="M103" s="35" t="s">
        <v>38</v>
      </c>
      <c r="O103" s="59">
        <v>50</v>
      </c>
      <c r="P103" s="59">
        <v>50</v>
      </c>
      <c r="Q103" s="56">
        <v>0</v>
      </c>
      <c r="R103" s="35" t="s">
        <v>39</v>
      </c>
      <c r="T103" s="35" t="s">
        <v>60</v>
      </c>
      <c r="U103" s="35" t="s">
        <v>133</v>
      </c>
    </row>
    <row r="104" spans="1:21">
      <c r="A104" s="72">
        <v>2023</v>
      </c>
      <c r="B104" s="35" t="s">
        <v>184</v>
      </c>
      <c r="C104" s="74">
        <v>29162</v>
      </c>
      <c r="D104" s="56">
        <v>26</v>
      </c>
      <c r="E104" s="76">
        <v>45104</v>
      </c>
      <c r="F104" s="35" t="s">
        <v>32</v>
      </c>
      <c r="G104" s="80" t="s">
        <v>57</v>
      </c>
      <c r="H104" s="35" t="s">
        <v>180</v>
      </c>
      <c r="I104" s="80" t="s">
        <v>132</v>
      </c>
      <c r="J104" s="35" t="s">
        <v>35</v>
      </c>
      <c r="K104" s="35" t="s">
        <v>36</v>
      </c>
      <c r="L104" s="35" t="s">
        <v>37</v>
      </c>
      <c r="M104" s="35" t="s">
        <v>38</v>
      </c>
      <c r="O104" s="59">
        <v>50</v>
      </c>
      <c r="P104" s="59">
        <v>50</v>
      </c>
      <c r="Q104" s="56">
        <v>0</v>
      </c>
      <c r="R104" s="35" t="s">
        <v>39</v>
      </c>
      <c r="T104" s="35" t="s">
        <v>60</v>
      </c>
      <c r="U104" s="35" t="s">
        <v>133</v>
      </c>
    </row>
    <row r="105" spans="1:21">
      <c r="A105" s="72">
        <v>2023</v>
      </c>
      <c r="B105" s="35" t="s">
        <v>185</v>
      </c>
      <c r="C105" s="74">
        <v>29163</v>
      </c>
      <c r="D105" s="56">
        <v>26</v>
      </c>
      <c r="E105" s="76">
        <v>45104</v>
      </c>
      <c r="F105" s="35" t="s">
        <v>32</v>
      </c>
      <c r="G105" s="80" t="s">
        <v>57</v>
      </c>
      <c r="H105" s="35" t="s">
        <v>180</v>
      </c>
      <c r="I105" s="80" t="s">
        <v>132</v>
      </c>
      <c r="J105" s="35" t="s">
        <v>35</v>
      </c>
      <c r="K105" s="35" t="s">
        <v>36</v>
      </c>
      <c r="L105" s="35" t="s">
        <v>37</v>
      </c>
      <c r="M105" s="35" t="s">
        <v>38</v>
      </c>
      <c r="O105" s="59">
        <v>50</v>
      </c>
      <c r="P105" s="59">
        <v>50</v>
      </c>
      <c r="Q105" s="56">
        <v>0</v>
      </c>
      <c r="R105" s="35" t="s">
        <v>39</v>
      </c>
      <c r="T105" s="35" t="s">
        <v>60</v>
      </c>
      <c r="U105" s="35" t="s">
        <v>133</v>
      </c>
    </row>
    <row r="106" spans="1:21" s="86" customFormat="1">
      <c r="A106" s="85">
        <v>2023</v>
      </c>
      <c r="B106" s="86" t="s">
        <v>186</v>
      </c>
      <c r="C106" s="87">
        <v>29164</v>
      </c>
      <c r="D106" s="88">
        <v>26</v>
      </c>
      <c r="E106" s="89">
        <v>45104</v>
      </c>
      <c r="F106" s="86" t="s">
        <v>32</v>
      </c>
      <c r="G106" s="90" t="s">
        <v>57</v>
      </c>
      <c r="H106" s="86" t="s">
        <v>180</v>
      </c>
      <c r="I106" s="90" t="s">
        <v>132</v>
      </c>
      <c r="J106" s="86" t="s">
        <v>35</v>
      </c>
      <c r="K106" s="86" t="s">
        <v>36</v>
      </c>
      <c r="L106" s="86" t="s">
        <v>37</v>
      </c>
      <c r="M106" s="86" t="s">
        <v>38</v>
      </c>
      <c r="N106" s="85"/>
      <c r="O106" s="85">
        <v>50</v>
      </c>
      <c r="P106" s="85">
        <v>50</v>
      </c>
      <c r="Q106" s="88">
        <v>1</v>
      </c>
      <c r="R106" s="86" t="s">
        <v>187</v>
      </c>
      <c r="T106" s="86" t="s">
        <v>60</v>
      </c>
      <c r="U106" s="86" t="s">
        <v>133</v>
      </c>
    </row>
    <row r="107" spans="1:21">
      <c r="A107" s="59">
        <v>2023</v>
      </c>
      <c r="B107" s="35" t="s">
        <v>188</v>
      </c>
      <c r="C107" s="74">
        <v>29165</v>
      </c>
      <c r="D107" s="56">
        <v>26</v>
      </c>
      <c r="E107" s="76">
        <v>45104</v>
      </c>
      <c r="F107" s="35" t="s">
        <v>32</v>
      </c>
      <c r="G107" s="80" t="s">
        <v>57</v>
      </c>
      <c r="H107" s="35" t="s">
        <v>180</v>
      </c>
      <c r="I107" s="80" t="s">
        <v>132</v>
      </c>
      <c r="J107" s="35" t="s">
        <v>35</v>
      </c>
      <c r="K107" s="35" t="s">
        <v>36</v>
      </c>
      <c r="L107" s="35" t="s">
        <v>37</v>
      </c>
      <c r="M107" s="35" t="s">
        <v>38</v>
      </c>
      <c r="O107" s="59">
        <v>50</v>
      </c>
      <c r="P107" s="59">
        <v>50</v>
      </c>
      <c r="Q107" s="56">
        <v>0</v>
      </c>
      <c r="R107" s="35" t="s">
        <v>39</v>
      </c>
      <c r="T107" s="35" t="s">
        <v>60</v>
      </c>
      <c r="U107" s="35" t="s">
        <v>133</v>
      </c>
    </row>
    <row r="108" spans="1:21">
      <c r="A108" s="80">
        <v>2023</v>
      </c>
      <c r="B108" s="35" t="s">
        <v>189</v>
      </c>
      <c r="C108" s="74">
        <v>29166</v>
      </c>
      <c r="D108" s="56">
        <v>26</v>
      </c>
      <c r="E108" s="76">
        <v>45104</v>
      </c>
      <c r="F108" s="35" t="s">
        <v>32</v>
      </c>
      <c r="G108" s="80" t="s">
        <v>57</v>
      </c>
      <c r="H108" s="35" t="s">
        <v>180</v>
      </c>
      <c r="I108" s="80" t="s">
        <v>132</v>
      </c>
      <c r="J108" s="35" t="s">
        <v>35</v>
      </c>
      <c r="K108" s="35" t="s">
        <v>36</v>
      </c>
      <c r="L108" s="35" t="s">
        <v>37</v>
      </c>
      <c r="M108" s="35" t="s">
        <v>38</v>
      </c>
      <c r="O108" s="59">
        <v>50</v>
      </c>
      <c r="P108" s="59">
        <v>50</v>
      </c>
      <c r="Q108" s="56">
        <v>0</v>
      </c>
      <c r="R108" s="35" t="s">
        <v>39</v>
      </c>
      <c r="T108" s="35" t="s">
        <v>60</v>
      </c>
      <c r="U108" s="35" t="s">
        <v>133</v>
      </c>
    </row>
    <row r="109" spans="1:21">
      <c r="A109" s="80">
        <v>2023</v>
      </c>
      <c r="B109" s="35" t="s">
        <v>190</v>
      </c>
      <c r="C109" s="74">
        <v>29167</v>
      </c>
      <c r="D109" s="56">
        <v>26</v>
      </c>
      <c r="E109" s="76">
        <v>45104</v>
      </c>
      <c r="F109" s="35" t="s">
        <v>32</v>
      </c>
      <c r="G109" s="80" t="s">
        <v>57</v>
      </c>
      <c r="H109" s="35" t="s">
        <v>180</v>
      </c>
      <c r="I109" s="80" t="s">
        <v>132</v>
      </c>
      <c r="J109" s="35" t="s">
        <v>35</v>
      </c>
      <c r="K109" s="35" t="s">
        <v>36</v>
      </c>
      <c r="L109" s="35" t="s">
        <v>37</v>
      </c>
      <c r="M109" s="35" t="s">
        <v>38</v>
      </c>
      <c r="O109" s="59">
        <v>50</v>
      </c>
      <c r="P109" s="59">
        <v>50</v>
      </c>
      <c r="Q109" s="56">
        <v>0</v>
      </c>
      <c r="R109" s="35" t="s">
        <v>39</v>
      </c>
      <c r="T109" s="35" t="s">
        <v>60</v>
      </c>
      <c r="U109" s="35" t="s">
        <v>133</v>
      </c>
    </row>
    <row r="110" spans="1:21">
      <c r="A110" s="80">
        <v>2023</v>
      </c>
      <c r="B110" s="35" t="s">
        <v>191</v>
      </c>
      <c r="C110" s="74">
        <v>29168</v>
      </c>
      <c r="D110" s="56">
        <v>26</v>
      </c>
      <c r="E110" s="76">
        <v>45104</v>
      </c>
      <c r="F110" s="35" t="s">
        <v>32</v>
      </c>
      <c r="G110" s="80" t="s">
        <v>57</v>
      </c>
      <c r="H110" s="35" t="s">
        <v>180</v>
      </c>
      <c r="I110" s="80" t="s">
        <v>132</v>
      </c>
      <c r="J110" s="35" t="s">
        <v>35</v>
      </c>
      <c r="K110" s="35" t="s">
        <v>36</v>
      </c>
      <c r="L110" s="35" t="s">
        <v>37</v>
      </c>
      <c r="M110" s="35" t="s">
        <v>38</v>
      </c>
      <c r="O110" s="59">
        <v>50</v>
      </c>
      <c r="P110" s="59">
        <v>50</v>
      </c>
      <c r="Q110" s="56">
        <v>0</v>
      </c>
      <c r="R110" s="35" t="s">
        <v>39</v>
      </c>
      <c r="T110" s="35" t="s">
        <v>60</v>
      </c>
      <c r="U110" s="35" t="s">
        <v>133</v>
      </c>
    </row>
    <row r="111" spans="1:21">
      <c r="A111" s="80">
        <v>2023</v>
      </c>
      <c r="B111" s="35" t="s">
        <v>192</v>
      </c>
      <c r="C111" s="74">
        <v>29169</v>
      </c>
      <c r="D111" s="56">
        <v>26</v>
      </c>
      <c r="E111" s="76">
        <v>45104</v>
      </c>
      <c r="F111" s="35" t="s">
        <v>32</v>
      </c>
      <c r="G111" s="80" t="s">
        <v>57</v>
      </c>
      <c r="H111" s="35" t="s">
        <v>180</v>
      </c>
      <c r="I111" s="80" t="s">
        <v>132</v>
      </c>
      <c r="J111" s="35" t="s">
        <v>35</v>
      </c>
      <c r="K111" s="35" t="s">
        <v>36</v>
      </c>
      <c r="L111" s="35" t="s">
        <v>37</v>
      </c>
      <c r="M111" s="35" t="s">
        <v>38</v>
      </c>
      <c r="O111" s="59">
        <v>50</v>
      </c>
      <c r="P111" s="59">
        <v>50</v>
      </c>
      <c r="Q111" s="56">
        <v>0</v>
      </c>
      <c r="R111" s="35" t="s">
        <v>39</v>
      </c>
      <c r="T111" s="35" t="s">
        <v>60</v>
      </c>
      <c r="U111" s="35" t="s">
        <v>133</v>
      </c>
    </row>
    <row r="112" spans="1:21">
      <c r="A112" s="80">
        <v>2023</v>
      </c>
      <c r="B112" s="35" t="s">
        <v>193</v>
      </c>
      <c r="C112" s="74">
        <v>29170</v>
      </c>
      <c r="D112" s="56">
        <v>26</v>
      </c>
      <c r="E112" s="76">
        <v>45104</v>
      </c>
      <c r="F112" s="35" t="s">
        <v>32</v>
      </c>
      <c r="G112" s="80" t="s">
        <v>57</v>
      </c>
      <c r="H112" s="35" t="s">
        <v>180</v>
      </c>
      <c r="I112" s="80" t="s">
        <v>132</v>
      </c>
      <c r="J112" s="35" t="s">
        <v>35</v>
      </c>
      <c r="K112" s="35" t="s">
        <v>36</v>
      </c>
      <c r="L112" s="35" t="s">
        <v>37</v>
      </c>
      <c r="M112" s="35" t="s">
        <v>38</v>
      </c>
      <c r="O112" s="59">
        <v>10</v>
      </c>
      <c r="P112" s="59">
        <v>10</v>
      </c>
      <c r="Q112" s="56">
        <v>0</v>
      </c>
      <c r="R112" s="35" t="s">
        <v>39</v>
      </c>
      <c r="T112" s="35" t="s">
        <v>60</v>
      </c>
      <c r="U112" s="35" t="s">
        <v>133</v>
      </c>
    </row>
    <row r="113" spans="1:21">
      <c r="A113" s="80">
        <v>2023</v>
      </c>
      <c r="B113" s="35" t="s">
        <v>194</v>
      </c>
      <c r="C113" s="74">
        <v>29171</v>
      </c>
      <c r="D113" s="56">
        <v>26</v>
      </c>
      <c r="E113" s="76">
        <v>45104</v>
      </c>
      <c r="F113" s="35" t="s">
        <v>32</v>
      </c>
      <c r="G113" s="80" t="s">
        <v>57</v>
      </c>
      <c r="H113" s="35" t="s">
        <v>180</v>
      </c>
      <c r="I113" s="80" t="s">
        <v>132</v>
      </c>
      <c r="J113" s="35" t="s">
        <v>35</v>
      </c>
      <c r="K113" s="35" t="s">
        <v>36</v>
      </c>
      <c r="L113" s="35" t="s">
        <v>54</v>
      </c>
      <c r="M113" s="35" t="s">
        <v>38</v>
      </c>
      <c r="O113" s="59">
        <v>18</v>
      </c>
      <c r="P113" s="59">
        <v>18</v>
      </c>
      <c r="Q113" s="56">
        <v>0</v>
      </c>
      <c r="R113" s="35" t="s">
        <v>39</v>
      </c>
      <c r="T113" s="35" t="s">
        <v>70</v>
      </c>
      <c r="U113" s="35" t="s">
        <v>141</v>
      </c>
    </row>
    <row r="114" spans="1:21">
      <c r="A114" s="80">
        <v>2023</v>
      </c>
      <c r="B114" s="35" t="s">
        <v>195</v>
      </c>
      <c r="C114" s="74">
        <v>29172</v>
      </c>
      <c r="D114" s="56">
        <v>26</v>
      </c>
      <c r="E114" s="76">
        <v>45104</v>
      </c>
      <c r="F114" s="35" t="s">
        <v>32</v>
      </c>
      <c r="G114" s="80" t="s">
        <v>57</v>
      </c>
      <c r="H114" s="35" t="s">
        <v>196</v>
      </c>
      <c r="I114" s="80" t="s">
        <v>132</v>
      </c>
      <c r="J114" s="35" t="s">
        <v>35</v>
      </c>
      <c r="K114" s="35" t="s">
        <v>36</v>
      </c>
      <c r="L114" s="35" t="s">
        <v>37</v>
      </c>
      <c r="M114" s="35" t="s">
        <v>38</v>
      </c>
      <c r="O114" s="59">
        <v>50</v>
      </c>
      <c r="P114" s="59">
        <v>50</v>
      </c>
      <c r="Q114" s="56">
        <v>0</v>
      </c>
      <c r="R114" s="35" t="s">
        <v>39</v>
      </c>
      <c r="T114" s="35" t="s">
        <v>60</v>
      </c>
      <c r="U114" s="35" t="s">
        <v>133</v>
      </c>
    </row>
    <row r="115" spans="1:21">
      <c r="A115" s="80">
        <v>2023</v>
      </c>
      <c r="B115" s="35" t="s">
        <v>197</v>
      </c>
      <c r="C115" s="74">
        <v>29173</v>
      </c>
      <c r="D115" s="56">
        <v>26</v>
      </c>
      <c r="E115" s="76">
        <v>45104</v>
      </c>
      <c r="F115" s="35" t="s">
        <v>32</v>
      </c>
      <c r="G115" s="80" t="s">
        <v>57</v>
      </c>
      <c r="H115" s="35" t="s">
        <v>196</v>
      </c>
      <c r="I115" s="80" t="s">
        <v>132</v>
      </c>
      <c r="J115" s="35" t="s">
        <v>35</v>
      </c>
      <c r="K115" s="35" t="s">
        <v>36</v>
      </c>
      <c r="L115" s="35" t="s">
        <v>37</v>
      </c>
      <c r="M115" s="35" t="s">
        <v>38</v>
      </c>
      <c r="O115" s="59">
        <v>50</v>
      </c>
      <c r="P115" s="59">
        <v>50</v>
      </c>
      <c r="Q115" s="56">
        <v>0</v>
      </c>
      <c r="R115" s="35" t="s">
        <v>39</v>
      </c>
      <c r="T115" s="35" t="s">
        <v>60</v>
      </c>
      <c r="U115" s="35" t="s">
        <v>133</v>
      </c>
    </row>
    <row r="116" spans="1:21">
      <c r="A116" s="80">
        <v>2023</v>
      </c>
      <c r="B116" s="35" t="s">
        <v>198</v>
      </c>
      <c r="C116" s="74">
        <v>29174</v>
      </c>
      <c r="D116" s="56">
        <v>26</v>
      </c>
      <c r="E116" s="76">
        <v>45104</v>
      </c>
      <c r="F116" s="35" t="s">
        <v>32</v>
      </c>
      <c r="G116" s="80" t="s">
        <v>57</v>
      </c>
      <c r="H116" s="35" t="s">
        <v>196</v>
      </c>
      <c r="I116" s="80" t="s">
        <v>132</v>
      </c>
      <c r="J116" s="35" t="s">
        <v>35</v>
      </c>
      <c r="K116" s="35" t="s">
        <v>36</v>
      </c>
      <c r="L116" s="35" t="s">
        <v>37</v>
      </c>
      <c r="M116" s="35" t="s">
        <v>38</v>
      </c>
      <c r="O116" s="59">
        <v>28</v>
      </c>
      <c r="P116" s="59">
        <v>28</v>
      </c>
      <c r="Q116" s="56">
        <v>0</v>
      </c>
      <c r="R116" s="35" t="s">
        <v>39</v>
      </c>
      <c r="T116" s="35" t="s">
        <v>60</v>
      </c>
      <c r="U116" s="35" t="s">
        <v>133</v>
      </c>
    </row>
    <row r="117" spans="1:21">
      <c r="A117" s="80">
        <v>2023</v>
      </c>
      <c r="B117" s="35" t="s">
        <v>199</v>
      </c>
      <c r="C117" s="74">
        <v>29175</v>
      </c>
      <c r="D117" s="56">
        <v>26</v>
      </c>
      <c r="E117" s="76">
        <v>45104</v>
      </c>
      <c r="F117" s="35" t="s">
        <v>32</v>
      </c>
      <c r="G117" s="80" t="s">
        <v>57</v>
      </c>
      <c r="H117" s="35" t="s">
        <v>196</v>
      </c>
      <c r="I117" s="80" t="s">
        <v>132</v>
      </c>
      <c r="J117" s="35" t="s">
        <v>35</v>
      </c>
      <c r="K117" s="35" t="s">
        <v>36</v>
      </c>
      <c r="L117" s="35" t="s">
        <v>54</v>
      </c>
      <c r="M117" s="35" t="s">
        <v>38</v>
      </c>
      <c r="O117" s="59">
        <v>6</v>
      </c>
      <c r="P117" s="59">
        <v>6</v>
      </c>
      <c r="Q117" s="56">
        <v>0</v>
      </c>
      <c r="R117" s="35" t="s">
        <v>39</v>
      </c>
      <c r="T117" s="35" t="s">
        <v>70</v>
      </c>
      <c r="U117" s="35" t="s">
        <v>141</v>
      </c>
    </row>
    <row r="118" spans="1:21">
      <c r="A118" s="80">
        <v>2023</v>
      </c>
      <c r="B118" s="35" t="s">
        <v>200</v>
      </c>
      <c r="C118" s="74">
        <v>29176</v>
      </c>
      <c r="D118" s="56">
        <v>26</v>
      </c>
      <c r="E118" s="76">
        <v>45104</v>
      </c>
      <c r="F118" s="35" t="s">
        <v>32</v>
      </c>
      <c r="G118" s="80" t="s">
        <v>57</v>
      </c>
      <c r="H118" s="35" t="s">
        <v>201</v>
      </c>
      <c r="I118" s="80" t="s">
        <v>132</v>
      </c>
      <c r="J118" s="35" t="s">
        <v>35</v>
      </c>
      <c r="K118" s="35" t="s">
        <v>36</v>
      </c>
      <c r="L118" s="35" t="s">
        <v>37</v>
      </c>
      <c r="M118" s="35" t="s">
        <v>38</v>
      </c>
      <c r="O118" s="59">
        <v>50</v>
      </c>
      <c r="P118" s="59">
        <v>50</v>
      </c>
      <c r="Q118" s="56">
        <v>0</v>
      </c>
      <c r="R118" s="35" t="s">
        <v>39</v>
      </c>
      <c r="T118" s="35" t="s">
        <v>60</v>
      </c>
      <c r="U118" s="35" t="s">
        <v>133</v>
      </c>
    </row>
    <row r="119" spans="1:21">
      <c r="A119" s="80">
        <v>2023</v>
      </c>
      <c r="B119" s="35" t="s">
        <v>202</v>
      </c>
      <c r="C119" s="74">
        <v>29177</v>
      </c>
      <c r="D119" s="56">
        <v>26</v>
      </c>
      <c r="E119" s="76">
        <v>45104</v>
      </c>
      <c r="F119" s="35" t="s">
        <v>32</v>
      </c>
      <c r="G119" s="80" t="s">
        <v>57</v>
      </c>
      <c r="H119" s="35" t="s">
        <v>201</v>
      </c>
      <c r="I119" s="80" t="s">
        <v>132</v>
      </c>
      <c r="J119" s="35" t="s">
        <v>35</v>
      </c>
      <c r="K119" s="35" t="s">
        <v>36</v>
      </c>
      <c r="L119" s="35" t="s">
        <v>37</v>
      </c>
      <c r="M119" s="35" t="s">
        <v>38</v>
      </c>
      <c r="O119" s="59">
        <v>50</v>
      </c>
      <c r="P119" s="59">
        <v>50</v>
      </c>
      <c r="Q119" s="56">
        <v>0</v>
      </c>
      <c r="R119" s="35" t="s">
        <v>39</v>
      </c>
      <c r="T119" s="35" t="s">
        <v>60</v>
      </c>
      <c r="U119" s="35" t="s">
        <v>133</v>
      </c>
    </row>
    <row r="120" spans="1:21">
      <c r="A120" s="59">
        <v>2023</v>
      </c>
      <c r="B120" s="35" t="s">
        <v>203</v>
      </c>
      <c r="C120" s="74">
        <v>29178</v>
      </c>
      <c r="D120" s="56">
        <v>26</v>
      </c>
      <c r="E120" s="76">
        <v>45104</v>
      </c>
      <c r="F120" s="35" t="s">
        <v>32</v>
      </c>
      <c r="G120" s="80" t="s">
        <v>57</v>
      </c>
      <c r="H120" s="35" t="s">
        <v>201</v>
      </c>
      <c r="I120" s="80" t="s">
        <v>132</v>
      </c>
      <c r="J120" s="35" t="s">
        <v>35</v>
      </c>
      <c r="K120" s="35" t="s">
        <v>36</v>
      </c>
      <c r="L120" s="35" t="s">
        <v>37</v>
      </c>
      <c r="M120" s="35" t="s">
        <v>38</v>
      </c>
      <c r="O120" s="59">
        <v>50</v>
      </c>
      <c r="P120" s="59">
        <v>50</v>
      </c>
      <c r="Q120" s="56">
        <v>0</v>
      </c>
      <c r="R120" s="35" t="s">
        <v>39</v>
      </c>
      <c r="T120" s="35" t="s">
        <v>60</v>
      </c>
      <c r="U120" s="35" t="s">
        <v>133</v>
      </c>
    </row>
    <row r="121" spans="1:21">
      <c r="A121" s="59">
        <v>2023</v>
      </c>
      <c r="B121" s="35" t="s">
        <v>204</v>
      </c>
      <c r="C121" s="74">
        <v>29179</v>
      </c>
      <c r="D121" s="56">
        <v>26</v>
      </c>
      <c r="E121" s="76">
        <v>45104</v>
      </c>
      <c r="F121" s="35" t="s">
        <v>32</v>
      </c>
      <c r="G121" s="80" t="s">
        <v>57</v>
      </c>
      <c r="H121" s="35" t="s">
        <v>201</v>
      </c>
      <c r="I121" s="80" t="s">
        <v>132</v>
      </c>
      <c r="J121" s="35" t="s">
        <v>35</v>
      </c>
      <c r="K121" s="35" t="s">
        <v>36</v>
      </c>
      <c r="L121" s="35" t="s">
        <v>37</v>
      </c>
      <c r="M121" s="35" t="s">
        <v>38</v>
      </c>
      <c r="O121" s="59">
        <v>50</v>
      </c>
      <c r="P121" s="59">
        <v>50</v>
      </c>
      <c r="Q121" s="56">
        <v>0</v>
      </c>
      <c r="R121" s="35" t="s">
        <v>39</v>
      </c>
      <c r="T121" s="35" t="s">
        <v>60</v>
      </c>
      <c r="U121" s="35" t="s">
        <v>133</v>
      </c>
    </row>
    <row r="122" spans="1:21">
      <c r="A122" s="59">
        <v>2023</v>
      </c>
      <c r="B122" s="35" t="s">
        <v>205</v>
      </c>
      <c r="C122" s="74">
        <v>29180</v>
      </c>
      <c r="D122" s="56">
        <v>26</v>
      </c>
      <c r="E122" s="76">
        <v>45104</v>
      </c>
      <c r="F122" s="35" t="s">
        <v>32</v>
      </c>
      <c r="G122" s="80" t="s">
        <v>57</v>
      </c>
      <c r="H122" s="35" t="s">
        <v>201</v>
      </c>
      <c r="I122" s="80" t="s">
        <v>132</v>
      </c>
      <c r="J122" s="35" t="s">
        <v>35</v>
      </c>
      <c r="K122" s="35" t="s">
        <v>36</v>
      </c>
      <c r="L122" s="35" t="s">
        <v>37</v>
      </c>
      <c r="M122" s="35" t="s">
        <v>38</v>
      </c>
      <c r="O122" s="59">
        <v>12</v>
      </c>
      <c r="P122" s="59">
        <v>12</v>
      </c>
      <c r="Q122" s="56">
        <v>0</v>
      </c>
      <c r="R122" s="35" t="s">
        <v>39</v>
      </c>
      <c r="T122" s="35" t="s">
        <v>60</v>
      </c>
      <c r="U122" s="35" t="s">
        <v>133</v>
      </c>
    </row>
    <row r="123" spans="1:21">
      <c r="A123" s="59">
        <v>2023</v>
      </c>
      <c r="B123" s="35" t="s">
        <v>206</v>
      </c>
      <c r="C123" s="74">
        <v>29181</v>
      </c>
      <c r="D123" s="56">
        <v>26</v>
      </c>
      <c r="E123" s="76">
        <v>45104</v>
      </c>
      <c r="F123" s="35" t="s">
        <v>32</v>
      </c>
      <c r="G123" s="80" t="s">
        <v>57</v>
      </c>
      <c r="H123" s="35" t="s">
        <v>201</v>
      </c>
      <c r="I123" s="80" t="s">
        <v>132</v>
      </c>
      <c r="J123" s="35" t="s">
        <v>35</v>
      </c>
      <c r="K123" s="35" t="s">
        <v>36</v>
      </c>
      <c r="L123" s="35" t="s">
        <v>54</v>
      </c>
      <c r="M123" s="35" t="s">
        <v>38</v>
      </c>
      <c r="O123" s="59">
        <v>3</v>
      </c>
      <c r="P123" s="59">
        <v>3</v>
      </c>
      <c r="Q123" s="56">
        <v>0</v>
      </c>
      <c r="R123" s="35" t="s">
        <v>39</v>
      </c>
      <c r="T123" s="35" t="s">
        <v>70</v>
      </c>
      <c r="U123" s="35" t="s">
        <v>141</v>
      </c>
    </row>
    <row r="124" spans="1:21">
      <c r="A124" s="59">
        <v>2023</v>
      </c>
      <c r="B124" s="35" t="s">
        <v>207</v>
      </c>
      <c r="C124" s="74">
        <v>29182</v>
      </c>
      <c r="D124" s="56">
        <v>26</v>
      </c>
      <c r="E124" s="76">
        <v>45104</v>
      </c>
      <c r="F124" s="35" t="s">
        <v>32</v>
      </c>
      <c r="G124" s="80" t="s">
        <v>57</v>
      </c>
      <c r="H124" s="35" t="s">
        <v>208</v>
      </c>
      <c r="I124" s="80" t="s">
        <v>132</v>
      </c>
      <c r="J124" s="35" t="s">
        <v>35</v>
      </c>
      <c r="K124" s="35" t="s">
        <v>36</v>
      </c>
      <c r="L124" s="35" t="s">
        <v>37</v>
      </c>
      <c r="M124" s="35" t="s">
        <v>38</v>
      </c>
      <c r="O124" s="59">
        <v>50</v>
      </c>
      <c r="P124" s="59">
        <v>50</v>
      </c>
      <c r="Q124" s="56">
        <v>0</v>
      </c>
      <c r="R124" s="35" t="s">
        <v>39</v>
      </c>
      <c r="T124" s="35" t="s">
        <v>60</v>
      </c>
      <c r="U124" s="35" t="s">
        <v>133</v>
      </c>
    </row>
    <row r="125" spans="1:21">
      <c r="A125" s="59">
        <v>2023</v>
      </c>
      <c r="B125" s="35" t="s">
        <v>209</v>
      </c>
      <c r="C125" s="74">
        <v>29183</v>
      </c>
      <c r="D125" s="56">
        <v>26</v>
      </c>
      <c r="E125" s="76">
        <v>45104</v>
      </c>
      <c r="F125" s="35" t="s">
        <v>32</v>
      </c>
      <c r="G125" s="80" t="s">
        <v>57</v>
      </c>
      <c r="H125" s="35" t="s">
        <v>208</v>
      </c>
      <c r="I125" s="80" t="s">
        <v>132</v>
      </c>
      <c r="J125" s="35" t="s">
        <v>35</v>
      </c>
      <c r="K125" s="35" t="s">
        <v>36</v>
      </c>
      <c r="L125" s="35" t="s">
        <v>37</v>
      </c>
      <c r="M125" s="35" t="s">
        <v>38</v>
      </c>
      <c r="O125" s="59">
        <v>50</v>
      </c>
      <c r="P125" s="59">
        <v>50</v>
      </c>
      <c r="Q125" s="56">
        <v>0</v>
      </c>
      <c r="R125" s="35" t="s">
        <v>39</v>
      </c>
      <c r="T125" s="35" t="s">
        <v>60</v>
      </c>
      <c r="U125" s="35" t="s">
        <v>133</v>
      </c>
    </row>
    <row r="126" spans="1:21">
      <c r="A126" s="59">
        <v>2023</v>
      </c>
      <c r="B126" s="35" t="s">
        <v>210</v>
      </c>
      <c r="C126" s="74">
        <v>29184</v>
      </c>
      <c r="D126" s="56">
        <v>26</v>
      </c>
      <c r="E126" s="76">
        <v>45104</v>
      </c>
      <c r="F126" s="35" t="s">
        <v>32</v>
      </c>
      <c r="G126" s="80" t="s">
        <v>57</v>
      </c>
      <c r="H126" s="35" t="s">
        <v>208</v>
      </c>
      <c r="I126" s="80" t="s">
        <v>132</v>
      </c>
      <c r="J126" s="35" t="s">
        <v>35</v>
      </c>
      <c r="K126" s="35" t="s">
        <v>36</v>
      </c>
      <c r="L126" s="35" t="s">
        <v>37</v>
      </c>
      <c r="M126" s="35" t="s">
        <v>38</v>
      </c>
      <c r="O126" s="59">
        <v>50</v>
      </c>
      <c r="P126" s="59">
        <v>50</v>
      </c>
      <c r="Q126" s="56">
        <v>0</v>
      </c>
      <c r="R126" s="35" t="s">
        <v>39</v>
      </c>
      <c r="T126" s="35" t="s">
        <v>60</v>
      </c>
      <c r="U126" s="35" t="s">
        <v>133</v>
      </c>
    </row>
    <row r="127" spans="1:21">
      <c r="A127" s="59">
        <v>2023</v>
      </c>
      <c r="B127" s="35" t="s">
        <v>211</v>
      </c>
      <c r="C127" s="74">
        <v>29185</v>
      </c>
      <c r="D127" s="56">
        <v>26</v>
      </c>
      <c r="E127" s="76">
        <v>45104</v>
      </c>
      <c r="F127" s="35" t="s">
        <v>32</v>
      </c>
      <c r="G127" s="80" t="s">
        <v>57</v>
      </c>
      <c r="H127" s="35" t="s">
        <v>208</v>
      </c>
      <c r="I127" s="35" t="s">
        <v>132</v>
      </c>
      <c r="J127" s="35" t="s">
        <v>35</v>
      </c>
      <c r="K127" s="35" t="s">
        <v>36</v>
      </c>
      <c r="L127" s="35" t="s">
        <v>37</v>
      </c>
      <c r="M127" s="35" t="s">
        <v>38</v>
      </c>
      <c r="O127" s="59">
        <v>50</v>
      </c>
      <c r="P127" s="59">
        <v>50</v>
      </c>
      <c r="Q127" s="56">
        <v>0</v>
      </c>
      <c r="R127" s="35" t="s">
        <v>39</v>
      </c>
      <c r="T127" s="35" t="s">
        <v>60</v>
      </c>
      <c r="U127" s="35" t="s">
        <v>133</v>
      </c>
    </row>
    <row r="128" spans="1:21">
      <c r="A128" s="59">
        <v>2023</v>
      </c>
      <c r="B128" s="35" t="s">
        <v>212</v>
      </c>
      <c r="C128" s="74">
        <v>29186</v>
      </c>
      <c r="D128" s="56">
        <v>26</v>
      </c>
      <c r="E128" s="76">
        <v>45104</v>
      </c>
      <c r="F128" s="35" t="s">
        <v>32</v>
      </c>
      <c r="G128" s="80" t="s">
        <v>57</v>
      </c>
      <c r="H128" s="35" t="s">
        <v>208</v>
      </c>
      <c r="I128" s="35" t="s">
        <v>132</v>
      </c>
      <c r="J128" s="35" t="s">
        <v>35</v>
      </c>
      <c r="K128" s="35" t="s">
        <v>36</v>
      </c>
      <c r="L128" s="35" t="s">
        <v>37</v>
      </c>
      <c r="M128" s="35" t="s">
        <v>38</v>
      </c>
      <c r="O128" s="59">
        <v>50</v>
      </c>
      <c r="P128" s="59">
        <v>50</v>
      </c>
      <c r="Q128" s="56">
        <v>0</v>
      </c>
      <c r="R128" s="35" t="s">
        <v>39</v>
      </c>
      <c r="T128" s="35" t="s">
        <v>60</v>
      </c>
      <c r="U128" s="35" t="s">
        <v>133</v>
      </c>
    </row>
    <row r="129" spans="1:21">
      <c r="A129" s="59">
        <v>2023</v>
      </c>
      <c r="B129" s="35" t="s">
        <v>213</v>
      </c>
      <c r="C129" s="74">
        <v>29187</v>
      </c>
      <c r="D129" s="56">
        <v>26</v>
      </c>
      <c r="E129" s="76">
        <v>45104</v>
      </c>
      <c r="F129" s="35" t="s">
        <v>32</v>
      </c>
      <c r="G129" s="80" t="s">
        <v>57</v>
      </c>
      <c r="H129" s="35" t="s">
        <v>208</v>
      </c>
      <c r="I129" s="35" t="s">
        <v>132</v>
      </c>
      <c r="J129" s="35" t="s">
        <v>35</v>
      </c>
      <c r="K129" s="35" t="s">
        <v>36</v>
      </c>
      <c r="L129" s="35" t="s">
        <v>37</v>
      </c>
      <c r="M129" s="35" t="s">
        <v>38</v>
      </c>
      <c r="O129" s="59">
        <v>50</v>
      </c>
      <c r="P129" s="59">
        <v>50</v>
      </c>
      <c r="Q129" s="56">
        <v>0</v>
      </c>
      <c r="R129" s="35" t="s">
        <v>39</v>
      </c>
      <c r="T129" s="35" t="s">
        <v>60</v>
      </c>
      <c r="U129" s="35" t="s">
        <v>133</v>
      </c>
    </row>
    <row r="130" spans="1:21">
      <c r="A130" s="59">
        <v>2023</v>
      </c>
      <c r="B130" s="35" t="s">
        <v>214</v>
      </c>
      <c r="C130" s="74">
        <v>29188</v>
      </c>
      <c r="D130" s="56">
        <v>26</v>
      </c>
      <c r="E130" s="76">
        <v>45104</v>
      </c>
      <c r="F130" s="35" t="s">
        <v>32</v>
      </c>
      <c r="G130" s="80" t="s">
        <v>57</v>
      </c>
      <c r="H130" s="35" t="s">
        <v>208</v>
      </c>
      <c r="I130" s="35" t="s">
        <v>132</v>
      </c>
      <c r="J130" s="35" t="s">
        <v>35</v>
      </c>
      <c r="K130" s="35" t="s">
        <v>36</v>
      </c>
      <c r="L130" s="35" t="s">
        <v>37</v>
      </c>
      <c r="M130" s="35" t="s">
        <v>38</v>
      </c>
      <c r="O130" s="59">
        <v>50</v>
      </c>
      <c r="P130" s="59">
        <v>50</v>
      </c>
      <c r="Q130" s="56">
        <v>0</v>
      </c>
      <c r="R130" s="35" t="s">
        <v>39</v>
      </c>
      <c r="T130" s="35" t="s">
        <v>60</v>
      </c>
      <c r="U130" s="35" t="s">
        <v>133</v>
      </c>
    </row>
    <row r="131" spans="1:21">
      <c r="A131" s="59">
        <v>2023</v>
      </c>
      <c r="B131" s="35" t="s">
        <v>215</v>
      </c>
      <c r="C131" s="74">
        <v>29189</v>
      </c>
      <c r="D131" s="56">
        <v>26</v>
      </c>
      <c r="E131" s="76">
        <v>45104</v>
      </c>
      <c r="F131" s="35" t="s">
        <v>32</v>
      </c>
      <c r="G131" s="80" t="s">
        <v>57</v>
      </c>
      <c r="H131" s="35" t="s">
        <v>216</v>
      </c>
      <c r="I131" s="35" t="s">
        <v>132</v>
      </c>
      <c r="J131" s="35" t="s">
        <v>35</v>
      </c>
      <c r="K131" s="35" t="s">
        <v>36</v>
      </c>
      <c r="L131" s="35" t="s">
        <v>37</v>
      </c>
      <c r="M131" s="35" t="s">
        <v>38</v>
      </c>
      <c r="O131" s="59">
        <v>50</v>
      </c>
      <c r="P131" s="59">
        <v>50</v>
      </c>
      <c r="Q131" s="56">
        <v>0</v>
      </c>
      <c r="R131" s="35" t="s">
        <v>39</v>
      </c>
      <c r="T131" s="35" t="s">
        <v>60</v>
      </c>
      <c r="U131" s="35" t="s">
        <v>133</v>
      </c>
    </row>
    <row r="132" spans="1:21">
      <c r="A132" s="59">
        <v>2023</v>
      </c>
      <c r="B132" s="35" t="s">
        <v>217</v>
      </c>
      <c r="C132" s="74">
        <v>29190</v>
      </c>
      <c r="D132" s="56">
        <v>26</v>
      </c>
      <c r="E132" s="76">
        <v>45104</v>
      </c>
      <c r="F132" s="35" t="s">
        <v>32</v>
      </c>
      <c r="G132" s="80" t="s">
        <v>57</v>
      </c>
      <c r="H132" s="35" t="s">
        <v>216</v>
      </c>
      <c r="I132" s="80" t="s">
        <v>132</v>
      </c>
      <c r="J132" s="35" t="s">
        <v>35</v>
      </c>
      <c r="K132" s="35" t="s">
        <v>36</v>
      </c>
      <c r="L132" s="35" t="s">
        <v>37</v>
      </c>
      <c r="M132" s="35" t="s">
        <v>38</v>
      </c>
      <c r="O132" s="59">
        <v>50</v>
      </c>
      <c r="P132" s="59">
        <v>50</v>
      </c>
      <c r="Q132" s="56">
        <v>0</v>
      </c>
      <c r="R132" s="35" t="s">
        <v>39</v>
      </c>
      <c r="T132" s="35" t="s">
        <v>60</v>
      </c>
      <c r="U132" s="35" t="s">
        <v>133</v>
      </c>
    </row>
    <row r="133" spans="1:21">
      <c r="A133" s="59">
        <v>2023</v>
      </c>
      <c r="B133" s="35" t="s">
        <v>218</v>
      </c>
      <c r="C133" s="74">
        <v>29191</v>
      </c>
      <c r="D133" s="56">
        <v>26</v>
      </c>
      <c r="E133" s="76">
        <v>45104</v>
      </c>
      <c r="F133" s="35" t="s">
        <v>32</v>
      </c>
      <c r="G133" s="80" t="s">
        <v>57</v>
      </c>
      <c r="H133" s="35" t="s">
        <v>216</v>
      </c>
      <c r="I133" s="80" t="s">
        <v>132</v>
      </c>
      <c r="J133" s="35" t="s">
        <v>35</v>
      </c>
      <c r="K133" s="35" t="s">
        <v>36</v>
      </c>
      <c r="L133" s="35" t="s">
        <v>37</v>
      </c>
      <c r="M133" s="35" t="s">
        <v>38</v>
      </c>
      <c r="O133" s="59">
        <v>50</v>
      </c>
      <c r="P133" s="59">
        <v>50</v>
      </c>
      <c r="Q133" s="56">
        <v>0</v>
      </c>
      <c r="R133" s="35" t="s">
        <v>39</v>
      </c>
      <c r="T133" s="35" t="s">
        <v>60</v>
      </c>
      <c r="U133" s="35" t="s">
        <v>133</v>
      </c>
    </row>
    <row r="134" spans="1:21">
      <c r="A134" s="59">
        <v>2023</v>
      </c>
      <c r="B134" s="35" t="s">
        <v>219</v>
      </c>
      <c r="C134" s="74">
        <v>29192</v>
      </c>
      <c r="D134" s="56">
        <v>26</v>
      </c>
      <c r="E134" s="76">
        <v>45104</v>
      </c>
      <c r="F134" s="35" t="s">
        <v>32</v>
      </c>
      <c r="G134" s="80" t="s">
        <v>57</v>
      </c>
      <c r="H134" s="35" t="s">
        <v>216</v>
      </c>
      <c r="I134" s="80" t="s">
        <v>132</v>
      </c>
      <c r="J134" s="35" t="s">
        <v>35</v>
      </c>
      <c r="K134" s="35" t="s">
        <v>36</v>
      </c>
      <c r="L134" s="35" t="s">
        <v>37</v>
      </c>
      <c r="M134" s="35" t="s">
        <v>38</v>
      </c>
      <c r="O134" s="59">
        <v>2</v>
      </c>
      <c r="P134" s="59">
        <v>2</v>
      </c>
      <c r="Q134" s="56">
        <v>0</v>
      </c>
      <c r="R134" s="35" t="s">
        <v>39</v>
      </c>
      <c r="T134" s="35" t="s">
        <v>60</v>
      </c>
      <c r="U134" s="35" t="s">
        <v>133</v>
      </c>
    </row>
    <row r="135" spans="1:21">
      <c r="A135" s="59">
        <v>2023</v>
      </c>
      <c r="B135" s="35" t="s">
        <v>220</v>
      </c>
      <c r="C135" s="74">
        <v>29193</v>
      </c>
      <c r="D135" s="56">
        <v>26</v>
      </c>
      <c r="E135" s="76">
        <v>45104</v>
      </c>
      <c r="F135" s="35" t="s">
        <v>32</v>
      </c>
      <c r="G135" s="80" t="s">
        <v>57</v>
      </c>
      <c r="H135" s="35" t="s">
        <v>216</v>
      </c>
      <c r="I135" s="80" t="s">
        <v>132</v>
      </c>
      <c r="J135" s="35" t="s">
        <v>35</v>
      </c>
      <c r="K135" s="35" t="s">
        <v>36</v>
      </c>
      <c r="L135" s="35" t="s">
        <v>54</v>
      </c>
      <c r="M135" s="35" t="s">
        <v>38</v>
      </c>
      <c r="O135" s="59">
        <v>4</v>
      </c>
      <c r="P135" s="59">
        <v>4</v>
      </c>
      <c r="Q135" s="56">
        <v>0</v>
      </c>
      <c r="R135" s="35" t="s">
        <v>39</v>
      </c>
      <c r="T135" s="35" t="s">
        <v>70</v>
      </c>
      <c r="U135" s="35" t="s">
        <v>141</v>
      </c>
    </row>
    <row r="136" spans="1:21">
      <c r="A136" s="59">
        <v>2023</v>
      </c>
      <c r="B136" s="35" t="s">
        <v>221</v>
      </c>
      <c r="C136" s="74">
        <v>29194</v>
      </c>
      <c r="D136" s="56">
        <v>26</v>
      </c>
      <c r="E136" s="76">
        <v>45104</v>
      </c>
      <c r="F136" s="35" t="s">
        <v>32</v>
      </c>
      <c r="G136" s="80" t="s">
        <v>57</v>
      </c>
      <c r="H136" s="35" t="s">
        <v>222</v>
      </c>
      <c r="I136" s="80" t="s">
        <v>132</v>
      </c>
      <c r="J136" s="35" t="s">
        <v>35</v>
      </c>
      <c r="K136" s="35" t="s">
        <v>36</v>
      </c>
      <c r="L136" s="35" t="s">
        <v>37</v>
      </c>
      <c r="M136" s="35" t="s">
        <v>38</v>
      </c>
      <c r="O136" s="59">
        <v>50</v>
      </c>
      <c r="P136" s="59">
        <v>50</v>
      </c>
      <c r="Q136" s="56">
        <v>0</v>
      </c>
      <c r="R136" s="35" t="s">
        <v>39</v>
      </c>
      <c r="T136" s="35" t="s">
        <v>60</v>
      </c>
      <c r="U136" s="35" t="s">
        <v>133</v>
      </c>
    </row>
    <row r="137" spans="1:21">
      <c r="A137" s="59">
        <v>2023</v>
      </c>
      <c r="B137" s="35" t="s">
        <v>223</v>
      </c>
      <c r="C137" s="74">
        <v>29195</v>
      </c>
      <c r="D137" s="56">
        <v>26</v>
      </c>
      <c r="E137" s="76">
        <v>45104</v>
      </c>
      <c r="F137" s="35" t="s">
        <v>32</v>
      </c>
      <c r="G137" s="35" t="s">
        <v>57</v>
      </c>
      <c r="H137" s="35" t="s">
        <v>222</v>
      </c>
      <c r="I137" s="35" t="s">
        <v>132</v>
      </c>
      <c r="J137" s="35" t="s">
        <v>35</v>
      </c>
      <c r="K137" s="35" t="s">
        <v>36</v>
      </c>
      <c r="L137" s="35" t="s">
        <v>37</v>
      </c>
      <c r="M137" s="35" t="s">
        <v>38</v>
      </c>
      <c r="O137" s="59">
        <v>3</v>
      </c>
      <c r="P137" s="59">
        <v>3</v>
      </c>
      <c r="Q137" s="56">
        <v>0</v>
      </c>
      <c r="R137" s="35" t="s">
        <v>39</v>
      </c>
      <c r="T137" s="35" t="s">
        <v>60</v>
      </c>
      <c r="U137" s="35" t="s">
        <v>133</v>
      </c>
    </row>
    <row r="138" spans="1:21">
      <c r="A138" s="59">
        <v>2023</v>
      </c>
      <c r="B138" s="35" t="s">
        <v>224</v>
      </c>
      <c r="C138" s="74">
        <v>29196</v>
      </c>
      <c r="D138" s="56">
        <v>26</v>
      </c>
      <c r="E138" s="76">
        <v>45104</v>
      </c>
      <c r="F138" s="35" t="s">
        <v>32</v>
      </c>
      <c r="G138" s="35" t="s">
        <v>57</v>
      </c>
      <c r="H138" s="35" t="s">
        <v>225</v>
      </c>
      <c r="I138" s="35" t="s">
        <v>132</v>
      </c>
      <c r="J138" s="35" t="s">
        <v>35</v>
      </c>
      <c r="K138" s="35" t="s">
        <v>36</v>
      </c>
      <c r="L138" s="35" t="s">
        <v>37</v>
      </c>
      <c r="M138" s="35" t="s">
        <v>38</v>
      </c>
      <c r="O138" s="59">
        <v>50</v>
      </c>
      <c r="P138" s="59">
        <v>50</v>
      </c>
      <c r="Q138" s="56">
        <v>0</v>
      </c>
      <c r="R138" s="35" t="s">
        <v>39</v>
      </c>
      <c r="T138" s="35" t="s">
        <v>60</v>
      </c>
      <c r="U138" s="35" t="s">
        <v>133</v>
      </c>
    </row>
    <row r="139" spans="1:21">
      <c r="A139" s="59">
        <v>2023</v>
      </c>
      <c r="B139" s="35" t="s">
        <v>226</v>
      </c>
      <c r="C139" s="74">
        <v>29197</v>
      </c>
      <c r="D139" s="56">
        <v>26</v>
      </c>
      <c r="E139" s="76">
        <v>45104</v>
      </c>
      <c r="F139" s="35" t="s">
        <v>32</v>
      </c>
      <c r="G139" s="35" t="s">
        <v>57</v>
      </c>
      <c r="H139" s="35" t="s">
        <v>225</v>
      </c>
      <c r="I139" s="35" t="s">
        <v>132</v>
      </c>
      <c r="J139" s="35" t="s">
        <v>35</v>
      </c>
      <c r="K139" s="35" t="s">
        <v>36</v>
      </c>
      <c r="L139" s="35" t="s">
        <v>37</v>
      </c>
      <c r="M139" s="35" t="s">
        <v>38</v>
      </c>
      <c r="O139" s="59">
        <v>50</v>
      </c>
      <c r="P139" s="59">
        <v>50</v>
      </c>
      <c r="Q139" s="56">
        <v>0</v>
      </c>
      <c r="R139" s="35" t="s">
        <v>39</v>
      </c>
      <c r="T139" s="35" t="s">
        <v>60</v>
      </c>
      <c r="U139" s="35" t="s">
        <v>133</v>
      </c>
    </row>
    <row r="140" spans="1:21">
      <c r="A140" s="59">
        <v>2023</v>
      </c>
      <c r="B140" s="35" t="s">
        <v>227</v>
      </c>
      <c r="C140" s="74">
        <v>29198</v>
      </c>
      <c r="D140" s="56">
        <v>26</v>
      </c>
      <c r="E140" s="76">
        <v>45104</v>
      </c>
      <c r="F140" s="35" t="s">
        <v>32</v>
      </c>
      <c r="G140" s="35" t="s">
        <v>57</v>
      </c>
      <c r="H140" s="35" t="s">
        <v>225</v>
      </c>
      <c r="I140" s="35" t="s">
        <v>132</v>
      </c>
      <c r="J140" s="35" t="s">
        <v>35</v>
      </c>
      <c r="K140" s="35" t="s">
        <v>36</v>
      </c>
      <c r="L140" s="35" t="s">
        <v>37</v>
      </c>
      <c r="M140" s="35" t="s">
        <v>38</v>
      </c>
      <c r="O140" s="59">
        <v>50</v>
      </c>
      <c r="P140" s="59">
        <v>50</v>
      </c>
      <c r="Q140" s="56">
        <v>0</v>
      </c>
      <c r="R140" s="35" t="s">
        <v>39</v>
      </c>
      <c r="T140" s="35" t="s">
        <v>60</v>
      </c>
      <c r="U140" s="35" t="s">
        <v>133</v>
      </c>
    </row>
    <row r="141" spans="1:21">
      <c r="A141" s="59">
        <v>2023</v>
      </c>
      <c r="B141" s="35" t="s">
        <v>228</v>
      </c>
      <c r="C141" s="74">
        <v>29199</v>
      </c>
      <c r="D141" s="56">
        <v>26</v>
      </c>
      <c r="E141" s="54">
        <v>45104</v>
      </c>
      <c r="F141" s="35" t="s">
        <v>32</v>
      </c>
      <c r="G141" s="35" t="s">
        <v>57</v>
      </c>
      <c r="H141" s="35" t="s">
        <v>225</v>
      </c>
      <c r="I141" s="35" t="s">
        <v>132</v>
      </c>
      <c r="J141" s="35" t="s">
        <v>35</v>
      </c>
      <c r="K141" s="35" t="s">
        <v>36</v>
      </c>
      <c r="L141" s="35" t="s">
        <v>37</v>
      </c>
      <c r="M141" s="35" t="s">
        <v>38</v>
      </c>
      <c r="O141" s="59">
        <v>50</v>
      </c>
      <c r="P141" s="59">
        <v>50</v>
      </c>
      <c r="Q141" s="56">
        <v>0</v>
      </c>
      <c r="R141" s="35" t="s">
        <v>39</v>
      </c>
      <c r="T141" s="35" t="s">
        <v>60</v>
      </c>
      <c r="U141" s="35" t="s">
        <v>133</v>
      </c>
    </row>
    <row r="142" spans="1:21">
      <c r="A142" s="59">
        <v>2023</v>
      </c>
      <c r="B142" s="35" t="s">
        <v>229</v>
      </c>
      <c r="C142" s="74">
        <v>29200</v>
      </c>
      <c r="D142" s="56">
        <v>26</v>
      </c>
      <c r="E142" s="54">
        <v>45104</v>
      </c>
      <c r="F142" s="35" t="s">
        <v>32</v>
      </c>
      <c r="G142" s="35" t="s">
        <v>57</v>
      </c>
      <c r="H142" s="35" t="s">
        <v>225</v>
      </c>
      <c r="I142" s="35" t="s">
        <v>132</v>
      </c>
      <c r="J142" s="35" t="s">
        <v>35</v>
      </c>
      <c r="K142" s="35" t="s">
        <v>36</v>
      </c>
      <c r="L142" s="35" t="s">
        <v>37</v>
      </c>
      <c r="M142" s="35" t="s">
        <v>38</v>
      </c>
      <c r="O142" s="59">
        <v>46</v>
      </c>
      <c r="P142" s="59">
        <v>46</v>
      </c>
      <c r="Q142" s="56">
        <v>0</v>
      </c>
      <c r="R142" s="35" t="s">
        <v>39</v>
      </c>
      <c r="T142" s="35" t="s">
        <v>60</v>
      </c>
      <c r="U142" s="35" t="s">
        <v>133</v>
      </c>
    </row>
    <row r="143" spans="1:21">
      <c r="A143" s="59">
        <v>2023</v>
      </c>
      <c r="B143" s="35" t="s">
        <v>230</v>
      </c>
      <c r="C143" s="74">
        <v>29201</v>
      </c>
      <c r="D143" s="56">
        <v>26</v>
      </c>
      <c r="E143" s="54">
        <v>45104</v>
      </c>
      <c r="F143" s="35" t="s">
        <v>32</v>
      </c>
      <c r="G143" s="35" t="s">
        <v>57</v>
      </c>
      <c r="H143" s="35" t="s">
        <v>225</v>
      </c>
      <c r="I143" s="35" t="s">
        <v>132</v>
      </c>
      <c r="J143" s="35" t="s">
        <v>35</v>
      </c>
      <c r="K143" s="35" t="s">
        <v>36</v>
      </c>
      <c r="L143" s="35" t="s">
        <v>54</v>
      </c>
      <c r="M143" s="35" t="s">
        <v>38</v>
      </c>
      <c r="O143" s="59">
        <v>14</v>
      </c>
      <c r="P143" s="59">
        <v>14</v>
      </c>
      <c r="Q143" s="56">
        <v>0</v>
      </c>
      <c r="R143" s="35" t="s">
        <v>39</v>
      </c>
      <c r="T143" s="35" t="s">
        <v>70</v>
      </c>
      <c r="U143" s="35" t="s">
        <v>141</v>
      </c>
    </row>
    <row r="144" spans="1:21">
      <c r="A144" s="59">
        <v>2023</v>
      </c>
      <c r="B144" s="35" t="s">
        <v>231</v>
      </c>
      <c r="C144" s="74">
        <v>29202</v>
      </c>
      <c r="D144" s="56">
        <v>26</v>
      </c>
      <c r="E144" s="54">
        <v>45105</v>
      </c>
      <c r="F144" s="35" t="s">
        <v>32</v>
      </c>
      <c r="G144" s="35" t="s">
        <v>57</v>
      </c>
      <c r="H144" s="35" t="s">
        <v>232</v>
      </c>
      <c r="I144" s="35" t="s">
        <v>87</v>
      </c>
      <c r="J144" s="35" t="s">
        <v>74</v>
      </c>
      <c r="K144" s="35" t="s">
        <v>36</v>
      </c>
      <c r="L144" s="35" t="s">
        <v>54</v>
      </c>
      <c r="M144" s="35" t="s">
        <v>38</v>
      </c>
      <c r="N144" s="59">
        <v>7</v>
      </c>
      <c r="P144" s="59">
        <v>7</v>
      </c>
      <c r="Q144" s="56">
        <v>0</v>
      </c>
      <c r="R144" s="35" t="s">
        <v>39</v>
      </c>
      <c r="T144" s="35" t="s">
        <v>70</v>
      </c>
      <c r="U144" s="35" t="s">
        <v>233</v>
      </c>
    </row>
    <row r="145" spans="1:21">
      <c r="A145" s="59">
        <v>2023</v>
      </c>
      <c r="B145" s="35" t="s">
        <v>234</v>
      </c>
      <c r="C145" s="74">
        <v>29203</v>
      </c>
      <c r="D145" s="56">
        <v>26</v>
      </c>
      <c r="E145" s="54">
        <v>45105</v>
      </c>
      <c r="F145" s="35" t="s">
        <v>32</v>
      </c>
      <c r="G145" s="35" t="s">
        <v>57</v>
      </c>
      <c r="H145" s="35" t="s">
        <v>235</v>
      </c>
      <c r="I145" s="35" t="s">
        <v>87</v>
      </c>
      <c r="J145" s="35" t="s">
        <v>35</v>
      </c>
      <c r="K145" s="35" t="s">
        <v>36</v>
      </c>
      <c r="L145" s="35" t="s">
        <v>37</v>
      </c>
      <c r="M145" s="35" t="s">
        <v>38</v>
      </c>
      <c r="O145" s="59">
        <v>30</v>
      </c>
      <c r="P145" s="59">
        <v>30</v>
      </c>
      <c r="Q145" s="56">
        <v>0</v>
      </c>
      <c r="R145" s="35" t="s">
        <v>39</v>
      </c>
      <c r="T145" s="35" t="s">
        <v>60</v>
      </c>
      <c r="U145" s="35" t="s">
        <v>88</v>
      </c>
    </row>
    <row r="146" spans="1:21">
      <c r="A146" s="59">
        <v>2023</v>
      </c>
      <c r="B146" s="35" t="s">
        <v>236</v>
      </c>
      <c r="C146" s="74">
        <v>29204</v>
      </c>
      <c r="D146" s="56">
        <v>26</v>
      </c>
      <c r="E146" s="54">
        <v>45105</v>
      </c>
      <c r="F146" s="35" t="s">
        <v>32</v>
      </c>
      <c r="G146" s="35" t="s">
        <v>57</v>
      </c>
      <c r="H146" s="35" t="s">
        <v>235</v>
      </c>
      <c r="I146" s="35" t="s">
        <v>87</v>
      </c>
      <c r="J146" s="35" t="s">
        <v>35</v>
      </c>
      <c r="K146" s="35" t="s">
        <v>36</v>
      </c>
      <c r="L146" s="35" t="s">
        <v>54</v>
      </c>
      <c r="M146" s="35" t="s">
        <v>38</v>
      </c>
      <c r="O146" s="59">
        <v>2</v>
      </c>
      <c r="P146" s="59">
        <v>2</v>
      </c>
      <c r="Q146" s="56">
        <v>0</v>
      </c>
      <c r="R146" s="35" t="s">
        <v>39</v>
      </c>
      <c r="T146" s="35" t="s">
        <v>70</v>
      </c>
      <c r="U146" s="35" t="s">
        <v>233</v>
      </c>
    </row>
    <row r="147" spans="1:21">
      <c r="A147" s="59">
        <v>2023</v>
      </c>
      <c r="B147" s="35" t="s">
        <v>237</v>
      </c>
      <c r="C147" s="74">
        <v>29205</v>
      </c>
      <c r="D147" s="56">
        <v>26</v>
      </c>
      <c r="E147" s="54">
        <v>45105</v>
      </c>
      <c r="F147" s="35" t="s">
        <v>32</v>
      </c>
      <c r="G147" s="35" t="s">
        <v>57</v>
      </c>
      <c r="H147" s="35" t="s">
        <v>238</v>
      </c>
      <c r="I147" s="35" t="s">
        <v>87</v>
      </c>
      <c r="J147" s="35" t="s">
        <v>74</v>
      </c>
      <c r="K147" s="35" t="s">
        <v>36</v>
      </c>
      <c r="L147" s="35" t="s">
        <v>54</v>
      </c>
      <c r="M147" s="35" t="s">
        <v>38</v>
      </c>
      <c r="N147" s="59">
        <v>18</v>
      </c>
      <c r="P147" s="59">
        <v>18</v>
      </c>
      <c r="Q147" s="56">
        <v>0</v>
      </c>
      <c r="R147" s="35" t="s">
        <v>39</v>
      </c>
      <c r="T147" s="35" t="s">
        <v>70</v>
      </c>
      <c r="U147" s="35" t="s">
        <v>233</v>
      </c>
    </row>
    <row r="148" spans="1:21">
      <c r="A148" s="59">
        <v>2023</v>
      </c>
      <c r="B148" s="35" t="s">
        <v>239</v>
      </c>
      <c r="C148" s="74">
        <v>29206</v>
      </c>
      <c r="D148" s="56">
        <v>26</v>
      </c>
      <c r="E148" s="54">
        <v>45105</v>
      </c>
      <c r="F148" s="35" t="s">
        <v>32</v>
      </c>
      <c r="G148" s="35" t="s">
        <v>57</v>
      </c>
      <c r="H148" s="35" t="s">
        <v>240</v>
      </c>
      <c r="I148" s="35" t="s">
        <v>87</v>
      </c>
      <c r="J148" s="35" t="s">
        <v>35</v>
      </c>
      <c r="K148" s="35" t="s">
        <v>36</v>
      </c>
      <c r="L148" s="35" t="s">
        <v>37</v>
      </c>
      <c r="M148" s="35" t="s">
        <v>38</v>
      </c>
      <c r="O148" s="59">
        <v>10</v>
      </c>
      <c r="P148" s="59">
        <v>10</v>
      </c>
      <c r="Q148" s="56">
        <v>0</v>
      </c>
      <c r="R148" s="35" t="s">
        <v>39</v>
      </c>
      <c r="T148" s="35" t="s">
        <v>60</v>
      </c>
      <c r="U148" s="35" t="s">
        <v>88</v>
      </c>
    </row>
    <row r="149" spans="1:21">
      <c r="A149" s="59">
        <v>2023</v>
      </c>
      <c r="B149" s="35" t="s">
        <v>241</v>
      </c>
      <c r="C149" s="74">
        <v>29207</v>
      </c>
      <c r="D149" s="56">
        <v>26</v>
      </c>
      <c r="E149" s="54">
        <v>45105</v>
      </c>
      <c r="F149" s="35" t="s">
        <v>32</v>
      </c>
      <c r="G149" s="35" t="s">
        <v>57</v>
      </c>
      <c r="H149" s="35" t="s">
        <v>240</v>
      </c>
      <c r="I149" s="35" t="s">
        <v>87</v>
      </c>
      <c r="J149" s="35" t="s">
        <v>35</v>
      </c>
      <c r="K149" s="35" t="s">
        <v>36</v>
      </c>
      <c r="L149" s="35" t="s">
        <v>54</v>
      </c>
      <c r="M149" s="35" t="s">
        <v>38</v>
      </c>
      <c r="O149" s="59">
        <v>1</v>
      </c>
      <c r="P149" s="59">
        <v>1</v>
      </c>
      <c r="Q149" s="56">
        <v>0</v>
      </c>
      <c r="R149" s="35" t="s">
        <v>39</v>
      </c>
      <c r="T149" s="35" t="s">
        <v>70</v>
      </c>
      <c r="U149" s="35" t="s">
        <v>233</v>
      </c>
    </row>
    <row r="150" spans="1:21">
      <c r="A150" s="59">
        <v>2023</v>
      </c>
      <c r="B150" s="35" t="s">
        <v>242</v>
      </c>
      <c r="C150" s="74">
        <v>29208</v>
      </c>
      <c r="D150" s="56">
        <v>26</v>
      </c>
      <c r="E150" s="54">
        <v>45105</v>
      </c>
      <c r="F150" s="35" t="s">
        <v>32</v>
      </c>
      <c r="G150" s="35" t="s">
        <v>57</v>
      </c>
      <c r="H150" s="35" t="s">
        <v>243</v>
      </c>
      <c r="I150" s="35" t="s">
        <v>244</v>
      </c>
      <c r="J150" s="35" t="s">
        <v>35</v>
      </c>
      <c r="K150" s="35" t="s">
        <v>36</v>
      </c>
      <c r="L150" s="35" t="s">
        <v>37</v>
      </c>
      <c r="M150" s="35" t="s">
        <v>38</v>
      </c>
      <c r="O150" s="59">
        <v>11</v>
      </c>
      <c r="P150" s="59">
        <v>11</v>
      </c>
      <c r="Q150" s="56">
        <v>0</v>
      </c>
      <c r="R150" s="35" t="s">
        <v>39</v>
      </c>
      <c r="T150" s="35" t="s">
        <v>60</v>
      </c>
      <c r="U150" s="35" t="s">
        <v>245</v>
      </c>
    </row>
    <row r="151" spans="1:21">
      <c r="A151" s="59">
        <v>2023</v>
      </c>
      <c r="B151" s="35" t="s">
        <v>246</v>
      </c>
      <c r="C151" s="74">
        <v>29209</v>
      </c>
      <c r="D151" s="56">
        <v>26</v>
      </c>
      <c r="E151" s="54">
        <v>45105</v>
      </c>
      <c r="F151" s="35" t="s">
        <v>32</v>
      </c>
      <c r="G151" s="35" t="s">
        <v>57</v>
      </c>
      <c r="H151" s="35" t="s">
        <v>247</v>
      </c>
      <c r="I151" s="35" t="s">
        <v>87</v>
      </c>
      <c r="J151" s="35" t="s">
        <v>35</v>
      </c>
      <c r="K151" s="35" t="s">
        <v>36</v>
      </c>
      <c r="L151" s="35" t="s">
        <v>37</v>
      </c>
      <c r="M151" s="35" t="s">
        <v>38</v>
      </c>
      <c r="O151" s="59">
        <v>50</v>
      </c>
      <c r="P151" s="59">
        <v>50</v>
      </c>
      <c r="Q151" s="56">
        <v>0</v>
      </c>
      <c r="R151" s="35" t="s">
        <v>39</v>
      </c>
      <c r="T151" s="35" t="s">
        <v>60</v>
      </c>
      <c r="U151" s="35" t="s">
        <v>88</v>
      </c>
    </row>
    <row r="152" spans="1:21">
      <c r="A152" s="59">
        <v>2023</v>
      </c>
      <c r="B152" s="35" t="s">
        <v>248</v>
      </c>
      <c r="C152" s="74">
        <v>29210</v>
      </c>
      <c r="D152" s="56">
        <v>26</v>
      </c>
      <c r="E152" s="54">
        <v>45105</v>
      </c>
      <c r="F152" s="35" t="s">
        <v>32</v>
      </c>
      <c r="G152" s="35" t="s">
        <v>57</v>
      </c>
      <c r="H152" s="35" t="s">
        <v>247</v>
      </c>
      <c r="I152" s="35" t="s">
        <v>87</v>
      </c>
      <c r="J152" s="35" t="s">
        <v>35</v>
      </c>
      <c r="K152" s="35" t="s">
        <v>36</v>
      </c>
      <c r="L152" s="35" t="s">
        <v>37</v>
      </c>
      <c r="M152" s="35" t="s">
        <v>38</v>
      </c>
      <c r="O152" s="59">
        <v>41</v>
      </c>
      <c r="P152" s="59">
        <v>41</v>
      </c>
      <c r="Q152" s="56">
        <v>0</v>
      </c>
      <c r="R152" s="35" t="s">
        <v>39</v>
      </c>
      <c r="T152" s="35" t="s">
        <v>60</v>
      </c>
      <c r="U152" s="35" t="s">
        <v>88</v>
      </c>
    </row>
    <row r="153" spans="1:21">
      <c r="A153" s="59">
        <v>2023</v>
      </c>
      <c r="B153" s="35" t="s">
        <v>249</v>
      </c>
      <c r="C153" s="74">
        <v>29211</v>
      </c>
      <c r="D153" s="56">
        <v>26</v>
      </c>
      <c r="E153" s="54">
        <v>45105</v>
      </c>
      <c r="F153" s="35" t="s">
        <v>32</v>
      </c>
      <c r="G153" s="35" t="s">
        <v>57</v>
      </c>
      <c r="H153" s="35" t="s">
        <v>247</v>
      </c>
      <c r="I153" s="35" t="s">
        <v>87</v>
      </c>
      <c r="J153" s="35" t="s">
        <v>35</v>
      </c>
      <c r="K153" s="35" t="s">
        <v>36</v>
      </c>
      <c r="L153" s="35" t="s">
        <v>54</v>
      </c>
      <c r="M153" s="35" t="s">
        <v>38</v>
      </c>
      <c r="O153" s="59">
        <v>1</v>
      </c>
      <c r="P153" s="59">
        <v>1</v>
      </c>
      <c r="Q153" s="56">
        <v>0</v>
      </c>
      <c r="R153" s="35" t="s">
        <v>39</v>
      </c>
      <c r="T153" s="35" t="s">
        <v>70</v>
      </c>
      <c r="U153" s="35" t="s">
        <v>233</v>
      </c>
    </row>
    <row r="154" spans="1:21">
      <c r="A154" s="59">
        <v>2023</v>
      </c>
      <c r="B154" s="35" t="s">
        <v>250</v>
      </c>
      <c r="C154" s="74">
        <v>29212</v>
      </c>
      <c r="D154" s="56">
        <v>26</v>
      </c>
      <c r="E154" s="54">
        <v>45105</v>
      </c>
      <c r="F154" s="35" t="s">
        <v>32</v>
      </c>
      <c r="G154" s="35" t="s">
        <v>57</v>
      </c>
      <c r="H154" s="35" t="s">
        <v>251</v>
      </c>
      <c r="I154" s="35" t="s">
        <v>244</v>
      </c>
      <c r="J154" s="35" t="s">
        <v>35</v>
      </c>
      <c r="K154" s="35" t="s">
        <v>36</v>
      </c>
      <c r="L154" s="35" t="s">
        <v>37</v>
      </c>
      <c r="M154" s="35" t="s">
        <v>38</v>
      </c>
      <c r="O154" s="59">
        <v>50</v>
      </c>
      <c r="P154" s="59">
        <v>50</v>
      </c>
      <c r="Q154" s="56">
        <v>0</v>
      </c>
      <c r="R154" s="35" t="s">
        <v>39</v>
      </c>
      <c r="T154" s="35" t="s">
        <v>60</v>
      </c>
      <c r="U154" s="35" t="s">
        <v>245</v>
      </c>
    </row>
    <row r="155" spans="1:21">
      <c r="A155" s="59">
        <v>2023</v>
      </c>
      <c r="B155" s="35" t="s">
        <v>252</v>
      </c>
      <c r="C155" s="74">
        <v>29213</v>
      </c>
      <c r="D155" s="56">
        <v>26</v>
      </c>
      <c r="E155" s="54">
        <v>45105</v>
      </c>
      <c r="F155" s="35" t="s">
        <v>32</v>
      </c>
      <c r="G155" s="35" t="s">
        <v>57</v>
      </c>
      <c r="H155" s="35" t="s">
        <v>251</v>
      </c>
      <c r="I155" s="35" t="s">
        <v>244</v>
      </c>
      <c r="J155" s="35" t="s">
        <v>35</v>
      </c>
      <c r="K155" s="35" t="s">
        <v>36</v>
      </c>
      <c r="L155" s="35" t="s">
        <v>37</v>
      </c>
      <c r="M155" s="35" t="s">
        <v>38</v>
      </c>
      <c r="O155" s="59">
        <v>17</v>
      </c>
      <c r="P155" s="59">
        <v>17</v>
      </c>
      <c r="Q155" s="56">
        <v>0</v>
      </c>
      <c r="R155" s="35" t="s">
        <v>39</v>
      </c>
      <c r="T155" s="35" t="s">
        <v>60</v>
      </c>
      <c r="U155" s="35" t="s">
        <v>245</v>
      </c>
    </row>
    <row r="156" spans="1:21">
      <c r="A156" s="59">
        <v>2023</v>
      </c>
      <c r="B156" s="35" t="s">
        <v>253</v>
      </c>
      <c r="C156" s="74">
        <v>29214</v>
      </c>
      <c r="D156" s="56">
        <v>26</v>
      </c>
      <c r="E156" s="54">
        <v>45105</v>
      </c>
      <c r="F156" s="35" t="s">
        <v>32</v>
      </c>
      <c r="G156" s="35" t="s">
        <v>57</v>
      </c>
      <c r="H156" s="35" t="s">
        <v>254</v>
      </c>
      <c r="I156" s="35" t="s">
        <v>87</v>
      </c>
      <c r="J156" s="35" t="s">
        <v>35</v>
      </c>
      <c r="K156" s="35" t="s">
        <v>36</v>
      </c>
      <c r="L156" s="35" t="s">
        <v>37</v>
      </c>
      <c r="M156" s="35" t="s">
        <v>38</v>
      </c>
      <c r="O156" s="59">
        <v>27</v>
      </c>
      <c r="P156" s="59">
        <v>27</v>
      </c>
      <c r="Q156" s="56">
        <v>0</v>
      </c>
      <c r="R156" s="35" t="s">
        <v>39</v>
      </c>
      <c r="T156" s="35" t="s">
        <v>60</v>
      </c>
      <c r="U156" s="35" t="s">
        <v>88</v>
      </c>
    </row>
    <row r="157" spans="1:21">
      <c r="A157" s="59">
        <v>2023</v>
      </c>
      <c r="B157" s="35" t="s">
        <v>255</v>
      </c>
      <c r="C157" s="74">
        <v>29215</v>
      </c>
      <c r="D157" s="56">
        <v>26</v>
      </c>
      <c r="E157" s="54">
        <v>45105</v>
      </c>
      <c r="F157" s="35" t="s">
        <v>32</v>
      </c>
      <c r="G157" s="35" t="s">
        <v>256</v>
      </c>
      <c r="H157" s="35" t="s">
        <v>257</v>
      </c>
      <c r="I157" s="35" t="s">
        <v>256</v>
      </c>
      <c r="J157" s="35" t="s">
        <v>35</v>
      </c>
      <c r="K157" s="35" t="s">
        <v>36</v>
      </c>
      <c r="L157" s="35" t="s">
        <v>37</v>
      </c>
      <c r="M157" s="35" t="s">
        <v>38</v>
      </c>
      <c r="O157" s="59">
        <v>50</v>
      </c>
      <c r="P157" s="59">
        <v>50</v>
      </c>
      <c r="Q157" s="56">
        <v>0</v>
      </c>
      <c r="R157" s="35" t="s">
        <v>39</v>
      </c>
      <c r="T157" s="35" t="s">
        <v>258</v>
      </c>
      <c r="U157" s="35" t="s">
        <v>258</v>
      </c>
    </row>
    <row r="158" spans="1:21">
      <c r="A158" s="59">
        <v>2023</v>
      </c>
      <c r="B158" s="35" t="s">
        <v>259</v>
      </c>
      <c r="C158" s="74">
        <v>29216</v>
      </c>
      <c r="D158" s="56">
        <v>26</v>
      </c>
      <c r="E158" s="54">
        <v>45105</v>
      </c>
      <c r="F158" s="35" t="s">
        <v>32</v>
      </c>
      <c r="G158" s="35" t="s">
        <v>256</v>
      </c>
      <c r="H158" s="35" t="s">
        <v>257</v>
      </c>
      <c r="I158" s="35" t="s">
        <v>256</v>
      </c>
      <c r="J158" s="35" t="s">
        <v>35</v>
      </c>
      <c r="K158" s="35" t="s">
        <v>36</v>
      </c>
      <c r="L158" s="35" t="s">
        <v>37</v>
      </c>
      <c r="M158" s="35" t="s">
        <v>38</v>
      </c>
      <c r="O158" s="59">
        <v>50</v>
      </c>
      <c r="P158" s="59">
        <v>50</v>
      </c>
      <c r="Q158" s="56">
        <v>0</v>
      </c>
      <c r="R158" s="35" t="s">
        <v>39</v>
      </c>
      <c r="T158" s="35" t="s">
        <v>258</v>
      </c>
      <c r="U158" s="35" t="s">
        <v>258</v>
      </c>
    </row>
    <row r="159" spans="1:21">
      <c r="A159" s="59">
        <v>2023</v>
      </c>
      <c r="B159" s="35" t="s">
        <v>260</v>
      </c>
      <c r="C159" s="74">
        <v>29217</v>
      </c>
      <c r="D159" s="56">
        <v>26</v>
      </c>
      <c r="E159" s="54">
        <v>45105</v>
      </c>
      <c r="F159" s="35" t="s">
        <v>32</v>
      </c>
      <c r="G159" s="35" t="s">
        <v>256</v>
      </c>
      <c r="H159" s="35" t="s">
        <v>257</v>
      </c>
      <c r="I159" s="80" t="s">
        <v>256</v>
      </c>
      <c r="J159" s="35" t="s">
        <v>35</v>
      </c>
      <c r="K159" s="35" t="s">
        <v>36</v>
      </c>
      <c r="L159" s="35" t="s">
        <v>37</v>
      </c>
      <c r="M159" s="35" t="s">
        <v>38</v>
      </c>
      <c r="O159" s="59">
        <v>21</v>
      </c>
      <c r="P159" s="59">
        <v>21</v>
      </c>
      <c r="Q159" s="56">
        <v>0</v>
      </c>
      <c r="R159" s="35" t="s">
        <v>39</v>
      </c>
      <c r="T159" s="35" t="s">
        <v>258</v>
      </c>
      <c r="U159" s="35" t="s">
        <v>258</v>
      </c>
    </row>
    <row r="160" spans="1:21">
      <c r="A160" s="59">
        <v>2023</v>
      </c>
      <c r="B160" s="35" t="s">
        <v>261</v>
      </c>
      <c r="C160" s="74">
        <v>29218</v>
      </c>
      <c r="D160" s="56">
        <v>26</v>
      </c>
      <c r="E160" s="54">
        <v>45105</v>
      </c>
      <c r="F160" s="35" t="s">
        <v>32</v>
      </c>
      <c r="G160" s="35" t="s">
        <v>256</v>
      </c>
      <c r="H160" s="35" t="s">
        <v>257</v>
      </c>
      <c r="I160" s="80" t="s">
        <v>256</v>
      </c>
      <c r="J160" s="35" t="s">
        <v>35</v>
      </c>
      <c r="K160" s="35" t="s">
        <v>36</v>
      </c>
      <c r="L160" s="35" t="s">
        <v>54</v>
      </c>
      <c r="M160" s="35" t="s">
        <v>38</v>
      </c>
      <c r="O160" s="59">
        <v>1</v>
      </c>
      <c r="P160" s="59">
        <v>1</v>
      </c>
      <c r="Q160" s="56">
        <v>0</v>
      </c>
      <c r="R160" s="35" t="s">
        <v>39</v>
      </c>
      <c r="T160" s="35" t="s">
        <v>262</v>
      </c>
      <c r="U160" s="35" t="s">
        <v>262</v>
      </c>
    </row>
    <row r="161" spans="1:21">
      <c r="A161" s="59">
        <v>2023</v>
      </c>
      <c r="B161" s="35" t="s">
        <v>263</v>
      </c>
      <c r="C161" s="74">
        <v>29219</v>
      </c>
      <c r="D161" s="56">
        <v>26</v>
      </c>
      <c r="E161" s="54">
        <v>45105</v>
      </c>
      <c r="F161" s="35" t="s">
        <v>32</v>
      </c>
      <c r="G161" s="35" t="s">
        <v>256</v>
      </c>
      <c r="H161" s="35" t="s">
        <v>264</v>
      </c>
      <c r="I161" s="35" t="s">
        <v>256</v>
      </c>
      <c r="J161" s="35" t="s">
        <v>35</v>
      </c>
      <c r="K161" s="35" t="s">
        <v>36</v>
      </c>
      <c r="L161" s="35" t="s">
        <v>37</v>
      </c>
      <c r="M161" s="35" t="s">
        <v>38</v>
      </c>
      <c r="O161" s="59">
        <v>50</v>
      </c>
      <c r="P161" s="59">
        <v>50</v>
      </c>
      <c r="Q161" s="56">
        <v>0</v>
      </c>
      <c r="R161" s="35" t="s">
        <v>39</v>
      </c>
      <c r="T161" s="35" t="s">
        <v>258</v>
      </c>
      <c r="U161" s="35" t="s">
        <v>258</v>
      </c>
    </row>
    <row r="162" spans="1:21">
      <c r="A162" s="59">
        <v>2023</v>
      </c>
      <c r="B162" s="35" t="s">
        <v>265</v>
      </c>
      <c r="C162" s="74">
        <v>29220</v>
      </c>
      <c r="D162" s="56">
        <v>26</v>
      </c>
      <c r="E162" s="54">
        <v>45105</v>
      </c>
      <c r="F162" s="35" t="s">
        <v>32</v>
      </c>
      <c r="G162" s="35" t="s">
        <v>256</v>
      </c>
      <c r="H162" s="35" t="s">
        <v>264</v>
      </c>
      <c r="I162" s="35" t="s">
        <v>256</v>
      </c>
      <c r="J162" s="35" t="s">
        <v>35</v>
      </c>
      <c r="K162" s="35" t="s">
        <v>36</v>
      </c>
      <c r="L162" s="35" t="s">
        <v>37</v>
      </c>
      <c r="M162" s="35" t="s">
        <v>38</v>
      </c>
      <c r="O162" s="59">
        <v>50</v>
      </c>
      <c r="P162" s="59">
        <v>50</v>
      </c>
      <c r="Q162" s="56">
        <v>0</v>
      </c>
      <c r="R162" s="35" t="s">
        <v>39</v>
      </c>
      <c r="T162" s="35" t="s">
        <v>258</v>
      </c>
      <c r="U162" s="35" t="s">
        <v>258</v>
      </c>
    </row>
    <row r="163" spans="1:21">
      <c r="A163" s="59">
        <v>2023</v>
      </c>
      <c r="B163" s="35" t="s">
        <v>266</v>
      </c>
      <c r="C163" s="74">
        <v>29221</v>
      </c>
      <c r="D163" s="56">
        <v>26</v>
      </c>
      <c r="E163" s="54">
        <v>45105</v>
      </c>
      <c r="F163" s="35" t="s">
        <v>32</v>
      </c>
      <c r="G163" s="35" t="s">
        <v>256</v>
      </c>
      <c r="H163" s="35" t="s">
        <v>264</v>
      </c>
      <c r="I163" s="35" t="s">
        <v>256</v>
      </c>
      <c r="J163" s="35" t="s">
        <v>35</v>
      </c>
      <c r="K163" s="35" t="s">
        <v>36</v>
      </c>
      <c r="L163" s="35" t="s">
        <v>37</v>
      </c>
      <c r="M163" s="35" t="s">
        <v>38</v>
      </c>
      <c r="O163" s="59">
        <v>50</v>
      </c>
      <c r="P163" s="59">
        <v>50</v>
      </c>
      <c r="Q163" s="56">
        <v>0</v>
      </c>
      <c r="R163" s="35" t="s">
        <v>39</v>
      </c>
      <c r="T163" s="35" t="s">
        <v>258</v>
      </c>
      <c r="U163" s="35" t="s">
        <v>258</v>
      </c>
    </row>
    <row r="164" spans="1:21">
      <c r="A164" s="59">
        <v>2023</v>
      </c>
      <c r="B164" s="35" t="s">
        <v>267</v>
      </c>
      <c r="C164" s="74">
        <v>29222</v>
      </c>
      <c r="D164" s="56">
        <v>26</v>
      </c>
      <c r="E164" s="54">
        <v>45105</v>
      </c>
      <c r="F164" s="35" t="s">
        <v>32</v>
      </c>
      <c r="G164" s="35" t="s">
        <v>256</v>
      </c>
      <c r="H164" s="35" t="s">
        <v>268</v>
      </c>
      <c r="I164" s="35" t="s">
        <v>256</v>
      </c>
      <c r="J164" s="35" t="s">
        <v>35</v>
      </c>
      <c r="K164" s="35" t="s">
        <v>36</v>
      </c>
      <c r="L164" s="35" t="s">
        <v>37</v>
      </c>
      <c r="M164" s="35" t="s">
        <v>38</v>
      </c>
      <c r="O164" s="59">
        <v>50</v>
      </c>
      <c r="P164" s="59">
        <v>50</v>
      </c>
      <c r="Q164" s="56">
        <v>0</v>
      </c>
      <c r="R164" s="35" t="s">
        <v>39</v>
      </c>
      <c r="T164" s="35" t="s">
        <v>258</v>
      </c>
      <c r="U164" s="35" t="s">
        <v>258</v>
      </c>
    </row>
    <row r="165" spans="1:21">
      <c r="A165" s="59">
        <v>2023</v>
      </c>
      <c r="B165" s="35" t="s">
        <v>269</v>
      </c>
      <c r="C165" s="74">
        <v>29223</v>
      </c>
      <c r="D165" s="56">
        <v>26</v>
      </c>
      <c r="E165" s="54">
        <v>45105</v>
      </c>
      <c r="F165" s="35" t="s">
        <v>32</v>
      </c>
      <c r="G165" s="35" t="s">
        <v>256</v>
      </c>
      <c r="H165" s="35" t="s">
        <v>268</v>
      </c>
      <c r="I165" s="35" t="s">
        <v>256</v>
      </c>
      <c r="J165" s="35" t="s">
        <v>35</v>
      </c>
      <c r="K165" s="35" t="s">
        <v>36</v>
      </c>
      <c r="L165" s="35" t="s">
        <v>37</v>
      </c>
      <c r="M165" s="35" t="s">
        <v>38</v>
      </c>
      <c r="O165" s="59">
        <v>50</v>
      </c>
      <c r="P165" s="59">
        <v>50</v>
      </c>
      <c r="Q165" s="56">
        <v>0</v>
      </c>
      <c r="R165" s="35" t="s">
        <v>39</v>
      </c>
      <c r="T165" s="35" t="s">
        <v>258</v>
      </c>
      <c r="U165" s="35" t="s">
        <v>258</v>
      </c>
    </row>
    <row r="166" spans="1:21">
      <c r="A166" s="59">
        <v>2023</v>
      </c>
      <c r="B166" s="35" t="s">
        <v>270</v>
      </c>
      <c r="C166" s="74">
        <v>29224</v>
      </c>
      <c r="D166" s="56">
        <v>26</v>
      </c>
      <c r="E166" s="54">
        <v>45105</v>
      </c>
      <c r="F166" s="35" t="s">
        <v>32</v>
      </c>
      <c r="G166" s="35" t="s">
        <v>256</v>
      </c>
      <c r="H166" s="35" t="s">
        <v>268</v>
      </c>
      <c r="I166" s="35" t="s">
        <v>256</v>
      </c>
      <c r="J166" s="35" t="s">
        <v>35</v>
      </c>
      <c r="K166" s="35" t="s">
        <v>36</v>
      </c>
      <c r="L166" s="35" t="s">
        <v>37</v>
      </c>
      <c r="M166" s="35" t="s">
        <v>38</v>
      </c>
      <c r="O166" s="59">
        <v>50</v>
      </c>
      <c r="P166" s="59">
        <v>50</v>
      </c>
      <c r="Q166" s="56">
        <v>0</v>
      </c>
      <c r="R166" s="35" t="s">
        <v>39</v>
      </c>
      <c r="T166" s="35" t="s">
        <v>258</v>
      </c>
      <c r="U166" s="35" t="s">
        <v>258</v>
      </c>
    </row>
    <row r="167" spans="1:21">
      <c r="A167" s="59">
        <v>2023</v>
      </c>
      <c r="B167" s="35" t="s">
        <v>271</v>
      </c>
      <c r="C167" s="74">
        <v>29225</v>
      </c>
      <c r="D167" s="56">
        <v>26</v>
      </c>
      <c r="E167" s="54">
        <v>45105</v>
      </c>
      <c r="F167" s="35" t="s">
        <v>32</v>
      </c>
      <c r="G167" s="35" t="s">
        <v>256</v>
      </c>
      <c r="H167" s="35" t="s">
        <v>272</v>
      </c>
      <c r="I167" s="35" t="s">
        <v>256</v>
      </c>
      <c r="J167" s="35" t="s">
        <v>35</v>
      </c>
      <c r="K167" s="35" t="s">
        <v>36</v>
      </c>
      <c r="L167" s="35" t="s">
        <v>37</v>
      </c>
      <c r="M167" s="35" t="s">
        <v>38</v>
      </c>
      <c r="O167" s="59">
        <v>46</v>
      </c>
      <c r="P167" s="59">
        <v>46</v>
      </c>
      <c r="Q167" s="56">
        <v>0</v>
      </c>
      <c r="R167" s="35" t="s">
        <v>39</v>
      </c>
      <c r="T167" s="35" t="s">
        <v>258</v>
      </c>
      <c r="U167" s="35" t="s">
        <v>258</v>
      </c>
    </row>
    <row r="168" spans="1:21">
      <c r="A168" s="59">
        <v>2023</v>
      </c>
      <c r="B168" s="35" t="s">
        <v>273</v>
      </c>
      <c r="C168" s="74">
        <v>29226</v>
      </c>
      <c r="D168" s="56">
        <v>26</v>
      </c>
      <c r="E168" s="54">
        <v>45105</v>
      </c>
      <c r="F168" s="35" t="s">
        <v>32</v>
      </c>
      <c r="G168" s="35" t="s">
        <v>256</v>
      </c>
      <c r="H168" s="35" t="s">
        <v>274</v>
      </c>
      <c r="I168" s="35" t="s">
        <v>256</v>
      </c>
      <c r="J168" s="35" t="s">
        <v>35</v>
      </c>
      <c r="K168" s="35" t="s">
        <v>36</v>
      </c>
      <c r="L168" s="35" t="s">
        <v>37</v>
      </c>
      <c r="M168" s="35" t="s">
        <v>38</v>
      </c>
      <c r="O168" s="59">
        <v>50</v>
      </c>
      <c r="P168" s="59">
        <v>50</v>
      </c>
      <c r="Q168" s="56">
        <v>0</v>
      </c>
      <c r="R168" s="35" t="s">
        <v>39</v>
      </c>
      <c r="T168" s="35" t="s">
        <v>258</v>
      </c>
      <c r="U168" s="35" t="s">
        <v>258</v>
      </c>
    </row>
    <row r="169" spans="1:21">
      <c r="A169" s="59">
        <v>2023</v>
      </c>
      <c r="B169" s="35" t="s">
        <v>275</v>
      </c>
      <c r="C169" s="74">
        <v>29227</v>
      </c>
      <c r="D169" s="56">
        <v>26</v>
      </c>
      <c r="E169" s="54">
        <v>45105</v>
      </c>
      <c r="F169" s="35" t="s">
        <v>32</v>
      </c>
      <c r="G169" s="35" t="s">
        <v>256</v>
      </c>
      <c r="H169" s="35" t="s">
        <v>274</v>
      </c>
      <c r="I169" s="35" t="s">
        <v>256</v>
      </c>
      <c r="J169" s="35" t="s">
        <v>35</v>
      </c>
      <c r="K169" s="35" t="s">
        <v>36</v>
      </c>
      <c r="L169" s="35" t="s">
        <v>37</v>
      </c>
      <c r="M169" s="35" t="s">
        <v>38</v>
      </c>
      <c r="O169" s="59">
        <v>50</v>
      </c>
      <c r="P169" s="59">
        <v>50</v>
      </c>
      <c r="Q169" s="56">
        <v>0</v>
      </c>
      <c r="R169" s="35" t="s">
        <v>39</v>
      </c>
      <c r="T169" s="35" t="s">
        <v>258</v>
      </c>
      <c r="U169" s="35" t="s">
        <v>258</v>
      </c>
    </row>
    <row r="170" spans="1:21">
      <c r="A170" s="59">
        <v>2023</v>
      </c>
      <c r="B170" s="35" t="s">
        <v>276</v>
      </c>
      <c r="C170" s="74">
        <v>29228</v>
      </c>
      <c r="D170" s="56">
        <v>26</v>
      </c>
      <c r="E170" s="54">
        <v>45105</v>
      </c>
      <c r="F170" s="35" t="s">
        <v>32</v>
      </c>
      <c r="G170" s="35" t="s">
        <v>256</v>
      </c>
      <c r="H170" s="35" t="s">
        <v>274</v>
      </c>
      <c r="I170" s="35" t="s">
        <v>256</v>
      </c>
      <c r="J170" s="35" t="s">
        <v>35</v>
      </c>
      <c r="K170" s="35" t="s">
        <v>36</v>
      </c>
      <c r="L170" s="35" t="s">
        <v>37</v>
      </c>
      <c r="M170" s="35" t="s">
        <v>38</v>
      </c>
      <c r="O170" s="59">
        <v>50</v>
      </c>
      <c r="P170" s="59">
        <v>50</v>
      </c>
      <c r="Q170" s="56">
        <v>0</v>
      </c>
      <c r="R170" s="35" t="s">
        <v>39</v>
      </c>
      <c r="T170" s="35" t="s">
        <v>258</v>
      </c>
      <c r="U170" s="35" t="s">
        <v>258</v>
      </c>
    </row>
    <row r="171" spans="1:21">
      <c r="A171" s="59">
        <v>2023</v>
      </c>
      <c r="B171" s="35" t="s">
        <v>277</v>
      </c>
      <c r="C171" s="74">
        <v>29229</v>
      </c>
      <c r="D171" s="56">
        <v>26</v>
      </c>
      <c r="E171" s="54">
        <v>45105</v>
      </c>
      <c r="F171" s="35" t="s">
        <v>32</v>
      </c>
      <c r="G171" s="35" t="s">
        <v>256</v>
      </c>
      <c r="H171" s="35" t="s">
        <v>274</v>
      </c>
      <c r="I171" s="35" t="s">
        <v>256</v>
      </c>
      <c r="J171" s="35" t="s">
        <v>35</v>
      </c>
      <c r="K171" s="35" t="s">
        <v>36</v>
      </c>
      <c r="L171" s="35" t="s">
        <v>54</v>
      </c>
      <c r="M171" s="35" t="s">
        <v>38</v>
      </c>
      <c r="O171" s="59">
        <v>4</v>
      </c>
      <c r="P171" s="59">
        <v>4</v>
      </c>
      <c r="Q171" s="56">
        <v>0</v>
      </c>
      <c r="R171" s="35" t="s">
        <v>39</v>
      </c>
      <c r="T171" s="35" t="s">
        <v>262</v>
      </c>
      <c r="U171" s="35" t="s">
        <v>262</v>
      </c>
    </row>
    <row r="172" spans="1:21">
      <c r="A172" s="59">
        <v>2023</v>
      </c>
      <c r="B172" s="35" t="s">
        <v>278</v>
      </c>
      <c r="C172" s="74">
        <v>29230</v>
      </c>
      <c r="D172" s="56">
        <v>26</v>
      </c>
      <c r="E172" s="54">
        <v>45105</v>
      </c>
      <c r="F172" s="35" t="s">
        <v>32</v>
      </c>
      <c r="G172" s="35" t="s">
        <v>33</v>
      </c>
      <c r="H172" s="35" t="s">
        <v>279</v>
      </c>
      <c r="I172" s="35" t="s">
        <v>33</v>
      </c>
      <c r="J172" s="35" t="s">
        <v>35</v>
      </c>
      <c r="K172" s="35" t="s">
        <v>36</v>
      </c>
      <c r="L172" s="35" t="s">
        <v>37</v>
      </c>
      <c r="M172" s="35" t="s">
        <v>38</v>
      </c>
      <c r="O172" s="59">
        <v>50</v>
      </c>
      <c r="P172" s="59">
        <v>50</v>
      </c>
      <c r="Q172" s="56">
        <v>0</v>
      </c>
      <c r="R172" s="35" t="s">
        <v>39</v>
      </c>
      <c r="T172" s="35" t="s">
        <v>40</v>
      </c>
      <c r="U172" s="35" t="s">
        <v>40</v>
      </c>
    </row>
    <row r="173" spans="1:21">
      <c r="A173" s="59">
        <v>2023</v>
      </c>
      <c r="B173" s="35" t="s">
        <v>280</v>
      </c>
      <c r="C173" s="74">
        <v>29231</v>
      </c>
      <c r="D173" s="56">
        <v>26</v>
      </c>
      <c r="E173" s="54">
        <v>45105</v>
      </c>
      <c r="F173" s="35" t="s">
        <v>32</v>
      </c>
      <c r="G173" s="35" t="s">
        <v>33</v>
      </c>
      <c r="H173" s="35" t="s">
        <v>279</v>
      </c>
      <c r="I173" s="35" t="s">
        <v>33</v>
      </c>
      <c r="J173" s="35" t="s">
        <v>35</v>
      </c>
      <c r="K173" s="35" t="s">
        <v>36</v>
      </c>
      <c r="L173" s="35" t="s">
        <v>37</v>
      </c>
      <c r="M173" s="35" t="s">
        <v>38</v>
      </c>
      <c r="O173" s="59">
        <v>50</v>
      </c>
      <c r="P173" s="59">
        <v>50</v>
      </c>
      <c r="Q173" s="56">
        <v>0</v>
      </c>
      <c r="R173" s="35" t="s">
        <v>39</v>
      </c>
      <c r="T173" s="35" t="s">
        <v>40</v>
      </c>
      <c r="U173" s="35" t="s">
        <v>40</v>
      </c>
    </row>
    <row r="174" spans="1:21">
      <c r="A174" s="59">
        <v>2023</v>
      </c>
      <c r="B174" s="35" t="s">
        <v>281</v>
      </c>
      <c r="C174" s="74">
        <v>29232</v>
      </c>
      <c r="D174" s="56">
        <v>26</v>
      </c>
      <c r="E174" s="54">
        <v>45105</v>
      </c>
      <c r="F174" s="35" t="s">
        <v>32</v>
      </c>
      <c r="G174" s="35" t="s">
        <v>33</v>
      </c>
      <c r="H174" s="35" t="s">
        <v>279</v>
      </c>
      <c r="I174" s="35" t="s">
        <v>33</v>
      </c>
      <c r="J174" s="35" t="s">
        <v>35</v>
      </c>
      <c r="K174" s="35" t="s">
        <v>36</v>
      </c>
      <c r="L174" s="35" t="s">
        <v>37</v>
      </c>
      <c r="M174" s="35" t="s">
        <v>38</v>
      </c>
      <c r="O174" s="59">
        <v>50</v>
      </c>
      <c r="P174" s="59">
        <v>50</v>
      </c>
      <c r="Q174" s="56">
        <v>0</v>
      </c>
      <c r="R174" s="35" t="s">
        <v>39</v>
      </c>
      <c r="T174" s="35" t="s">
        <v>40</v>
      </c>
      <c r="U174" s="35" t="s">
        <v>40</v>
      </c>
    </row>
    <row r="175" spans="1:21">
      <c r="A175" s="59">
        <v>2023</v>
      </c>
      <c r="B175" s="35" t="s">
        <v>282</v>
      </c>
      <c r="C175" s="74">
        <v>29233</v>
      </c>
      <c r="D175" s="56">
        <v>26</v>
      </c>
      <c r="E175" s="54">
        <v>45105</v>
      </c>
      <c r="F175" s="35" t="s">
        <v>32</v>
      </c>
      <c r="G175" s="35" t="s">
        <v>33</v>
      </c>
      <c r="H175" s="35" t="s">
        <v>279</v>
      </c>
      <c r="I175" s="35" t="s">
        <v>33</v>
      </c>
      <c r="J175" s="35" t="s">
        <v>35</v>
      </c>
      <c r="K175" s="35" t="s">
        <v>36</v>
      </c>
      <c r="L175" s="35" t="s">
        <v>37</v>
      </c>
      <c r="M175" s="35" t="s">
        <v>38</v>
      </c>
      <c r="O175" s="59">
        <v>50</v>
      </c>
      <c r="P175" s="59">
        <v>50</v>
      </c>
      <c r="Q175" s="56">
        <v>0</v>
      </c>
      <c r="R175" s="35" t="s">
        <v>39</v>
      </c>
      <c r="T175" s="35" t="s">
        <v>40</v>
      </c>
      <c r="U175" s="35" t="s">
        <v>40</v>
      </c>
    </row>
    <row r="176" spans="1:21">
      <c r="A176" s="59">
        <v>2023</v>
      </c>
      <c r="B176" s="35" t="s">
        <v>283</v>
      </c>
      <c r="C176" s="74">
        <v>29234</v>
      </c>
      <c r="D176" s="56">
        <v>26</v>
      </c>
      <c r="E176" s="54">
        <v>45105</v>
      </c>
      <c r="F176" s="35" t="s">
        <v>32</v>
      </c>
      <c r="G176" s="35" t="s">
        <v>33</v>
      </c>
      <c r="H176" s="35" t="s">
        <v>279</v>
      </c>
      <c r="I176" s="35" t="s">
        <v>33</v>
      </c>
      <c r="J176" s="35" t="s">
        <v>35</v>
      </c>
      <c r="K176" s="35" t="s">
        <v>36</v>
      </c>
      <c r="L176" s="35" t="s">
        <v>37</v>
      </c>
      <c r="M176" s="35" t="s">
        <v>38</v>
      </c>
      <c r="O176" s="59">
        <v>50</v>
      </c>
      <c r="P176" s="59">
        <v>50</v>
      </c>
      <c r="Q176" s="56">
        <v>0</v>
      </c>
      <c r="R176" s="35" t="s">
        <v>39</v>
      </c>
      <c r="T176" s="35" t="s">
        <v>40</v>
      </c>
      <c r="U176" s="35" t="s">
        <v>40</v>
      </c>
    </row>
    <row r="177" spans="1:21">
      <c r="A177" s="59">
        <v>2023</v>
      </c>
      <c r="B177" s="35" t="s">
        <v>284</v>
      </c>
      <c r="C177" s="74">
        <v>29235</v>
      </c>
      <c r="D177" s="56">
        <v>26</v>
      </c>
      <c r="E177" s="54">
        <v>45105</v>
      </c>
      <c r="F177" s="35" t="s">
        <v>32</v>
      </c>
      <c r="G177" s="35" t="s">
        <v>33</v>
      </c>
      <c r="H177" s="35" t="s">
        <v>279</v>
      </c>
      <c r="I177" s="35" t="s">
        <v>33</v>
      </c>
      <c r="J177" s="35" t="s">
        <v>35</v>
      </c>
      <c r="K177" s="35" t="s">
        <v>36</v>
      </c>
      <c r="L177" s="35" t="s">
        <v>37</v>
      </c>
      <c r="M177" s="35" t="s">
        <v>38</v>
      </c>
      <c r="O177" s="59">
        <v>50</v>
      </c>
      <c r="P177" s="59">
        <v>50</v>
      </c>
      <c r="Q177" s="56">
        <v>0</v>
      </c>
      <c r="R177" s="35" t="s">
        <v>39</v>
      </c>
      <c r="T177" s="35" t="s">
        <v>40</v>
      </c>
      <c r="U177" s="35" t="s">
        <v>40</v>
      </c>
    </row>
    <row r="178" spans="1:21">
      <c r="A178" s="59">
        <v>2023</v>
      </c>
      <c r="B178" s="35" t="s">
        <v>285</v>
      </c>
      <c r="C178" s="74">
        <v>29236</v>
      </c>
      <c r="D178" s="56">
        <v>26</v>
      </c>
      <c r="E178" s="54">
        <v>45105</v>
      </c>
      <c r="F178" s="35" t="s">
        <v>32</v>
      </c>
      <c r="G178" s="35" t="s">
        <v>33</v>
      </c>
      <c r="H178" s="35" t="s">
        <v>279</v>
      </c>
      <c r="I178" s="35" t="s">
        <v>33</v>
      </c>
      <c r="J178" s="35" t="s">
        <v>35</v>
      </c>
      <c r="K178" s="35" t="s">
        <v>36</v>
      </c>
      <c r="L178" s="35" t="s">
        <v>37</v>
      </c>
      <c r="M178" s="35" t="s">
        <v>38</v>
      </c>
      <c r="O178" s="59">
        <v>50</v>
      </c>
      <c r="P178" s="59">
        <v>50</v>
      </c>
      <c r="Q178" s="56">
        <v>0</v>
      </c>
      <c r="R178" s="35" t="s">
        <v>39</v>
      </c>
      <c r="T178" s="35" t="s">
        <v>40</v>
      </c>
      <c r="U178" s="35" t="s">
        <v>40</v>
      </c>
    </row>
    <row r="179" spans="1:21">
      <c r="A179" s="59">
        <v>2023</v>
      </c>
      <c r="B179" s="35" t="s">
        <v>286</v>
      </c>
      <c r="C179" s="74">
        <v>29237</v>
      </c>
      <c r="D179" s="56">
        <v>26</v>
      </c>
      <c r="E179" s="54">
        <v>45105</v>
      </c>
      <c r="F179" s="35" t="s">
        <v>32</v>
      </c>
      <c r="G179" s="35" t="s">
        <v>33</v>
      </c>
      <c r="H179" s="35" t="s">
        <v>279</v>
      </c>
      <c r="I179" s="35" t="s">
        <v>33</v>
      </c>
      <c r="J179" s="35" t="s">
        <v>35</v>
      </c>
      <c r="K179" s="35" t="s">
        <v>36</v>
      </c>
      <c r="L179" s="35" t="s">
        <v>37</v>
      </c>
      <c r="M179" s="35" t="s">
        <v>38</v>
      </c>
      <c r="O179" s="59">
        <v>50</v>
      </c>
      <c r="P179" s="59">
        <v>50</v>
      </c>
      <c r="Q179" s="56">
        <v>0</v>
      </c>
      <c r="R179" s="35" t="s">
        <v>39</v>
      </c>
      <c r="T179" s="35" t="s">
        <v>40</v>
      </c>
      <c r="U179" s="35" t="s">
        <v>40</v>
      </c>
    </row>
    <row r="180" spans="1:21">
      <c r="A180" s="59">
        <v>2023</v>
      </c>
      <c r="B180" s="35" t="s">
        <v>287</v>
      </c>
      <c r="C180" s="74">
        <v>29238</v>
      </c>
      <c r="D180" s="56">
        <v>26</v>
      </c>
      <c r="E180" s="54">
        <v>45105</v>
      </c>
      <c r="F180" s="35" t="s">
        <v>32</v>
      </c>
      <c r="G180" s="35" t="s">
        <v>33</v>
      </c>
      <c r="H180" s="35" t="s">
        <v>279</v>
      </c>
      <c r="I180" s="35" t="s">
        <v>33</v>
      </c>
      <c r="J180" s="35" t="s">
        <v>35</v>
      </c>
      <c r="K180" s="35" t="s">
        <v>36</v>
      </c>
      <c r="L180" s="35" t="s">
        <v>37</v>
      </c>
      <c r="M180" s="35" t="s">
        <v>38</v>
      </c>
      <c r="O180" s="59">
        <v>50</v>
      </c>
      <c r="P180" s="59">
        <v>50</v>
      </c>
      <c r="Q180" s="56">
        <v>0</v>
      </c>
      <c r="R180" s="35" t="s">
        <v>39</v>
      </c>
      <c r="T180" s="35" t="s">
        <v>40</v>
      </c>
      <c r="U180" s="35" t="s">
        <v>40</v>
      </c>
    </row>
    <row r="181" spans="1:21">
      <c r="A181" s="59">
        <v>2023</v>
      </c>
      <c r="B181" s="35" t="s">
        <v>288</v>
      </c>
      <c r="C181" s="74">
        <v>29239</v>
      </c>
      <c r="D181" s="56">
        <v>26</v>
      </c>
      <c r="E181" s="54">
        <v>45105</v>
      </c>
      <c r="F181" s="35" t="s">
        <v>32</v>
      </c>
      <c r="G181" s="35" t="s">
        <v>33</v>
      </c>
      <c r="H181" s="35" t="s">
        <v>279</v>
      </c>
      <c r="I181" s="35" t="s">
        <v>33</v>
      </c>
      <c r="J181" s="35" t="s">
        <v>35</v>
      </c>
      <c r="K181" s="35" t="s">
        <v>36</v>
      </c>
      <c r="L181" s="35" t="s">
        <v>37</v>
      </c>
      <c r="M181" s="35" t="s">
        <v>38</v>
      </c>
      <c r="O181" s="59">
        <v>45</v>
      </c>
      <c r="P181" s="59">
        <v>45</v>
      </c>
      <c r="Q181" s="56">
        <v>0</v>
      </c>
      <c r="R181" s="35" t="s">
        <v>39</v>
      </c>
      <c r="T181" s="35" t="s">
        <v>40</v>
      </c>
      <c r="U181" s="35" t="s">
        <v>40</v>
      </c>
    </row>
    <row r="182" spans="1:21">
      <c r="A182" s="59">
        <v>2023</v>
      </c>
      <c r="B182" s="35" t="s">
        <v>289</v>
      </c>
      <c r="C182" s="74">
        <v>29240</v>
      </c>
      <c r="D182" s="56">
        <v>26</v>
      </c>
      <c r="E182" s="54">
        <v>45105</v>
      </c>
      <c r="F182" s="35" t="s">
        <v>32</v>
      </c>
      <c r="G182" s="35" t="s">
        <v>57</v>
      </c>
      <c r="H182" s="35" t="s">
        <v>290</v>
      </c>
      <c r="I182" s="35" t="s">
        <v>87</v>
      </c>
      <c r="J182" s="35" t="s">
        <v>35</v>
      </c>
      <c r="K182" s="35" t="s">
        <v>36</v>
      </c>
      <c r="L182" s="35" t="s">
        <v>37</v>
      </c>
      <c r="M182" s="35" t="s">
        <v>38</v>
      </c>
      <c r="O182" s="59">
        <v>50</v>
      </c>
      <c r="P182" s="59">
        <v>50</v>
      </c>
      <c r="Q182" s="56">
        <v>0</v>
      </c>
      <c r="R182" s="35" t="s">
        <v>39</v>
      </c>
      <c r="T182" s="35" t="s">
        <v>60</v>
      </c>
      <c r="U182" s="35" t="s">
        <v>88</v>
      </c>
    </row>
    <row r="183" spans="1:21">
      <c r="A183" s="59">
        <v>2023</v>
      </c>
      <c r="B183" s="35" t="s">
        <v>291</v>
      </c>
      <c r="C183" s="74">
        <v>29241</v>
      </c>
      <c r="D183" s="56">
        <v>26</v>
      </c>
      <c r="E183" s="54">
        <v>45105</v>
      </c>
      <c r="F183" s="35" t="s">
        <v>32</v>
      </c>
      <c r="G183" s="35" t="s">
        <v>57</v>
      </c>
      <c r="H183" s="35" t="s">
        <v>290</v>
      </c>
      <c r="I183" s="35" t="s">
        <v>87</v>
      </c>
      <c r="J183" s="35" t="s">
        <v>35</v>
      </c>
      <c r="K183" s="35" t="s">
        <v>36</v>
      </c>
      <c r="L183" s="35" t="s">
        <v>37</v>
      </c>
      <c r="M183" s="35" t="s">
        <v>38</v>
      </c>
      <c r="O183" s="59">
        <v>50</v>
      </c>
      <c r="P183" s="59">
        <v>50</v>
      </c>
      <c r="Q183" s="56">
        <v>0</v>
      </c>
      <c r="R183" s="35" t="s">
        <v>39</v>
      </c>
      <c r="T183" s="35" t="s">
        <v>60</v>
      </c>
      <c r="U183" s="35" t="s">
        <v>88</v>
      </c>
    </row>
    <row r="184" spans="1:21">
      <c r="A184" s="59">
        <v>2023</v>
      </c>
      <c r="B184" s="35" t="s">
        <v>292</v>
      </c>
      <c r="C184" s="74">
        <v>29242</v>
      </c>
      <c r="D184" s="56">
        <v>26</v>
      </c>
      <c r="E184" s="54">
        <v>45105</v>
      </c>
      <c r="F184" s="35" t="s">
        <v>32</v>
      </c>
      <c r="G184" s="35" t="s">
        <v>57</v>
      </c>
      <c r="H184" s="35" t="s">
        <v>290</v>
      </c>
      <c r="I184" s="35" t="s">
        <v>87</v>
      </c>
      <c r="J184" s="35" t="s">
        <v>35</v>
      </c>
      <c r="K184" s="35" t="s">
        <v>36</v>
      </c>
      <c r="L184" s="35" t="s">
        <v>37</v>
      </c>
      <c r="M184" s="35" t="s">
        <v>38</v>
      </c>
      <c r="O184" s="59">
        <v>50</v>
      </c>
      <c r="P184" s="59">
        <v>50</v>
      </c>
      <c r="Q184" s="56">
        <v>0</v>
      </c>
      <c r="R184" s="35" t="s">
        <v>39</v>
      </c>
      <c r="T184" s="35" t="s">
        <v>60</v>
      </c>
      <c r="U184" s="35" t="s">
        <v>88</v>
      </c>
    </row>
    <row r="185" spans="1:21">
      <c r="A185" s="59">
        <v>2023</v>
      </c>
      <c r="B185" s="35" t="s">
        <v>293</v>
      </c>
      <c r="C185" s="74">
        <v>29243</v>
      </c>
      <c r="D185" s="56">
        <v>26</v>
      </c>
      <c r="E185" s="54">
        <v>45105</v>
      </c>
      <c r="F185" s="35" t="s">
        <v>32</v>
      </c>
      <c r="G185" s="35" t="s">
        <v>57</v>
      </c>
      <c r="H185" s="35" t="s">
        <v>290</v>
      </c>
      <c r="I185" s="35" t="s">
        <v>87</v>
      </c>
      <c r="J185" s="35" t="s">
        <v>35</v>
      </c>
      <c r="K185" s="35" t="s">
        <v>36</v>
      </c>
      <c r="L185" s="35" t="s">
        <v>37</v>
      </c>
      <c r="M185" s="35" t="s">
        <v>38</v>
      </c>
      <c r="O185" s="59">
        <v>29</v>
      </c>
      <c r="P185" s="59">
        <v>29</v>
      </c>
      <c r="Q185" s="56">
        <v>0</v>
      </c>
      <c r="R185" s="35" t="s">
        <v>39</v>
      </c>
      <c r="T185" s="35" t="s">
        <v>60</v>
      </c>
      <c r="U185" s="35" t="s">
        <v>88</v>
      </c>
    </row>
    <row r="186" spans="1:21">
      <c r="A186" s="59">
        <v>2023</v>
      </c>
      <c r="B186" s="35" t="s">
        <v>294</v>
      </c>
      <c r="C186" s="74">
        <v>29244</v>
      </c>
      <c r="D186" s="56">
        <v>26</v>
      </c>
      <c r="E186" s="54">
        <v>45105</v>
      </c>
      <c r="F186" s="35" t="s">
        <v>32</v>
      </c>
      <c r="G186" s="35" t="s">
        <v>57</v>
      </c>
      <c r="H186" s="35" t="s">
        <v>295</v>
      </c>
      <c r="I186" s="35" t="s">
        <v>87</v>
      </c>
      <c r="J186" s="35" t="s">
        <v>35</v>
      </c>
      <c r="K186" s="35" t="s">
        <v>36</v>
      </c>
      <c r="L186" s="35" t="s">
        <v>37</v>
      </c>
      <c r="M186" s="35" t="s">
        <v>38</v>
      </c>
      <c r="O186" s="59">
        <v>50</v>
      </c>
      <c r="P186" s="59">
        <v>50</v>
      </c>
      <c r="Q186" s="56">
        <v>0</v>
      </c>
      <c r="R186" s="35" t="s">
        <v>39</v>
      </c>
      <c r="T186" s="35" t="s">
        <v>60</v>
      </c>
      <c r="U186" s="35" t="s">
        <v>88</v>
      </c>
    </row>
    <row r="187" spans="1:21">
      <c r="A187" s="59">
        <v>2023</v>
      </c>
      <c r="B187" s="35" t="s">
        <v>296</v>
      </c>
      <c r="C187" s="74">
        <v>29245</v>
      </c>
      <c r="D187" s="56">
        <v>26</v>
      </c>
      <c r="E187" s="54">
        <v>45105</v>
      </c>
      <c r="F187" s="35" t="s">
        <v>32</v>
      </c>
      <c r="G187" s="35" t="s">
        <v>57</v>
      </c>
      <c r="H187" s="35" t="s">
        <v>295</v>
      </c>
      <c r="I187" s="35" t="s">
        <v>87</v>
      </c>
      <c r="J187" s="35" t="s">
        <v>35</v>
      </c>
      <c r="K187" s="35" t="s">
        <v>36</v>
      </c>
      <c r="L187" s="35" t="s">
        <v>37</v>
      </c>
      <c r="M187" s="35" t="s">
        <v>38</v>
      </c>
      <c r="O187" s="59">
        <v>50</v>
      </c>
      <c r="P187" s="59">
        <v>50</v>
      </c>
      <c r="Q187" s="56">
        <v>0</v>
      </c>
      <c r="R187" s="35" t="s">
        <v>39</v>
      </c>
      <c r="T187" s="35" t="s">
        <v>60</v>
      </c>
      <c r="U187" s="35" t="s">
        <v>88</v>
      </c>
    </row>
    <row r="188" spans="1:21">
      <c r="A188" s="59">
        <v>2023</v>
      </c>
      <c r="B188" s="35" t="s">
        <v>297</v>
      </c>
      <c r="C188" s="74">
        <v>29246</v>
      </c>
      <c r="D188" s="56">
        <v>26</v>
      </c>
      <c r="E188" s="54">
        <v>45105</v>
      </c>
      <c r="F188" s="35" t="s">
        <v>32</v>
      </c>
      <c r="G188" s="35" t="s">
        <v>57</v>
      </c>
      <c r="H188" s="35" t="s">
        <v>295</v>
      </c>
      <c r="I188" s="35" t="s">
        <v>87</v>
      </c>
      <c r="J188" s="35" t="s">
        <v>35</v>
      </c>
      <c r="K188" s="35" t="s">
        <v>36</v>
      </c>
      <c r="L188" s="35" t="s">
        <v>37</v>
      </c>
      <c r="M188" s="35" t="s">
        <v>38</v>
      </c>
      <c r="O188" s="59">
        <v>50</v>
      </c>
      <c r="P188" s="59">
        <v>50</v>
      </c>
      <c r="Q188" s="56">
        <v>0</v>
      </c>
      <c r="R188" s="35" t="s">
        <v>39</v>
      </c>
      <c r="T188" s="35" t="s">
        <v>60</v>
      </c>
      <c r="U188" s="35" t="s">
        <v>88</v>
      </c>
    </row>
    <row r="189" spans="1:21">
      <c r="A189" s="59">
        <v>2023</v>
      </c>
      <c r="B189" s="35" t="s">
        <v>298</v>
      </c>
      <c r="C189" s="74">
        <v>29247</v>
      </c>
      <c r="D189" s="56">
        <v>26</v>
      </c>
      <c r="E189" s="54">
        <v>45105</v>
      </c>
      <c r="F189" s="35" t="s">
        <v>32</v>
      </c>
      <c r="G189" s="35" t="s">
        <v>57</v>
      </c>
      <c r="H189" s="35" t="s">
        <v>295</v>
      </c>
      <c r="I189" s="35" t="s">
        <v>87</v>
      </c>
      <c r="J189" s="35" t="s">
        <v>35</v>
      </c>
      <c r="K189" s="35" t="s">
        <v>36</v>
      </c>
      <c r="L189" s="35" t="s">
        <v>37</v>
      </c>
      <c r="M189" s="35" t="s">
        <v>38</v>
      </c>
      <c r="O189" s="59">
        <v>50</v>
      </c>
      <c r="P189" s="59">
        <v>50</v>
      </c>
      <c r="Q189" s="56">
        <v>0</v>
      </c>
      <c r="R189" s="35" t="s">
        <v>39</v>
      </c>
      <c r="T189" s="35" t="s">
        <v>60</v>
      </c>
      <c r="U189" s="35" t="s">
        <v>88</v>
      </c>
    </row>
    <row r="190" spans="1:21">
      <c r="A190" s="59">
        <v>2023</v>
      </c>
      <c r="B190" s="35" t="s">
        <v>299</v>
      </c>
      <c r="C190" s="74">
        <v>29248</v>
      </c>
      <c r="D190" s="56">
        <v>26</v>
      </c>
      <c r="E190" s="54">
        <v>45105</v>
      </c>
      <c r="F190" s="35" t="s">
        <v>32</v>
      </c>
      <c r="G190" s="35" t="s">
        <v>57</v>
      </c>
      <c r="H190" s="35" t="s">
        <v>295</v>
      </c>
      <c r="I190" s="35" t="s">
        <v>87</v>
      </c>
      <c r="J190" s="35" t="s">
        <v>35</v>
      </c>
      <c r="K190" s="35" t="s">
        <v>36</v>
      </c>
      <c r="L190" s="35" t="s">
        <v>37</v>
      </c>
      <c r="M190" s="35" t="s">
        <v>38</v>
      </c>
      <c r="O190" s="59">
        <v>50</v>
      </c>
      <c r="P190" s="59">
        <v>50</v>
      </c>
      <c r="Q190" s="56">
        <v>0</v>
      </c>
      <c r="R190" s="35" t="s">
        <v>39</v>
      </c>
      <c r="T190" s="35" t="s">
        <v>60</v>
      </c>
      <c r="U190" s="35" t="s">
        <v>88</v>
      </c>
    </row>
    <row r="191" spans="1:21">
      <c r="A191" s="59">
        <v>2023</v>
      </c>
      <c r="B191" s="35" t="s">
        <v>300</v>
      </c>
      <c r="C191" s="74">
        <v>29249</v>
      </c>
      <c r="D191" s="56">
        <v>26</v>
      </c>
      <c r="E191" s="54">
        <v>45105</v>
      </c>
      <c r="F191" s="35" t="s">
        <v>32</v>
      </c>
      <c r="G191" s="35" t="s">
        <v>57</v>
      </c>
      <c r="H191" s="35" t="s">
        <v>295</v>
      </c>
      <c r="I191" s="35" t="s">
        <v>87</v>
      </c>
      <c r="J191" s="35" t="s">
        <v>35</v>
      </c>
      <c r="K191" s="35" t="s">
        <v>36</v>
      </c>
      <c r="L191" s="35" t="s">
        <v>37</v>
      </c>
      <c r="M191" s="35" t="s">
        <v>38</v>
      </c>
      <c r="O191" s="59">
        <v>1</v>
      </c>
      <c r="P191" s="59">
        <v>1</v>
      </c>
      <c r="Q191" s="56">
        <v>0</v>
      </c>
      <c r="R191" s="35" t="s">
        <v>39</v>
      </c>
      <c r="T191" s="35" t="s">
        <v>60</v>
      </c>
      <c r="U191" s="35" t="s">
        <v>88</v>
      </c>
    </row>
    <row r="192" spans="1:21">
      <c r="A192" s="59">
        <v>2023</v>
      </c>
      <c r="B192" s="35" t="s">
        <v>301</v>
      </c>
      <c r="C192" s="74">
        <v>29250</v>
      </c>
      <c r="D192" s="56">
        <v>26</v>
      </c>
      <c r="E192" s="54">
        <v>45105</v>
      </c>
      <c r="F192" s="35" t="s">
        <v>32</v>
      </c>
      <c r="G192" s="35" t="s">
        <v>57</v>
      </c>
      <c r="H192" s="35" t="s">
        <v>295</v>
      </c>
      <c r="I192" s="35" t="s">
        <v>87</v>
      </c>
      <c r="J192" s="35" t="s">
        <v>35</v>
      </c>
      <c r="K192" s="35" t="s">
        <v>36</v>
      </c>
      <c r="L192" s="35" t="s">
        <v>54</v>
      </c>
      <c r="M192" s="35" t="s">
        <v>38</v>
      </c>
      <c r="O192" s="59">
        <v>9</v>
      </c>
      <c r="P192" s="59">
        <v>9</v>
      </c>
      <c r="Q192" s="56">
        <v>0</v>
      </c>
      <c r="R192" s="35" t="s">
        <v>39</v>
      </c>
      <c r="T192" s="35" t="s">
        <v>70</v>
      </c>
      <c r="U192" s="35" t="s">
        <v>233</v>
      </c>
    </row>
    <row r="193" spans="1:21">
      <c r="A193" s="59">
        <v>2023</v>
      </c>
      <c r="B193" s="35" t="s">
        <v>302</v>
      </c>
      <c r="C193" s="74">
        <v>29251</v>
      </c>
      <c r="D193" s="56">
        <v>26</v>
      </c>
      <c r="E193" s="54">
        <v>45105</v>
      </c>
      <c r="F193" s="35" t="s">
        <v>32</v>
      </c>
      <c r="G193" s="35" t="s">
        <v>57</v>
      </c>
      <c r="H193" s="35" t="s">
        <v>303</v>
      </c>
      <c r="I193" s="35" t="s">
        <v>87</v>
      </c>
      <c r="J193" s="35" t="s">
        <v>35</v>
      </c>
      <c r="K193" s="35" t="s">
        <v>36</v>
      </c>
      <c r="L193" s="35" t="s">
        <v>37</v>
      </c>
      <c r="M193" s="35" t="s">
        <v>38</v>
      </c>
      <c r="O193" s="59">
        <v>11</v>
      </c>
      <c r="P193" s="59">
        <v>11</v>
      </c>
      <c r="Q193" s="56">
        <v>0</v>
      </c>
      <c r="R193" s="35" t="s">
        <v>39</v>
      </c>
      <c r="T193" s="35" t="s">
        <v>60</v>
      </c>
      <c r="U193" s="35" t="s">
        <v>88</v>
      </c>
    </row>
    <row r="194" spans="1:21">
      <c r="A194" s="59">
        <v>2023</v>
      </c>
      <c r="B194" s="35" t="s">
        <v>304</v>
      </c>
      <c r="C194" s="74">
        <v>29252</v>
      </c>
      <c r="D194" s="56">
        <v>26</v>
      </c>
      <c r="E194" s="54">
        <v>45105</v>
      </c>
      <c r="F194" s="35" t="s">
        <v>32</v>
      </c>
      <c r="G194" s="35" t="s">
        <v>57</v>
      </c>
      <c r="H194" s="35" t="s">
        <v>305</v>
      </c>
      <c r="I194" s="35" t="s">
        <v>87</v>
      </c>
      <c r="J194" s="35" t="s">
        <v>35</v>
      </c>
      <c r="K194" s="35" t="s">
        <v>36</v>
      </c>
      <c r="L194" s="35" t="s">
        <v>37</v>
      </c>
      <c r="M194" s="35" t="s">
        <v>38</v>
      </c>
      <c r="O194" s="59">
        <v>50</v>
      </c>
      <c r="P194" s="59">
        <v>50</v>
      </c>
      <c r="Q194" s="56">
        <v>0</v>
      </c>
      <c r="R194" s="35" t="s">
        <v>39</v>
      </c>
      <c r="T194" s="35" t="s">
        <v>60</v>
      </c>
      <c r="U194" s="35" t="s">
        <v>88</v>
      </c>
    </row>
    <row r="195" spans="1:21">
      <c r="A195" s="59">
        <v>2023</v>
      </c>
      <c r="B195" s="35" t="s">
        <v>306</v>
      </c>
      <c r="C195" s="74">
        <v>29253</v>
      </c>
      <c r="D195" s="56">
        <v>26</v>
      </c>
      <c r="E195" s="54">
        <v>45105</v>
      </c>
      <c r="F195" s="35" t="s">
        <v>32</v>
      </c>
      <c r="G195" s="35" t="s">
        <v>57</v>
      </c>
      <c r="H195" s="35" t="s">
        <v>305</v>
      </c>
      <c r="I195" s="35" t="s">
        <v>87</v>
      </c>
      <c r="J195" s="35" t="s">
        <v>35</v>
      </c>
      <c r="K195" s="35" t="s">
        <v>36</v>
      </c>
      <c r="L195" s="35" t="s">
        <v>37</v>
      </c>
      <c r="M195" s="35" t="s">
        <v>38</v>
      </c>
      <c r="O195" s="59">
        <v>50</v>
      </c>
      <c r="P195" s="59">
        <v>50</v>
      </c>
      <c r="Q195" s="56">
        <v>0</v>
      </c>
      <c r="R195" s="35" t="s">
        <v>39</v>
      </c>
      <c r="T195" s="35" t="s">
        <v>60</v>
      </c>
      <c r="U195" s="35" t="s">
        <v>88</v>
      </c>
    </row>
    <row r="196" spans="1:21">
      <c r="A196" s="59">
        <v>2023</v>
      </c>
      <c r="B196" s="35" t="s">
        <v>307</v>
      </c>
      <c r="C196" s="74">
        <v>29254</v>
      </c>
      <c r="D196" s="56">
        <v>26</v>
      </c>
      <c r="E196" s="54">
        <v>45105</v>
      </c>
      <c r="F196" s="35" t="s">
        <v>32</v>
      </c>
      <c r="G196" s="35" t="s">
        <v>57</v>
      </c>
      <c r="H196" s="35" t="s">
        <v>305</v>
      </c>
      <c r="I196" s="35" t="s">
        <v>87</v>
      </c>
      <c r="J196" s="35" t="s">
        <v>35</v>
      </c>
      <c r="K196" s="35" t="s">
        <v>36</v>
      </c>
      <c r="L196" s="35" t="s">
        <v>37</v>
      </c>
      <c r="M196" s="35" t="s">
        <v>38</v>
      </c>
      <c r="O196" s="59">
        <v>50</v>
      </c>
      <c r="P196" s="59">
        <v>50</v>
      </c>
      <c r="Q196" s="56">
        <v>0</v>
      </c>
      <c r="R196" s="35" t="s">
        <v>39</v>
      </c>
      <c r="T196" s="35" t="s">
        <v>60</v>
      </c>
      <c r="U196" s="35" t="s">
        <v>88</v>
      </c>
    </row>
    <row r="197" spans="1:21">
      <c r="A197" s="59">
        <v>2023</v>
      </c>
      <c r="B197" s="35" t="s">
        <v>308</v>
      </c>
      <c r="C197" s="74">
        <v>29255</v>
      </c>
      <c r="D197" s="56">
        <v>26</v>
      </c>
      <c r="E197" s="54">
        <v>45105</v>
      </c>
      <c r="F197" s="35" t="s">
        <v>32</v>
      </c>
      <c r="G197" s="35" t="s">
        <v>57</v>
      </c>
      <c r="H197" s="35" t="s">
        <v>305</v>
      </c>
      <c r="I197" s="35" t="s">
        <v>87</v>
      </c>
      <c r="J197" s="35" t="s">
        <v>35</v>
      </c>
      <c r="K197" s="35" t="s">
        <v>36</v>
      </c>
      <c r="L197" s="35" t="s">
        <v>37</v>
      </c>
      <c r="M197" s="35" t="s">
        <v>38</v>
      </c>
      <c r="O197" s="59">
        <v>50</v>
      </c>
      <c r="P197" s="59">
        <v>50</v>
      </c>
      <c r="Q197" s="56">
        <v>0</v>
      </c>
      <c r="R197" s="35" t="s">
        <v>39</v>
      </c>
      <c r="T197" s="35" t="s">
        <v>60</v>
      </c>
      <c r="U197" s="35" t="s">
        <v>88</v>
      </c>
    </row>
    <row r="198" spans="1:21">
      <c r="A198" s="59">
        <v>2023</v>
      </c>
      <c r="B198" s="35" t="s">
        <v>309</v>
      </c>
      <c r="C198" s="74">
        <v>29256</v>
      </c>
      <c r="D198" s="56">
        <v>26</v>
      </c>
      <c r="E198" s="54">
        <v>45105</v>
      </c>
      <c r="F198" s="35" t="s">
        <v>32</v>
      </c>
      <c r="G198" s="35" t="s">
        <v>57</v>
      </c>
      <c r="H198" s="35" t="s">
        <v>305</v>
      </c>
      <c r="I198" s="35" t="s">
        <v>87</v>
      </c>
      <c r="J198" s="35" t="s">
        <v>35</v>
      </c>
      <c r="K198" s="35" t="s">
        <v>36</v>
      </c>
      <c r="L198" s="35" t="s">
        <v>37</v>
      </c>
      <c r="M198" s="35" t="s">
        <v>38</v>
      </c>
      <c r="O198" s="59">
        <v>50</v>
      </c>
      <c r="P198" s="59">
        <v>50</v>
      </c>
      <c r="Q198" s="56">
        <v>0</v>
      </c>
      <c r="R198" s="35" t="s">
        <v>39</v>
      </c>
      <c r="T198" s="35" t="s">
        <v>60</v>
      </c>
      <c r="U198" s="35" t="s">
        <v>88</v>
      </c>
    </row>
    <row r="199" spans="1:21">
      <c r="A199" s="59">
        <v>2023</v>
      </c>
      <c r="B199" s="35" t="s">
        <v>310</v>
      </c>
      <c r="C199" s="74">
        <v>29257</v>
      </c>
      <c r="D199" s="56">
        <v>26</v>
      </c>
      <c r="E199" s="54">
        <v>45105</v>
      </c>
      <c r="F199" s="35" t="s">
        <v>32</v>
      </c>
      <c r="G199" s="35" t="s">
        <v>57</v>
      </c>
      <c r="H199" s="35" t="s">
        <v>305</v>
      </c>
      <c r="I199" s="35" t="s">
        <v>87</v>
      </c>
      <c r="J199" s="35" t="s">
        <v>35</v>
      </c>
      <c r="K199" s="35" t="s">
        <v>36</v>
      </c>
      <c r="L199" s="35" t="s">
        <v>37</v>
      </c>
      <c r="M199" s="35" t="s">
        <v>38</v>
      </c>
      <c r="O199" s="59">
        <v>50</v>
      </c>
      <c r="P199" s="59">
        <v>50</v>
      </c>
      <c r="Q199" s="56">
        <v>0</v>
      </c>
      <c r="R199" s="35" t="s">
        <v>39</v>
      </c>
      <c r="T199" s="35" t="s">
        <v>60</v>
      </c>
      <c r="U199" s="35" t="s">
        <v>88</v>
      </c>
    </row>
    <row r="200" spans="1:21">
      <c r="A200" s="59">
        <v>2023</v>
      </c>
      <c r="B200" s="35" t="s">
        <v>311</v>
      </c>
      <c r="C200" s="74">
        <v>29258</v>
      </c>
      <c r="D200" s="56">
        <v>26</v>
      </c>
      <c r="E200" s="54">
        <v>45105</v>
      </c>
      <c r="F200" s="35" t="s">
        <v>32</v>
      </c>
      <c r="G200" s="35" t="s">
        <v>57</v>
      </c>
      <c r="H200" s="35" t="s">
        <v>305</v>
      </c>
      <c r="I200" s="35" t="s">
        <v>87</v>
      </c>
      <c r="J200" s="35" t="s">
        <v>35</v>
      </c>
      <c r="K200" s="35" t="s">
        <v>36</v>
      </c>
      <c r="L200" s="35" t="s">
        <v>37</v>
      </c>
      <c r="M200" s="35" t="s">
        <v>38</v>
      </c>
      <c r="O200" s="59">
        <v>50</v>
      </c>
      <c r="P200" s="59">
        <v>50</v>
      </c>
      <c r="Q200" s="56">
        <v>0</v>
      </c>
      <c r="R200" s="35" t="s">
        <v>39</v>
      </c>
      <c r="T200" s="35" t="s">
        <v>60</v>
      </c>
      <c r="U200" s="35" t="s">
        <v>88</v>
      </c>
    </row>
    <row r="201" spans="1:21">
      <c r="A201" s="59">
        <v>2023</v>
      </c>
      <c r="B201" s="35" t="s">
        <v>312</v>
      </c>
      <c r="C201" s="74">
        <v>29259</v>
      </c>
      <c r="D201" s="56">
        <v>26</v>
      </c>
      <c r="E201" s="54">
        <v>45105</v>
      </c>
      <c r="F201" s="35" t="s">
        <v>32</v>
      </c>
      <c r="G201" s="35" t="s">
        <v>57</v>
      </c>
      <c r="H201" s="35" t="s">
        <v>305</v>
      </c>
      <c r="I201" s="35" t="s">
        <v>87</v>
      </c>
      <c r="J201" s="35" t="s">
        <v>35</v>
      </c>
      <c r="K201" s="35" t="s">
        <v>36</v>
      </c>
      <c r="L201" s="35" t="s">
        <v>37</v>
      </c>
      <c r="M201" s="35" t="s">
        <v>38</v>
      </c>
      <c r="O201" s="59">
        <v>50</v>
      </c>
      <c r="P201" s="59">
        <v>50</v>
      </c>
      <c r="Q201" s="56">
        <v>0</v>
      </c>
      <c r="R201" s="35" t="s">
        <v>39</v>
      </c>
      <c r="T201" s="35" t="s">
        <v>60</v>
      </c>
      <c r="U201" s="35" t="s">
        <v>88</v>
      </c>
    </row>
    <row r="202" spans="1:21">
      <c r="A202" s="59">
        <v>2023</v>
      </c>
      <c r="B202" s="35" t="s">
        <v>313</v>
      </c>
      <c r="C202" s="74">
        <v>29260</v>
      </c>
      <c r="D202" s="56">
        <v>26</v>
      </c>
      <c r="E202" s="54">
        <v>45105</v>
      </c>
      <c r="F202" s="35" t="s">
        <v>32</v>
      </c>
      <c r="G202" s="35" t="s">
        <v>57</v>
      </c>
      <c r="H202" s="35" t="s">
        <v>305</v>
      </c>
      <c r="I202" s="35" t="s">
        <v>87</v>
      </c>
      <c r="J202" s="35" t="s">
        <v>35</v>
      </c>
      <c r="K202" s="35" t="s">
        <v>36</v>
      </c>
      <c r="L202" s="35" t="s">
        <v>37</v>
      </c>
      <c r="M202" s="35" t="s">
        <v>38</v>
      </c>
      <c r="O202" s="59">
        <v>50</v>
      </c>
      <c r="P202" s="59">
        <v>50</v>
      </c>
      <c r="Q202" s="56">
        <v>0</v>
      </c>
      <c r="R202" s="35" t="s">
        <v>39</v>
      </c>
      <c r="T202" s="35" t="s">
        <v>60</v>
      </c>
      <c r="U202" s="35" t="s">
        <v>88</v>
      </c>
    </row>
    <row r="203" spans="1:21">
      <c r="A203" s="59">
        <v>2023</v>
      </c>
      <c r="B203" s="35" t="s">
        <v>314</v>
      </c>
      <c r="C203" s="74">
        <v>29261</v>
      </c>
      <c r="D203" s="56">
        <v>26</v>
      </c>
      <c r="E203" s="54">
        <v>45105</v>
      </c>
      <c r="F203" s="35" t="s">
        <v>32</v>
      </c>
      <c r="G203" s="35" t="s">
        <v>57</v>
      </c>
      <c r="H203" s="35" t="s">
        <v>305</v>
      </c>
      <c r="I203" s="35" t="s">
        <v>87</v>
      </c>
      <c r="J203" s="35" t="s">
        <v>35</v>
      </c>
      <c r="K203" s="35" t="s">
        <v>36</v>
      </c>
      <c r="L203" s="35" t="s">
        <v>37</v>
      </c>
      <c r="M203" s="35" t="s">
        <v>38</v>
      </c>
      <c r="O203" s="59">
        <v>2</v>
      </c>
      <c r="P203" s="59">
        <v>2</v>
      </c>
      <c r="Q203" s="56">
        <v>0</v>
      </c>
      <c r="R203" s="35" t="s">
        <v>39</v>
      </c>
      <c r="T203" s="35" t="s">
        <v>60</v>
      </c>
      <c r="U203" s="35" t="s">
        <v>88</v>
      </c>
    </row>
    <row r="204" spans="1:21">
      <c r="A204" s="59">
        <v>2023</v>
      </c>
      <c r="B204" s="35" t="s">
        <v>315</v>
      </c>
      <c r="C204" s="74">
        <v>29262</v>
      </c>
      <c r="D204" s="56">
        <v>26</v>
      </c>
      <c r="E204" s="54">
        <v>45105</v>
      </c>
      <c r="F204" s="35" t="s">
        <v>32</v>
      </c>
      <c r="G204" s="35" t="s">
        <v>57</v>
      </c>
      <c r="H204" s="35" t="s">
        <v>305</v>
      </c>
      <c r="I204" s="35" t="s">
        <v>87</v>
      </c>
      <c r="J204" s="35" t="s">
        <v>35</v>
      </c>
      <c r="K204" s="35" t="s">
        <v>36</v>
      </c>
      <c r="L204" s="35" t="s">
        <v>54</v>
      </c>
      <c r="M204" s="35" t="s">
        <v>38</v>
      </c>
      <c r="O204" s="59">
        <v>17</v>
      </c>
      <c r="P204" s="59">
        <v>17</v>
      </c>
      <c r="Q204" s="56">
        <v>0</v>
      </c>
      <c r="R204" s="35" t="s">
        <v>39</v>
      </c>
      <c r="T204" s="35" t="s">
        <v>70</v>
      </c>
      <c r="U204" s="35" t="s">
        <v>233</v>
      </c>
    </row>
    <row r="205" spans="1:21">
      <c r="A205" s="59">
        <v>2023</v>
      </c>
      <c r="B205" s="35" t="s">
        <v>316</v>
      </c>
      <c r="C205" s="74">
        <v>29263</v>
      </c>
      <c r="D205" s="56">
        <v>26</v>
      </c>
      <c r="E205" s="54">
        <v>45106</v>
      </c>
      <c r="F205" s="35" t="s">
        <v>32</v>
      </c>
      <c r="G205" s="35" t="s">
        <v>57</v>
      </c>
      <c r="H205" s="35" t="s">
        <v>317</v>
      </c>
      <c r="I205" s="35" t="s">
        <v>244</v>
      </c>
      <c r="J205" s="35" t="s">
        <v>35</v>
      </c>
      <c r="K205" s="35" t="s">
        <v>36</v>
      </c>
      <c r="L205" s="35" t="s">
        <v>37</v>
      </c>
      <c r="M205" s="35" t="s">
        <v>38</v>
      </c>
      <c r="O205" s="59">
        <v>50</v>
      </c>
      <c r="P205" s="59">
        <v>50</v>
      </c>
      <c r="Q205" s="56">
        <v>0</v>
      </c>
      <c r="R205" s="35" t="s">
        <v>39</v>
      </c>
      <c r="T205" s="35" t="s">
        <v>60</v>
      </c>
      <c r="U205" s="35" t="s">
        <v>245</v>
      </c>
    </row>
    <row r="206" spans="1:21">
      <c r="A206" s="59">
        <v>2023</v>
      </c>
      <c r="B206" s="35" t="s">
        <v>318</v>
      </c>
      <c r="C206" s="74">
        <v>29264</v>
      </c>
      <c r="D206" s="56">
        <v>26</v>
      </c>
      <c r="E206" s="54">
        <v>45106</v>
      </c>
      <c r="F206" s="35" t="s">
        <v>32</v>
      </c>
      <c r="G206" s="35" t="s">
        <v>57</v>
      </c>
      <c r="H206" s="35" t="s">
        <v>317</v>
      </c>
      <c r="I206" s="35" t="s">
        <v>244</v>
      </c>
      <c r="J206" s="35" t="s">
        <v>35</v>
      </c>
      <c r="K206" s="35" t="s">
        <v>36</v>
      </c>
      <c r="L206" s="35" t="s">
        <v>37</v>
      </c>
      <c r="M206" s="35" t="s">
        <v>38</v>
      </c>
      <c r="O206" s="59">
        <v>50</v>
      </c>
      <c r="P206" s="59">
        <v>50</v>
      </c>
      <c r="Q206" s="56">
        <v>0</v>
      </c>
      <c r="R206" s="35" t="s">
        <v>39</v>
      </c>
      <c r="T206" s="35" t="s">
        <v>60</v>
      </c>
      <c r="U206" s="35" t="s">
        <v>245</v>
      </c>
    </row>
    <row r="207" spans="1:21">
      <c r="A207" s="59">
        <v>2023</v>
      </c>
      <c r="B207" s="35" t="s">
        <v>319</v>
      </c>
      <c r="C207" s="74">
        <v>29265</v>
      </c>
      <c r="D207" s="56">
        <v>26</v>
      </c>
      <c r="E207" s="54">
        <v>45106</v>
      </c>
      <c r="F207" s="35" t="s">
        <v>32</v>
      </c>
      <c r="G207" s="35" t="s">
        <v>57</v>
      </c>
      <c r="H207" s="35" t="s">
        <v>317</v>
      </c>
      <c r="I207" s="35" t="s">
        <v>244</v>
      </c>
      <c r="J207" s="35" t="s">
        <v>35</v>
      </c>
      <c r="K207" s="35" t="s">
        <v>36</v>
      </c>
      <c r="L207" s="35" t="s">
        <v>37</v>
      </c>
      <c r="M207" s="35" t="s">
        <v>38</v>
      </c>
      <c r="O207" s="59">
        <v>49</v>
      </c>
      <c r="P207" s="59">
        <v>49</v>
      </c>
      <c r="Q207" s="56">
        <v>0</v>
      </c>
      <c r="R207" s="35" t="s">
        <v>39</v>
      </c>
      <c r="T207" s="35" t="s">
        <v>60</v>
      </c>
      <c r="U207" s="35" t="s">
        <v>245</v>
      </c>
    </row>
    <row r="208" spans="1:21">
      <c r="A208" s="59">
        <v>2023</v>
      </c>
      <c r="B208" s="35" t="s">
        <v>320</v>
      </c>
      <c r="C208" s="74">
        <v>29266</v>
      </c>
      <c r="D208" s="56">
        <v>26</v>
      </c>
      <c r="E208" s="54">
        <v>45106</v>
      </c>
      <c r="F208" s="35" t="s">
        <v>32</v>
      </c>
      <c r="G208" s="35" t="s">
        <v>57</v>
      </c>
      <c r="H208" s="35" t="s">
        <v>317</v>
      </c>
      <c r="I208" s="35" t="s">
        <v>244</v>
      </c>
      <c r="J208" s="35" t="s">
        <v>35</v>
      </c>
      <c r="K208" s="35" t="s">
        <v>36</v>
      </c>
      <c r="L208" s="35" t="s">
        <v>54</v>
      </c>
      <c r="M208" s="35" t="s">
        <v>38</v>
      </c>
      <c r="O208" s="59">
        <v>17</v>
      </c>
      <c r="P208" s="59">
        <v>17</v>
      </c>
      <c r="Q208" s="56">
        <v>0</v>
      </c>
      <c r="R208" s="35" t="s">
        <v>39</v>
      </c>
      <c r="T208" s="35" t="s">
        <v>70</v>
      </c>
      <c r="U208" s="35" t="s">
        <v>321</v>
      </c>
    </row>
    <row r="209" spans="1:21">
      <c r="A209" s="59">
        <v>2023</v>
      </c>
      <c r="B209" s="35" t="s">
        <v>322</v>
      </c>
      <c r="C209" s="74">
        <v>29267</v>
      </c>
      <c r="D209" s="56">
        <v>26</v>
      </c>
      <c r="E209" s="54">
        <v>45106</v>
      </c>
      <c r="F209" s="35" t="s">
        <v>32</v>
      </c>
      <c r="G209" s="35" t="s">
        <v>57</v>
      </c>
      <c r="H209" s="35" t="s">
        <v>323</v>
      </c>
      <c r="I209" s="35" t="s">
        <v>132</v>
      </c>
      <c r="J209" s="35" t="s">
        <v>74</v>
      </c>
      <c r="K209" s="35" t="s">
        <v>36</v>
      </c>
      <c r="L209" s="35" t="s">
        <v>37</v>
      </c>
      <c r="M209" s="35" t="s">
        <v>38</v>
      </c>
      <c r="N209" s="59">
        <v>2</v>
      </c>
      <c r="P209" s="59">
        <v>2</v>
      </c>
      <c r="Q209" s="56">
        <v>0</v>
      </c>
      <c r="R209" s="35" t="s">
        <v>39</v>
      </c>
      <c r="T209" s="35" t="s">
        <v>60</v>
      </c>
      <c r="U209" s="35" t="s">
        <v>133</v>
      </c>
    </row>
    <row r="210" spans="1:21">
      <c r="A210" s="59">
        <v>2023</v>
      </c>
      <c r="B210" s="35" t="s">
        <v>324</v>
      </c>
      <c r="C210" s="74">
        <v>29268</v>
      </c>
      <c r="D210" s="56">
        <v>26</v>
      </c>
      <c r="E210" s="54">
        <v>45106</v>
      </c>
      <c r="F210" s="35" t="s">
        <v>32</v>
      </c>
      <c r="G210" s="35" t="s">
        <v>57</v>
      </c>
      <c r="H210" s="35" t="s">
        <v>323</v>
      </c>
      <c r="I210" s="35" t="s">
        <v>132</v>
      </c>
      <c r="J210" s="35" t="s">
        <v>74</v>
      </c>
      <c r="K210" s="35" t="s">
        <v>36</v>
      </c>
      <c r="L210" s="35" t="s">
        <v>54</v>
      </c>
      <c r="M210" s="35" t="s">
        <v>38</v>
      </c>
      <c r="N210" s="59">
        <v>21</v>
      </c>
      <c r="P210" s="59">
        <v>21</v>
      </c>
      <c r="Q210" s="56">
        <v>0</v>
      </c>
      <c r="R210" s="35" t="s">
        <v>39</v>
      </c>
      <c r="T210" s="35" t="s">
        <v>70</v>
      </c>
      <c r="U210" s="35" t="s">
        <v>141</v>
      </c>
    </row>
    <row r="211" spans="1:21">
      <c r="A211" s="59">
        <v>2023</v>
      </c>
      <c r="B211" s="35" t="s">
        <v>325</v>
      </c>
      <c r="C211" s="74">
        <v>29269</v>
      </c>
      <c r="D211" s="56">
        <v>26</v>
      </c>
      <c r="E211" s="54">
        <v>45106</v>
      </c>
      <c r="F211" s="35" t="s">
        <v>32</v>
      </c>
      <c r="G211" s="35" t="s">
        <v>57</v>
      </c>
      <c r="H211" s="35" t="s">
        <v>326</v>
      </c>
      <c r="I211" s="35" t="s">
        <v>132</v>
      </c>
      <c r="J211" s="35" t="s">
        <v>35</v>
      </c>
      <c r="K211" s="35" t="s">
        <v>36</v>
      </c>
      <c r="L211" s="35" t="s">
        <v>37</v>
      </c>
      <c r="M211" s="35" t="s">
        <v>38</v>
      </c>
      <c r="O211" s="59">
        <v>10</v>
      </c>
      <c r="P211" s="59">
        <v>10</v>
      </c>
      <c r="Q211" s="56">
        <v>0</v>
      </c>
      <c r="R211" s="35" t="s">
        <v>39</v>
      </c>
      <c r="T211" s="35" t="s">
        <v>60</v>
      </c>
      <c r="U211" s="35" t="s">
        <v>133</v>
      </c>
    </row>
    <row r="212" spans="1:21">
      <c r="A212" s="59">
        <v>2023</v>
      </c>
      <c r="B212" s="35" t="s">
        <v>327</v>
      </c>
      <c r="C212" s="74">
        <v>29270</v>
      </c>
      <c r="D212" s="56">
        <v>26</v>
      </c>
      <c r="E212" s="54">
        <v>45106</v>
      </c>
      <c r="F212" s="35" t="s">
        <v>32</v>
      </c>
      <c r="G212" s="35" t="s">
        <v>57</v>
      </c>
      <c r="H212" s="35" t="s">
        <v>328</v>
      </c>
      <c r="I212" s="35" t="s">
        <v>244</v>
      </c>
      <c r="J212" s="35" t="s">
        <v>35</v>
      </c>
      <c r="K212" s="35" t="s">
        <v>36</v>
      </c>
      <c r="L212" s="35" t="s">
        <v>37</v>
      </c>
      <c r="M212" s="35" t="s">
        <v>38</v>
      </c>
      <c r="O212" s="59">
        <v>8</v>
      </c>
      <c r="P212" s="59">
        <v>8</v>
      </c>
      <c r="Q212" s="56">
        <v>0</v>
      </c>
      <c r="R212" s="35" t="s">
        <v>39</v>
      </c>
      <c r="T212" s="35" t="s">
        <v>60</v>
      </c>
      <c r="U212" s="35" t="s">
        <v>245</v>
      </c>
    </row>
    <row r="213" spans="1:21">
      <c r="A213" s="59">
        <v>2023</v>
      </c>
      <c r="B213" s="35" t="s">
        <v>329</v>
      </c>
      <c r="C213" s="74">
        <v>29271</v>
      </c>
      <c r="D213" s="56">
        <v>26</v>
      </c>
      <c r="E213" s="54">
        <v>45106</v>
      </c>
      <c r="F213" s="35" t="s">
        <v>32</v>
      </c>
      <c r="G213" s="35" t="s">
        <v>57</v>
      </c>
      <c r="H213" s="35" t="s">
        <v>330</v>
      </c>
      <c r="I213" s="35" t="s">
        <v>132</v>
      </c>
      <c r="J213" s="35" t="s">
        <v>35</v>
      </c>
      <c r="K213" s="35" t="s">
        <v>36</v>
      </c>
      <c r="L213" s="35" t="s">
        <v>37</v>
      </c>
      <c r="M213" s="35" t="s">
        <v>38</v>
      </c>
      <c r="O213" s="59">
        <v>50</v>
      </c>
      <c r="P213" s="59">
        <v>50</v>
      </c>
      <c r="Q213" s="56">
        <v>0</v>
      </c>
      <c r="R213" s="35" t="s">
        <v>39</v>
      </c>
      <c r="T213" s="35" t="s">
        <v>60</v>
      </c>
      <c r="U213" s="35" t="s">
        <v>133</v>
      </c>
    </row>
    <row r="214" spans="1:21">
      <c r="A214" s="59">
        <v>2023</v>
      </c>
      <c r="B214" s="35" t="s">
        <v>331</v>
      </c>
      <c r="C214" s="74">
        <v>29272</v>
      </c>
      <c r="D214" s="56">
        <v>26</v>
      </c>
      <c r="E214" s="54">
        <v>45106</v>
      </c>
      <c r="F214" s="35" t="s">
        <v>32</v>
      </c>
      <c r="G214" s="35" t="s">
        <v>57</v>
      </c>
      <c r="H214" s="35" t="s">
        <v>330</v>
      </c>
      <c r="I214" s="35" t="s">
        <v>132</v>
      </c>
      <c r="J214" s="35" t="s">
        <v>35</v>
      </c>
      <c r="K214" s="35" t="s">
        <v>36</v>
      </c>
      <c r="L214" s="35" t="s">
        <v>37</v>
      </c>
      <c r="M214" s="35" t="s">
        <v>38</v>
      </c>
      <c r="O214" s="59">
        <v>50</v>
      </c>
      <c r="P214" s="59">
        <v>50</v>
      </c>
      <c r="Q214" s="56">
        <v>0</v>
      </c>
      <c r="R214" s="35" t="s">
        <v>39</v>
      </c>
      <c r="T214" s="35" t="s">
        <v>60</v>
      </c>
      <c r="U214" s="35" t="s">
        <v>133</v>
      </c>
    </row>
    <row r="215" spans="1:21">
      <c r="A215" s="59">
        <v>2023</v>
      </c>
      <c r="B215" s="35" t="s">
        <v>332</v>
      </c>
      <c r="C215" s="74">
        <v>29273</v>
      </c>
      <c r="D215" s="56">
        <v>26</v>
      </c>
      <c r="E215" s="54">
        <v>45106</v>
      </c>
      <c r="F215" s="35" t="s">
        <v>32</v>
      </c>
      <c r="G215" s="35" t="s">
        <v>57</v>
      </c>
      <c r="H215" s="35" t="s">
        <v>330</v>
      </c>
      <c r="I215" s="35" t="s">
        <v>132</v>
      </c>
      <c r="J215" s="35" t="s">
        <v>35</v>
      </c>
      <c r="K215" s="35" t="s">
        <v>36</v>
      </c>
      <c r="L215" s="35" t="s">
        <v>37</v>
      </c>
      <c r="M215" s="35" t="s">
        <v>38</v>
      </c>
      <c r="O215" s="59">
        <v>50</v>
      </c>
      <c r="P215" s="59">
        <v>50</v>
      </c>
      <c r="Q215" s="56">
        <v>0</v>
      </c>
      <c r="R215" s="35" t="s">
        <v>39</v>
      </c>
      <c r="T215" s="35" t="s">
        <v>60</v>
      </c>
      <c r="U215" s="35" t="s">
        <v>133</v>
      </c>
    </row>
    <row r="216" spans="1:21">
      <c r="A216" s="59">
        <v>2023</v>
      </c>
      <c r="B216" s="35" t="s">
        <v>333</v>
      </c>
      <c r="C216" s="74">
        <v>29274</v>
      </c>
      <c r="D216" s="56">
        <v>26</v>
      </c>
      <c r="E216" s="54">
        <v>45106</v>
      </c>
      <c r="F216" s="35" t="s">
        <v>32</v>
      </c>
      <c r="G216" s="35" t="s">
        <v>57</v>
      </c>
      <c r="H216" s="35" t="s">
        <v>330</v>
      </c>
      <c r="I216" s="35" t="s">
        <v>132</v>
      </c>
      <c r="J216" s="35" t="s">
        <v>35</v>
      </c>
      <c r="K216" s="35" t="s">
        <v>36</v>
      </c>
      <c r="L216" s="35" t="s">
        <v>37</v>
      </c>
      <c r="M216" s="35" t="s">
        <v>38</v>
      </c>
      <c r="O216" s="59">
        <v>50</v>
      </c>
      <c r="P216" s="59">
        <v>50</v>
      </c>
      <c r="Q216" s="56">
        <v>0</v>
      </c>
      <c r="R216" s="35" t="s">
        <v>39</v>
      </c>
      <c r="T216" s="35" t="s">
        <v>60</v>
      </c>
      <c r="U216" s="35" t="s">
        <v>133</v>
      </c>
    </row>
    <row r="217" spans="1:21">
      <c r="A217" s="59">
        <v>2023</v>
      </c>
      <c r="B217" s="35" t="s">
        <v>334</v>
      </c>
      <c r="C217" s="74">
        <v>29275</v>
      </c>
      <c r="D217" s="56">
        <v>26</v>
      </c>
      <c r="E217" s="54">
        <v>45106</v>
      </c>
      <c r="F217" s="35" t="s">
        <v>32</v>
      </c>
      <c r="G217" s="35" t="s">
        <v>57</v>
      </c>
      <c r="H217" s="35" t="s">
        <v>330</v>
      </c>
      <c r="I217" s="35" t="s">
        <v>132</v>
      </c>
      <c r="J217" s="35" t="s">
        <v>35</v>
      </c>
      <c r="K217" s="35" t="s">
        <v>36</v>
      </c>
      <c r="L217" s="35" t="s">
        <v>37</v>
      </c>
      <c r="M217" s="35" t="s">
        <v>38</v>
      </c>
      <c r="O217" s="59">
        <v>50</v>
      </c>
      <c r="P217" s="59">
        <v>50</v>
      </c>
      <c r="Q217" s="56">
        <v>0</v>
      </c>
      <c r="R217" s="35" t="s">
        <v>39</v>
      </c>
      <c r="T217" s="35" t="s">
        <v>60</v>
      </c>
      <c r="U217" s="35" t="s">
        <v>133</v>
      </c>
    </row>
    <row r="218" spans="1:21">
      <c r="A218" s="59">
        <v>2023</v>
      </c>
      <c r="B218" s="35" t="s">
        <v>335</v>
      </c>
      <c r="C218" s="74">
        <v>29276</v>
      </c>
      <c r="D218" s="56">
        <v>26</v>
      </c>
      <c r="E218" s="54">
        <v>45106</v>
      </c>
      <c r="F218" s="35" t="s">
        <v>32</v>
      </c>
      <c r="G218" s="35" t="s">
        <v>57</v>
      </c>
      <c r="H218" s="35" t="s">
        <v>330</v>
      </c>
      <c r="I218" s="35" t="s">
        <v>132</v>
      </c>
      <c r="J218" s="35" t="s">
        <v>35</v>
      </c>
      <c r="K218" s="35" t="s">
        <v>36</v>
      </c>
      <c r="L218" s="35" t="s">
        <v>37</v>
      </c>
      <c r="M218" s="35" t="s">
        <v>38</v>
      </c>
      <c r="O218" s="59">
        <v>50</v>
      </c>
      <c r="P218" s="59">
        <v>50</v>
      </c>
      <c r="Q218" s="56">
        <v>0</v>
      </c>
      <c r="R218" s="35" t="s">
        <v>39</v>
      </c>
      <c r="T218" s="35" t="s">
        <v>60</v>
      </c>
      <c r="U218" s="35" t="s">
        <v>133</v>
      </c>
    </row>
    <row r="219" spans="1:21">
      <c r="A219" s="59">
        <v>2023</v>
      </c>
      <c r="B219" s="35" t="s">
        <v>336</v>
      </c>
      <c r="C219" s="74">
        <v>29277</v>
      </c>
      <c r="D219" s="56">
        <v>26</v>
      </c>
      <c r="E219" s="54">
        <v>45106</v>
      </c>
      <c r="F219" s="35" t="s">
        <v>32</v>
      </c>
      <c r="G219" s="35" t="s">
        <v>57</v>
      </c>
      <c r="H219" s="35" t="s">
        <v>330</v>
      </c>
      <c r="I219" s="35" t="s">
        <v>132</v>
      </c>
      <c r="J219" s="35" t="s">
        <v>35</v>
      </c>
      <c r="K219" s="35" t="s">
        <v>36</v>
      </c>
      <c r="L219" s="35" t="s">
        <v>37</v>
      </c>
      <c r="M219" s="35" t="s">
        <v>38</v>
      </c>
      <c r="O219" s="59">
        <v>50</v>
      </c>
      <c r="P219" s="59">
        <v>50</v>
      </c>
      <c r="Q219" s="56">
        <v>0</v>
      </c>
      <c r="R219" s="35" t="s">
        <v>39</v>
      </c>
      <c r="T219" s="35" t="s">
        <v>60</v>
      </c>
      <c r="U219" s="35" t="s">
        <v>133</v>
      </c>
    </row>
    <row r="220" spans="1:21">
      <c r="A220" s="59">
        <v>2023</v>
      </c>
      <c r="B220" s="35" t="s">
        <v>337</v>
      </c>
      <c r="C220" s="74">
        <v>29278</v>
      </c>
      <c r="D220" s="56">
        <v>26</v>
      </c>
      <c r="E220" s="54">
        <v>45106</v>
      </c>
      <c r="F220" s="35" t="s">
        <v>32</v>
      </c>
      <c r="G220" s="35" t="s">
        <v>57</v>
      </c>
      <c r="H220" s="35" t="s">
        <v>330</v>
      </c>
      <c r="I220" s="35" t="s">
        <v>132</v>
      </c>
      <c r="J220" s="35" t="s">
        <v>35</v>
      </c>
      <c r="K220" s="35" t="s">
        <v>36</v>
      </c>
      <c r="L220" s="35" t="s">
        <v>37</v>
      </c>
      <c r="M220" s="35" t="s">
        <v>38</v>
      </c>
      <c r="O220" s="59">
        <v>50</v>
      </c>
      <c r="P220" s="59">
        <v>50</v>
      </c>
      <c r="Q220" s="56">
        <v>0</v>
      </c>
      <c r="R220" s="35" t="s">
        <v>39</v>
      </c>
      <c r="T220" s="35" t="s">
        <v>60</v>
      </c>
      <c r="U220" s="35" t="s">
        <v>133</v>
      </c>
    </row>
    <row r="221" spans="1:21">
      <c r="A221" s="59">
        <v>2023</v>
      </c>
      <c r="B221" s="35" t="s">
        <v>338</v>
      </c>
      <c r="C221" s="74">
        <v>29279</v>
      </c>
      <c r="D221" s="56">
        <v>26</v>
      </c>
      <c r="E221" s="54">
        <v>45106</v>
      </c>
      <c r="F221" s="35" t="s">
        <v>32</v>
      </c>
      <c r="G221" s="35" t="s">
        <v>57</v>
      </c>
      <c r="H221" s="35" t="s">
        <v>330</v>
      </c>
      <c r="I221" s="35" t="s">
        <v>132</v>
      </c>
      <c r="J221" s="35" t="s">
        <v>35</v>
      </c>
      <c r="K221" s="35" t="s">
        <v>36</v>
      </c>
      <c r="L221" s="35" t="s">
        <v>37</v>
      </c>
      <c r="M221" s="35" t="s">
        <v>38</v>
      </c>
      <c r="O221" s="59">
        <v>50</v>
      </c>
      <c r="P221" s="59">
        <v>50</v>
      </c>
      <c r="Q221" s="56">
        <v>0</v>
      </c>
      <c r="R221" s="35" t="s">
        <v>39</v>
      </c>
      <c r="T221" s="35" t="s">
        <v>60</v>
      </c>
      <c r="U221" s="35" t="s">
        <v>133</v>
      </c>
    </row>
    <row r="222" spans="1:21">
      <c r="A222" s="59">
        <v>2023</v>
      </c>
      <c r="B222" s="35" t="s">
        <v>339</v>
      </c>
      <c r="C222" s="74">
        <v>29280</v>
      </c>
      <c r="D222" s="56">
        <v>26</v>
      </c>
      <c r="E222" s="54">
        <v>45106</v>
      </c>
      <c r="F222" s="35" t="s">
        <v>32</v>
      </c>
      <c r="G222" s="35" t="s">
        <v>57</v>
      </c>
      <c r="H222" s="35" t="s">
        <v>330</v>
      </c>
      <c r="I222" s="35" t="s">
        <v>132</v>
      </c>
      <c r="J222" s="35" t="s">
        <v>35</v>
      </c>
      <c r="K222" s="35" t="s">
        <v>36</v>
      </c>
      <c r="L222" s="35" t="s">
        <v>37</v>
      </c>
      <c r="M222" s="35" t="s">
        <v>38</v>
      </c>
      <c r="O222" s="59">
        <v>50</v>
      </c>
      <c r="P222" s="59">
        <v>50</v>
      </c>
      <c r="Q222" s="56">
        <v>0</v>
      </c>
      <c r="R222" s="35" t="s">
        <v>39</v>
      </c>
      <c r="T222" s="35" t="s">
        <v>60</v>
      </c>
      <c r="U222" s="35" t="s">
        <v>133</v>
      </c>
    </row>
    <row r="223" spans="1:21">
      <c r="A223" s="59">
        <v>2023</v>
      </c>
      <c r="B223" s="35" t="s">
        <v>340</v>
      </c>
      <c r="C223" s="74">
        <v>29281</v>
      </c>
      <c r="D223" s="56">
        <v>26</v>
      </c>
      <c r="E223" s="54">
        <v>45106</v>
      </c>
      <c r="F223" s="35" t="s">
        <v>32</v>
      </c>
      <c r="G223" s="35" t="s">
        <v>57</v>
      </c>
      <c r="H223" s="35" t="s">
        <v>330</v>
      </c>
      <c r="I223" s="35" t="s">
        <v>132</v>
      </c>
      <c r="J223" s="35" t="s">
        <v>35</v>
      </c>
      <c r="K223" s="35" t="s">
        <v>36</v>
      </c>
      <c r="L223" s="35" t="s">
        <v>37</v>
      </c>
      <c r="M223" s="35" t="s">
        <v>38</v>
      </c>
      <c r="O223" s="59">
        <v>50</v>
      </c>
      <c r="P223" s="59">
        <v>50</v>
      </c>
      <c r="Q223" s="56">
        <v>0</v>
      </c>
      <c r="R223" s="35" t="s">
        <v>39</v>
      </c>
      <c r="T223" s="35" t="s">
        <v>60</v>
      </c>
      <c r="U223" s="35" t="s">
        <v>133</v>
      </c>
    </row>
    <row r="224" spans="1:21">
      <c r="A224" s="59">
        <v>2023</v>
      </c>
      <c r="B224" s="35" t="s">
        <v>341</v>
      </c>
      <c r="C224" s="74">
        <v>29282</v>
      </c>
      <c r="D224" s="56">
        <v>26</v>
      </c>
      <c r="E224" s="54">
        <v>45106</v>
      </c>
      <c r="F224" s="35" t="s">
        <v>32</v>
      </c>
      <c r="G224" s="35" t="s">
        <v>57</v>
      </c>
      <c r="H224" s="35" t="s">
        <v>330</v>
      </c>
      <c r="I224" s="35" t="s">
        <v>132</v>
      </c>
      <c r="J224" s="35" t="s">
        <v>35</v>
      </c>
      <c r="K224" s="35" t="s">
        <v>36</v>
      </c>
      <c r="L224" s="35" t="s">
        <v>37</v>
      </c>
      <c r="M224" s="35" t="s">
        <v>38</v>
      </c>
      <c r="O224" s="59">
        <v>50</v>
      </c>
      <c r="P224" s="59">
        <v>50</v>
      </c>
      <c r="Q224" s="56">
        <v>0</v>
      </c>
      <c r="R224" s="35" t="s">
        <v>39</v>
      </c>
      <c r="T224" s="35" t="s">
        <v>60</v>
      </c>
      <c r="U224" s="35" t="s">
        <v>133</v>
      </c>
    </row>
    <row r="225" spans="1:21">
      <c r="A225" s="59">
        <v>2023</v>
      </c>
      <c r="B225" s="35" t="s">
        <v>342</v>
      </c>
      <c r="C225" s="74">
        <v>29283</v>
      </c>
      <c r="D225" s="56">
        <v>26</v>
      </c>
      <c r="E225" s="54">
        <v>45106</v>
      </c>
      <c r="F225" s="35" t="s">
        <v>32</v>
      </c>
      <c r="G225" s="35" t="s">
        <v>57</v>
      </c>
      <c r="H225" s="35" t="s">
        <v>330</v>
      </c>
      <c r="I225" s="35" t="s">
        <v>132</v>
      </c>
      <c r="J225" s="35" t="s">
        <v>35</v>
      </c>
      <c r="K225" s="35" t="s">
        <v>36</v>
      </c>
      <c r="L225" s="35" t="s">
        <v>37</v>
      </c>
      <c r="M225" s="35" t="s">
        <v>38</v>
      </c>
      <c r="O225" s="59">
        <v>42</v>
      </c>
      <c r="P225" s="59">
        <v>42</v>
      </c>
      <c r="Q225" s="56">
        <v>0</v>
      </c>
      <c r="R225" s="35" t="s">
        <v>39</v>
      </c>
      <c r="T225" s="35" t="s">
        <v>60</v>
      </c>
      <c r="U225" s="35" t="s">
        <v>133</v>
      </c>
    </row>
    <row r="226" spans="1:21">
      <c r="A226" s="59">
        <v>2023</v>
      </c>
      <c r="B226" s="35" t="s">
        <v>343</v>
      </c>
      <c r="C226" s="74">
        <v>29284</v>
      </c>
      <c r="D226" s="56">
        <v>26</v>
      </c>
      <c r="E226" s="54">
        <v>45106</v>
      </c>
      <c r="F226" s="35" t="s">
        <v>32</v>
      </c>
      <c r="G226" s="35" t="s">
        <v>57</v>
      </c>
      <c r="H226" s="35" t="s">
        <v>330</v>
      </c>
      <c r="I226" s="35" t="s">
        <v>132</v>
      </c>
      <c r="J226" s="35" t="s">
        <v>35</v>
      </c>
      <c r="K226" s="35" t="s">
        <v>36</v>
      </c>
      <c r="L226" s="35" t="s">
        <v>54</v>
      </c>
      <c r="M226" s="35" t="s">
        <v>38</v>
      </c>
      <c r="O226" s="59">
        <v>15</v>
      </c>
      <c r="P226" s="59">
        <v>15</v>
      </c>
      <c r="Q226" s="56">
        <v>0</v>
      </c>
      <c r="R226" s="35" t="s">
        <v>39</v>
      </c>
      <c r="T226" s="35" t="s">
        <v>70</v>
      </c>
      <c r="U226" s="35" t="s">
        <v>141</v>
      </c>
    </row>
    <row r="227" spans="1:21">
      <c r="A227" s="59">
        <v>2023</v>
      </c>
      <c r="B227" s="35" t="s">
        <v>344</v>
      </c>
      <c r="C227" s="74">
        <v>29285</v>
      </c>
      <c r="D227" s="56">
        <v>26</v>
      </c>
      <c r="E227" s="54">
        <v>45106</v>
      </c>
      <c r="F227" s="35" t="s">
        <v>32</v>
      </c>
      <c r="G227" s="35" t="s">
        <v>57</v>
      </c>
      <c r="H227" s="35" t="s">
        <v>345</v>
      </c>
      <c r="I227" s="35" t="s">
        <v>244</v>
      </c>
      <c r="J227" s="35" t="s">
        <v>35</v>
      </c>
      <c r="K227" s="35" t="s">
        <v>36</v>
      </c>
      <c r="L227" s="35" t="s">
        <v>37</v>
      </c>
      <c r="M227" s="35" t="s">
        <v>38</v>
      </c>
      <c r="O227" s="59">
        <v>50</v>
      </c>
      <c r="P227" s="59">
        <v>50</v>
      </c>
      <c r="Q227" s="56">
        <v>0</v>
      </c>
      <c r="R227" s="35" t="s">
        <v>39</v>
      </c>
      <c r="T227" s="35" t="s">
        <v>60</v>
      </c>
      <c r="U227" s="35" t="s">
        <v>245</v>
      </c>
    </row>
    <row r="228" spans="1:21">
      <c r="A228" s="59">
        <v>2023</v>
      </c>
      <c r="B228" s="35" t="s">
        <v>346</v>
      </c>
      <c r="C228" s="74">
        <v>29286</v>
      </c>
      <c r="D228" s="56">
        <v>26</v>
      </c>
      <c r="E228" s="54">
        <v>45106</v>
      </c>
      <c r="F228" s="35" t="s">
        <v>32</v>
      </c>
      <c r="G228" s="35" t="s">
        <v>57</v>
      </c>
      <c r="H228" s="35" t="s">
        <v>345</v>
      </c>
      <c r="I228" s="35" t="s">
        <v>244</v>
      </c>
      <c r="J228" s="35" t="s">
        <v>35</v>
      </c>
      <c r="K228" s="35" t="s">
        <v>36</v>
      </c>
      <c r="L228" s="35" t="s">
        <v>37</v>
      </c>
      <c r="M228" s="35" t="s">
        <v>38</v>
      </c>
      <c r="O228" s="59">
        <v>50</v>
      </c>
      <c r="P228" s="59">
        <v>50</v>
      </c>
      <c r="Q228" s="56">
        <v>0</v>
      </c>
      <c r="R228" s="35" t="s">
        <v>39</v>
      </c>
      <c r="T228" s="35" t="s">
        <v>60</v>
      </c>
      <c r="U228" s="35" t="s">
        <v>245</v>
      </c>
    </row>
    <row r="229" spans="1:21">
      <c r="A229" s="59">
        <v>2023</v>
      </c>
      <c r="B229" s="35" t="s">
        <v>347</v>
      </c>
      <c r="C229" s="74">
        <v>29287</v>
      </c>
      <c r="D229" s="56">
        <v>26</v>
      </c>
      <c r="E229" s="54">
        <v>45106</v>
      </c>
      <c r="F229" s="35" t="s">
        <v>32</v>
      </c>
      <c r="G229" s="35" t="s">
        <v>57</v>
      </c>
      <c r="H229" s="35" t="s">
        <v>345</v>
      </c>
      <c r="I229" s="35" t="s">
        <v>244</v>
      </c>
      <c r="J229" s="35" t="s">
        <v>35</v>
      </c>
      <c r="K229" s="35" t="s">
        <v>36</v>
      </c>
      <c r="L229" s="35" t="s">
        <v>37</v>
      </c>
      <c r="M229" s="35" t="s">
        <v>38</v>
      </c>
      <c r="O229" s="59">
        <v>42</v>
      </c>
      <c r="P229" s="59">
        <v>42</v>
      </c>
      <c r="Q229" s="56">
        <v>0</v>
      </c>
      <c r="R229" s="35" t="s">
        <v>39</v>
      </c>
      <c r="T229" s="35" t="s">
        <v>60</v>
      </c>
      <c r="U229" s="35" t="s">
        <v>245</v>
      </c>
    </row>
    <row r="230" spans="1:21">
      <c r="A230" s="59">
        <v>2023</v>
      </c>
      <c r="B230" s="35" t="s">
        <v>348</v>
      </c>
      <c r="C230" s="74">
        <v>29288</v>
      </c>
      <c r="D230" s="56">
        <v>26</v>
      </c>
      <c r="E230" s="54">
        <v>45106</v>
      </c>
      <c r="F230" s="35" t="s">
        <v>32</v>
      </c>
      <c r="G230" s="35" t="s">
        <v>57</v>
      </c>
      <c r="H230" s="35" t="s">
        <v>345</v>
      </c>
      <c r="I230" s="35" t="s">
        <v>244</v>
      </c>
      <c r="J230" s="35" t="s">
        <v>35</v>
      </c>
      <c r="K230" s="35" t="s">
        <v>36</v>
      </c>
      <c r="L230" s="35" t="s">
        <v>54</v>
      </c>
      <c r="M230" s="35" t="s">
        <v>38</v>
      </c>
      <c r="O230" s="59">
        <v>22</v>
      </c>
      <c r="P230" s="59">
        <v>22</v>
      </c>
      <c r="Q230" s="56">
        <v>0</v>
      </c>
      <c r="R230" s="35" t="s">
        <v>39</v>
      </c>
      <c r="T230" s="35" t="s">
        <v>70</v>
      </c>
      <c r="U230" s="35" t="s">
        <v>321</v>
      </c>
    </row>
    <row r="231" spans="1:21">
      <c r="A231" s="59">
        <v>2023</v>
      </c>
      <c r="B231" s="35" t="s">
        <v>349</v>
      </c>
      <c r="C231" s="74">
        <v>29289</v>
      </c>
      <c r="D231" s="56">
        <v>26</v>
      </c>
      <c r="E231" s="54">
        <v>45106</v>
      </c>
      <c r="F231" s="35" t="s">
        <v>32</v>
      </c>
      <c r="G231" s="35" t="s">
        <v>57</v>
      </c>
      <c r="H231" s="35" t="s">
        <v>350</v>
      </c>
      <c r="I231" s="35" t="s">
        <v>244</v>
      </c>
      <c r="J231" s="35" t="s">
        <v>74</v>
      </c>
      <c r="K231" s="35" t="s">
        <v>36</v>
      </c>
      <c r="L231" s="35" t="s">
        <v>37</v>
      </c>
      <c r="M231" s="35" t="s">
        <v>38</v>
      </c>
      <c r="N231" s="59">
        <v>1</v>
      </c>
      <c r="P231" s="59">
        <v>1</v>
      </c>
      <c r="Q231" s="56">
        <v>0</v>
      </c>
      <c r="R231" s="35" t="s">
        <v>39</v>
      </c>
      <c r="T231" s="35" t="s">
        <v>60</v>
      </c>
      <c r="U231" s="35" t="s">
        <v>245</v>
      </c>
    </row>
    <row r="232" spans="1:21">
      <c r="A232" s="59">
        <v>2023</v>
      </c>
      <c r="B232" s="35" t="s">
        <v>351</v>
      </c>
      <c r="C232" s="74">
        <v>29290</v>
      </c>
      <c r="D232" s="56">
        <v>26</v>
      </c>
      <c r="E232" s="54">
        <v>45106</v>
      </c>
      <c r="F232" s="35" t="s">
        <v>32</v>
      </c>
      <c r="G232" s="35" t="s">
        <v>57</v>
      </c>
      <c r="H232" s="35" t="s">
        <v>350</v>
      </c>
      <c r="I232" s="35" t="s">
        <v>244</v>
      </c>
      <c r="J232" s="35" t="s">
        <v>74</v>
      </c>
      <c r="K232" s="35" t="s">
        <v>36</v>
      </c>
      <c r="L232" s="35" t="s">
        <v>54</v>
      </c>
      <c r="M232" s="35" t="s">
        <v>38</v>
      </c>
      <c r="N232" s="59">
        <v>20</v>
      </c>
      <c r="P232" s="59">
        <v>20</v>
      </c>
      <c r="Q232" s="56">
        <v>0</v>
      </c>
      <c r="R232" s="35" t="s">
        <v>39</v>
      </c>
      <c r="T232" s="35" t="s">
        <v>70</v>
      </c>
      <c r="U232" s="35" t="s">
        <v>321</v>
      </c>
    </row>
    <row r="233" spans="1:21">
      <c r="A233" s="59">
        <v>2023</v>
      </c>
      <c r="B233" s="35" t="s">
        <v>352</v>
      </c>
      <c r="C233" s="74">
        <v>29291</v>
      </c>
      <c r="D233" s="56">
        <v>26</v>
      </c>
      <c r="E233" s="54">
        <v>45106</v>
      </c>
      <c r="F233" s="35" t="s">
        <v>32</v>
      </c>
      <c r="G233" s="35" t="s">
        <v>57</v>
      </c>
      <c r="H233" s="35" t="s">
        <v>353</v>
      </c>
      <c r="I233" s="35" t="s">
        <v>244</v>
      </c>
      <c r="J233" s="35" t="s">
        <v>35</v>
      </c>
      <c r="K233" s="35" t="s">
        <v>36</v>
      </c>
      <c r="L233" s="35" t="s">
        <v>37</v>
      </c>
      <c r="M233" s="35" t="s">
        <v>38</v>
      </c>
      <c r="O233" s="59">
        <v>6</v>
      </c>
      <c r="P233" s="59">
        <v>6</v>
      </c>
      <c r="Q233" s="56">
        <v>0</v>
      </c>
      <c r="R233" s="35" t="s">
        <v>39</v>
      </c>
      <c r="T233" s="35" t="s">
        <v>60</v>
      </c>
      <c r="U233" s="35" t="s">
        <v>245</v>
      </c>
    </row>
    <row r="234" spans="1:21">
      <c r="A234" s="59">
        <v>2023</v>
      </c>
      <c r="B234" s="35" t="s">
        <v>354</v>
      </c>
      <c r="C234" s="74">
        <v>29292</v>
      </c>
      <c r="D234" s="56">
        <v>26</v>
      </c>
      <c r="E234" s="54">
        <v>45106</v>
      </c>
      <c r="F234" s="35" t="s">
        <v>32</v>
      </c>
      <c r="G234" s="35" t="s">
        <v>57</v>
      </c>
      <c r="H234" s="35" t="s">
        <v>355</v>
      </c>
      <c r="I234" s="35" t="s">
        <v>244</v>
      </c>
      <c r="J234" s="35" t="s">
        <v>35</v>
      </c>
      <c r="K234" s="35" t="s">
        <v>36</v>
      </c>
      <c r="L234" s="35" t="s">
        <v>37</v>
      </c>
      <c r="M234" s="35" t="s">
        <v>38</v>
      </c>
      <c r="O234" s="59">
        <v>50</v>
      </c>
      <c r="P234" s="59">
        <v>50</v>
      </c>
      <c r="Q234" s="56">
        <v>0</v>
      </c>
      <c r="R234" s="35" t="s">
        <v>39</v>
      </c>
      <c r="T234" s="35" t="s">
        <v>60</v>
      </c>
      <c r="U234" s="35" t="s">
        <v>245</v>
      </c>
    </row>
    <row r="235" spans="1:21">
      <c r="A235" s="59">
        <v>2023</v>
      </c>
      <c r="B235" s="35" t="s">
        <v>356</v>
      </c>
      <c r="C235" s="74">
        <v>29293</v>
      </c>
      <c r="D235" s="56">
        <v>26</v>
      </c>
      <c r="E235" s="54">
        <v>45106</v>
      </c>
      <c r="F235" s="35" t="s">
        <v>32</v>
      </c>
      <c r="G235" s="35" t="s">
        <v>57</v>
      </c>
      <c r="H235" s="35" t="s">
        <v>355</v>
      </c>
      <c r="I235" s="35" t="s">
        <v>244</v>
      </c>
      <c r="J235" s="35" t="s">
        <v>35</v>
      </c>
      <c r="K235" s="35" t="s">
        <v>36</v>
      </c>
      <c r="L235" s="35" t="s">
        <v>37</v>
      </c>
      <c r="M235" s="35" t="s">
        <v>38</v>
      </c>
      <c r="O235" s="59">
        <v>50</v>
      </c>
      <c r="P235" s="59">
        <v>50</v>
      </c>
      <c r="Q235" s="56">
        <v>0</v>
      </c>
      <c r="R235" s="35" t="s">
        <v>39</v>
      </c>
      <c r="T235" s="35" t="s">
        <v>60</v>
      </c>
      <c r="U235" s="35" t="s">
        <v>245</v>
      </c>
    </row>
    <row r="236" spans="1:21">
      <c r="A236" s="59">
        <v>2023</v>
      </c>
      <c r="B236" s="35" t="s">
        <v>357</v>
      </c>
      <c r="C236" s="74">
        <v>29294</v>
      </c>
      <c r="D236" s="56">
        <v>26</v>
      </c>
      <c r="E236" s="54">
        <v>45106</v>
      </c>
      <c r="F236" s="35" t="s">
        <v>32</v>
      </c>
      <c r="G236" s="35" t="s">
        <v>57</v>
      </c>
      <c r="H236" s="35" t="s">
        <v>355</v>
      </c>
      <c r="I236" s="35" t="s">
        <v>244</v>
      </c>
      <c r="J236" s="35" t="s">
        <v>35</v>
      </c>
      <c r="K236" s="35" t="s">
        <v>36</v>
      </c>
      <c r="L236" s="35" t="s">
        <v>37</v>
      </c>
      <c r="M236" s="35" t="s">
        <v>38</v>
      </c>
      <c r="O236" s="59">
        <v>30</v>
      </c>
      <c r="P236" s="59">
        <v>30</v>
      </c>
      <c r="Q236" s="56">
        <v>0</v>
      </c>
      <c r="R236" s="35" t="s">
        <v>39</v>
      </c>
      <c r="T236" s="35" t="s">
        <v>60</v>
      </c>
      <c r="U236" s="35" t="s">
        <v>245</v>
      </c>
    </row>
    <row r="237" spans="1:21">
      <c r="A237" s="59">
        <v>2023</v>
      </c>
      <c r="B237" s="35" t="s">
        <v>358</v>
      </c>
      <c r="C237" s="74">
        <v>29295</v>
      </c>
      <c r="D237" s="56">
        <v>26</v>
      </c>
      <c r="E237" s="54">
        <v>45106</v>
      </c>
      <c r="F237" s="35" t="s">
        <v>32</v>
      </c>
      <c r="G237" s="35" t="s">
        <v>57</v>
      </c>
      <c r="H237" s="35" t="s">
        <v>355</v>
      </c>
      <c r="I237" s="35" t="s">
        <v>244</v>
      </c>
      <c r="J237" s="35" t="s">
        <v>35</v>
      </c>
      <c r="K237" s="35" t="s">
        <v>36</v>
      </c>
      <c r="L237" s="35" t="s">
        <v>54</v>
      </c>
      <c r="M237" s="35" t="s">
        <v>38</v>
      </c>
      <c r="O237" s="59">
        <v>2</v>
      </c>
      <c r="P237" s="59">
        <v>2</v>
      </c>
      <c r="Q237" s="56">
        <v>0</v>
      </c>
      <c r="R237" s="35" t="s">
        <v>39</v>
      </c>
      <c r="T237" s="35" t="s">
        <v>70</v>
      </c>
      <c r="U237" s="35" t="s">
        <v>321</v>
      </c>
    </row>
    <row r="238" spans="1:21">
      <c r="A238" s="59">
        <v>2023</v>
      </c>
      <c r="B238" s="35" t="s">
        <v>359</v>
      </c>
      <c r="C238" s="74">
        <v>29296</v>
      </c>
      <c r="D238" s="56">
        <v>26</v>
      </c>
      <c r="E238" s="54">
        <v>45106</v>
      </c>
      <c r="F238" s="35" t="s">
        <v>32</v>
      </c>
      <c r="G238" s="35" t="s">
        <v>57</v>
      </c>
      <c r="H238" s="35" t="s">
        <v>360</v>
      </c>
      <c r="I238" s="35" t="s">
        <v>244</v>
      </c>
      <c r="J238" s="35" t="s">
        <v>35</v>
      </c>
      <c r="K238" s="35" t="s">
        <v>36</v>
      </c>
      <c r="L238" s="35" t="s">
        <v>37</v>
      </c>
      <c r="M238" s="35" t="s">
        <v>38</v>
      </c>
      <c r="O238" s="59">
        <v>50</v>
      </c>
      <c r="P238" s="59">
        <v>50</v>
      </c>
      <c r="Q238" s="56">
        <v>0</v>
      </c>
      <c r="R238" s="35" t="s">
        <v>39</v>
      </c>
      <c r="T238" s="35" t="s">
        <v>60</v>
      </c>
      <c r="U238" s="35" t="s">
        <v>245</v>
      </c>
    </row>
    <row r="239" spans="1:21">
      <c r="A239" s="59">
        <v>2023</v>
      </c>
      <c r="B239" s="35" t="s">
        <v>361</v>
      </c>
      <c r="C239" s="74">
        <v>29297</v>
      </c>
      <c r="D239" s="56">
        <v>26</v>
      </c>
      <c r="E239" s="54">
        <v>45106</v>
      </c>
      <c r="F239" s="35" t="s">
        <v>32</v>
      </c>
      <c r="G239" s="35" t="s">
        <v>57</v>
      </c>
      <c r="H239" s="35" t="s">
        <v>360</v>
      </c>
      <c r="I239" s="35" t="s">
        <v>244</v>
      </c>
      <c r="J239" s="35" t="s">
        <v>35</v>
      </c>
      <c r="K239" s="35" t="s">
        <v>36</v>
      </c>
      <c r="L239" s="35" t="s">
        <v>37</v>
      </c>
      <c r="M239" s="35" t="s">
        <v>38</v>
      </c>
      <c r="O239" s="59">
        <v>50</v>
      </c>
      <c r="P239" s="59">
        <v>50</v>
      </c>
      <c r="Q239" s="56">
        <v>0</v>
      </c>
      <c r="R239" s="35" t="s">
        <v>39</v>
      </c>
      <c r="T239" s="35" t="s">
        <v>60</v>
      </c>
      <c r="U239" s="35" t="s">
        <v>245</v>
      </c>
    </row>
    <row r="240" spans="1:21">
      <c r="A240" s="59">
        <v>2023</v>
      </c>
      <c r="B240" s="35" t="s">
        <v>362</v>
      </c>
      <c r="C240" s="74">
        <v>29298</v>
      </c>
      <c r="D240" s="56">
        <v>26</v>
      </c>
      <c r="E240" s="54">
        <v>45106</v>
      </c>
      <c r="F240" s="35" t="s">
        <v>32</v>
      </c>
      <c r="G240" s="35" t="s">
        <v>57</v>
      </c>
      <c r="H240" s="35" t="s">
        <v>360</v>
      </c>
      <c r="I240" s="35" t="s">
        <v>244</v>
      </c>
      <c r="J240" s="35" t="s">
        <v>35</v>
      </c>
      <c r="K240" s="35" t="s">
        <v>36</v>
      </c>
      <c r="L240" s="35" t="s">
        <v>37</v>
      </c>
      <c r="M240" s="35" t="s">
        <v>38</v>
      </c>
      <c r="O240" s="59">
        <v>50</v>
      </c>
      <c r="P240" s="59">
        <v>50</v>
      </c>
      <c r="Q240" s="56">
        <v>0</v>
      </c>
      <c r="R240" s="35" t="s">
        <v>39</v>
      </c>
      <c r="T240" s="35" t="s">
        <v>60</v>
      </c>
      <c r="U240" s="35" t="s">
        <v>245</v>
      </c>
    </row>
    <row r="241" spans="1:21">
      <c r="A241" s="59">
        <v>2023</v>
      </c>
      <c r="B241" s="35" t="s">
        <v>363</v>
      </c>
      <c r="C241" s="74">
        <v>29299</v>
      </c>
      <c r="D241" s="56">
        <v>26</v>
      </c>
      <c r="E241" s="54">
        <v>45106</v>
      </c>
      <c r="F241" s="35" t="s">
        <v>32</v>
      </c>
      <c r="G241" s="35" t="s">
        <v>57</v>
      </c>
      <c r="H241" s="35" t="s">
        <v>360</v>
      </c>
      <c r="I241" s="35" t="s">
        <v>244</v>
      </c>
      <c r="J241" s="35" t="s">
        <v>35</v>
      </c>
      <c r="K241" s="35" t="s">
        <v>36</v>
      </c>
      <c r="L241" s="35" t="s">
        <v>37</v>
      </c>
      <c r="M241" s="35" t="s">
        <v>38</v>
      </c>
      <c r="O241" s="59">
        <v>50</v>
      </c>
      <c r="P241" s="59">
        <v>50</v>
      </c>
      <c r="Q241" s="56">
        <v>0</v>
      </c>
      <c r="R241" s="35" t="s">
        <v>39</v>
      </c>
      <c r="T241" s="35" t="s">
        <v>60</v>
      </c>
      <c r="U241" s="35" t="s">
        <v>245</v>
      </c>
    </row>
    <row r="242" spans="1:21">
      <c r="A242" s="59">
        <v>2023</v>
      </c>
      <c r="B242" s="35" t="s">
        <v>364</v>
      </c>
      <c r="C242" s="74">
        <v>29300</v>
      </c>
      <c r="D242" s="56">
        <v>26</v>
      </c>
      <c r="E242" s="54">
        <v>45106</v>
      </c>
      <c r="F242" s="35" t="s">
        <v>32</v>
      </c>
      <c r="G242" s="35" t="s">
        <v>57</v>
      </c>
      <c r="H242" s="35" t="s">
        <v>360</v>
      </c>
      <c r="I242" s="35" t="s">
        <v>244</v>
      </c>
      <c r="J242" s="35" t="s">
        <v>35</v>
      </c>
      <c r="K242" s="35" t="s">
        <v>36</v>
      </c>
      <c r="L242" s="35" t="s">
        <v>37</v>
      </c>
      <c r="M242" s="35" t="s">
        <v>38</v>
      </c>
      <c r="O242" s="59">
        <v>50</v>
      </c>
      <c r="P242" s="59">
        <v>50</v>
      </c>
      <c r="Q242" s="56">
        <v>0</v>
      </c>
      <c r="R242" s="35" t="s">
        <v>39</v>
      </c>
      <c r="T242" s="35" t="s">
        <v>60</v>
      </c>
      <c r="U242" s="35" t="s">
        <v>245</v>
      </c>
    </row>
    <row r="243" spans="1:21">
      <c r="A243" s="59">
        <v>2023</v>
      </c>
      <c r="B243" s="35" t="s">
        <v>365</v>
      </c>
      <c r="C243" s="74">
        <v>29301</v>
      </c>
      <c r="D243" s="56">
        <v>26</v>
      </c>
      <c r="E243" s="54">
        <v>45106</v>
      </c>
      <c r="F243" s="35" t="s">
        <v>32</v>
      </c>
      <c r="G243" s="35" t="s">
        <v>57</v>
      </c>
      <c r="H243" s="35" t="s">
        <v>360</v>
      </c>
      <c r="I243" s="35" t="s">
        <v>244</v>
      </c>
      <c r="J243" s="35" t="s">
        <v>35</v>
      </c>
      <c r="K243" s="35" t="s">
        <v>36</v>
      </c>
      <c r="L243" s="35" t="s">
        <v>37</v>
      </c>
      <c r="M243" s="35" t="s">
        <v>38</v>
      </c>
      <c r="O243" s="59">
        <v>50</v>
      </c>
      <c r="P243" s="59">
        <v>50</v>
      </c>
      <c r="Q243" s="56">
        <v>0</v>
      </c>
      <c r="R243" s="35" t="s">
        <v>39</v>
      </c>
      <c r="T243" s="35" t="s">
        <v>60</v>
      </c>
      <c r="U243" s="35" t="s">
        <v>245</v>
      </c>
    </row>
    <row r="244" spans="1:21">
      <c r="A244" s="59">
        <v>2023</v>
      </c>
      <c r="B244" s="48" t="s">
        <v>366</v>
      </c>
      <c r="C244" s="74">
        <v>29302</v>
      </c>
      <c r="D244" s="49">
        <v>26</v>
      </c>
      <c r="E244" s="53">
        <v>45106</v>
      </c>
      <c r="F244" s="48" t="s">
        <v>32</v>
      </c>
      <c r="G244" s="48" t="s">
        <v>57</v>
      </c>
      <c r="H244" s="48" t="s">
        <v>360</v>
      </c>
      <c r="I244" s="48" t="s">
        <v>244</v>
      </c>
      <c r="J244" s="48" t="s">
        <v>35</v>
      </c>
      <c r="K244" s="48" t="s">
        <v>36</v>
      </c>
      <c r="L244" s="48" t="s">
        <v>37</v>
      </c>
      <c r="M244" s="48" t="s">
        <v>38</v>
      </c>
      <c r="N244" s="58"/>
      <c r="O244" s="58">
        <v>12</v>
      </c>
      <c r="P244" s="58">
        <v>12</v>
      </c>
      <c r="Q244" s="56">
        <v>0</v>
      </c>
      <c r="R244" s="35" t="s">
        <v>39</v>
      </c>
      <c r="S244" s="48"/>
      <c r="T244" s="48" t="s">
        <v>60</v>
      </c>
      <c r="U244" s="48" t="s">
        <v>245</v>
      </c>
    </row>
    <row r="245" spans="1:21">
      <c r="A245" s="59">
        <v>2023</v>
      </c>
      <c r="B245" s="48" t="s">
        <v>367</v>
      </c>
      <c r="C245" s="74">
        <v>29303</v>
      </c>
      <c r="D245" s="49">
        <v>26</v>
      </c>
      <c r="E245" s="53">
        <v>45106</v>
      </c>
      <c r="F245" s="48" t="s">
        <v>32</v>
      </c>
      <c r="G245" s="48" t="s">
        <v>57</v>
      </c>
      <c r="H245" s="48" t="s">
        <v>360</v>
      </c>
      <c r="I245" s="48" t="s">
        <v>244</v>
      </c>
      <c r="J245" s="48" t="s">
        <v>35</v>
      </c>
      <c r="K245" s="48" t="s">
        <v>36</v>
      </c>
      <c r="L245" s="48" t="s">
        <v>54</v>
      </c>
      <c r="M245" s="48" t="s">
        <v>38</v>
      </c>
      <c r="N245" s="58"/>
      <c r="O245" s="58">
        <v>3</v>
      </c>
      <c r="P245" s="58">
        <v>3</v>
      </c>
      <c r="Q245" s="56">
        <v>0</v>
      </c>
      <c r="R245" s="35" t="s">
        <v>39</v>
      </c>
      <c r="S245" s="48"/>
      <c r="T245" s="48" t="s">
        <v>70</v>
      </c>
      <c r="U245" s="48" t="s">
        <v>321</v>
      </c>
    </row>
    <row r="246" spans="1:21">
      <c r="A246" s="59">
        <v>2023</v>
      </c>
      <c r="B246" s="35" t="s">
        <v>368</v>
      </c>
      <c r="C246" s="74" t="s">
        <v>369</v>
      </c>
      <c r="D246" s="49">
        <v>26</v>
      </c>
      <c r="E246" s="54">
        <v>45103</v>
      </c>
      <c r="F246" s="35" t="s">
        <v>370</v>
      </c>
      <c r="G246" s="35" t="s">
        <v>370</v>
      </c>
      <c r="H246" s="35" t="s">
        <v>371</v>
      </c>
      <c r="I246" s="35" t="s">
        <v>370</v>
      </c>
      <c r="J246" s="35" t="s">
        <v>35</v>
      </c>
      <c r="K246" s="35" t="s">
        <v>36</v>
      </c>
      <c r="L246" s="48" t="s">
        <v>37</v>
      </c>
      <c r="M246" s="35" t="s">
        <v>38</v>
      </c>
      <c r="O246" s="59">
        <v>49</v>
      </c>
      <c r="P246" s="59">
        <v>49</v>
      </c>
      <c r="Q246" s="56">
        <v>0</v>
      </c>
      <c r="R246" s="35" t="s">
        <v>39</v>
      </c>
      <c r="T246" s="35" t="s">
        <v>372</v>
      </c>
      <c r="U246" s="35" t="s">
        <v>372</v>
      </c>
    </row>
    <row r="247" spans="1:21">
      <c r="A247" s="59">
        <v>2023</v>
      </c>
      <c r="B247" s="35" t="s">
        <v>373</v>
      </c>
      <c r="C247" s="74" t="s">
        <v>369</v>
      </c>
      <c r="D247" s="49">
        <v>26</v>
      </c>
      <c r="E247" s="54">
        <v>45103</v>
      </c>
      <c r="F247" s="35" t="s">
        <v>370</v>
      </c>
      <c r="G247" s="35" t="s">
        <v>370</v>
      </c>
      <c r="H247" s="35" t="s">
        <v>374</v>
      </c>
      <c r="I247" s="35" t="s">
        <v>370</v>
      </c>
      <c r="J247" s="35" t="s">
        <v>35</v>
      </c>
      <c r="K247" s="35" t="s">
        <v>36</v>
      </c>
      <c r="L247" s="48" t="s">
        <v>37</v>
      </c>
      <c r="M247" s="35" t="s">
        <v>38</v>
      </c>
      <c r="O247" s="59">
        <v>32</v>
      </c>
      <c r="P247" s="59">
        <v>32</v>
      </c>
      <c r="Q247" s="56">
        <v>0</v>
      </c>
      <c r="R247" s="35" t="s">
        <v>39</v>
      </c>
      <c r="T247" s="35" t="s">
        <v>372</v>
      </c>
      <c r="U247" s="35" t="s">
        <v>372</v>
      </c>
    </row>
    <row r="248" spans="1:21">
      <c r="A248" s="59">
        <v>2023</v>
      </c>
      <c r="B248" s="35" t="s">
        <v>375</v>
      </c>
      <c r="C248" s="74" t="s">
        <v>369</v>
      </c>
      <c r="D248" s="49">
        <v>26</v>
      </c>
      <c r="E248" s="54">
        <v>45103</v>
      </c>
      <c r="F248" s="35" t="s">
        <v>370</v>
      </c>
      <c r="G248" s="35" t="s">
        <v>370</v>
      </c>
      <c r="H248" s="35" t="s">
        <v>376</v>
      </c>
      <c r="I248" s="35" t="s">
        <v>370</v>
      </c>
      <c r="J248" s="35" t="s">
        <v>35</v>
      </c>
      <c r="K248" s="35" t="s">
        <v>36</v>
      </c>
      <c r="L248" s="48" t="s">
        <v>37</v>
      </c>
      <c r="M248" s="35" t="s">
        <v>38</v>
      </c>
      <c r="O248" s="59">
        <v>49</v>
      </c>
      <c r="P248" s="59">
        <v>49</v>
      </c>
      <c r="Q248" s="56">
        <v>0</v>
      </c>
      <c r="R248" s="35" t="s">
        <v>39</v>
      </c>
      <c r="T248" s="35" t="s">
        <v>372</v>
      </c>
      <c r="U248" s="35" t="s">
        <v>372</v>
      </c>
    </row>
    <row r="249" spans="1:21">
      <c r="A249" s="59">
        <v>2023</v>
      </c>
      <c r="B249" s="35" t="s">
        <v>377</v>
      </c>
      <c r="C249" s="74" t="s">
        <v>369</v>
      </c>
      <c r="D249" s="49">
        <v>26</v>
      </c>
      <c r="E249" s="54">
        <v>45103</v>
      </c>
      <c r="F249" s="35" t="s">
        <v>370</v>
      </c>
      <c r="G249" s="35" t="s">
        <v>370</v>
      </c>
      <c r="H249" s="35" t="s">
        <v>378</v>
      </c>
      <c r="I249" s="35" t="s">
        <v>370</v>
      </c>
      <c r="J249" s="35" t="s">
        <v>35</v>
      </c>
      <c r="K249" s="35" t="s">
        <v>36</v>
      </c>
      <c r="L249" s="48" t="s">
        <v>37</v>
      </c>
      <c r="M249" s="35" t="s">
        <v>38</v>
      </c>
      <c r="O249" s="59">
        <v>46</v>
      </c>
      <c r="P249" s="59">
        <v>46</v>
      </c>
      <c r="Q249" s="56">
        <v>0</v>
      </c>
      <c r="R249" s="35" t="s">
        <v>39</v>
      </c>
      <c r="T249" s="35" t="s">
        <v>372</v>
      </c>
      <c r="U249" s="35" t="s">
        <v>372</v>
      </c>
    </row>
    <row r="250" spans="1:21">
      <c r="A250" s="59">
        <v>2023</v>
      </c>
      <c r="B250" s="35" t="s">
        <v>379</v>
      </c>
      <c r="C250" s="74" t="s">
        <v>369</v>
      </c>
      <c r="D250" s="49">
        <v>26</v>
      </c>
      <c r="E250" s="54">
        <v>45103</v>
      </c>
      <c r="F250" s="35" t="s">
        <v>370</v>
      </c>
      <c r="G250" s="35" t="s">
        <v>370</v>
      </c>
      <c r="H250" s="35" t="s">
        <v>380</v>
      </c>
      <c r="I250" s="35" t="s">
        <v>370</v>
      </c>
      <c r="J250" s="35" t="s">
        <v>35</v>
      </c>
      <c r="K250" s="35" t="s">
        <v>36</v>
      </c>
      <c r="L250" s="48" t="s">
        <v>37</v>
      </c>
      <c r="M250" s="35" t="s">
        <v>38</v>
      </c>
      <c r="O250" s="59">
        <v>49</v>
      </c>
      <c r="P250" s="59">
        <v>49</v>
      </c>
      <c r="Q250" s="56">
        <v>0</v>
      </c>
      <c r="R250" s="35" t="s">
        <v>39</v>
      </c>
      <c r="T250" s="35" t="s">
        <v>372</v>
      </c>
      <c r="U250" s="35" t="s">
        <v>372</v>
      </c>
    </row>
  </sheetData>
  <sortState xmlns:xlrd2="http://schemas.microsoft.com/office/spreadsheetml/2017/richdata2" ref="A2:U113">
    <sortCondition ref="B2:B11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EBA89-DC1A-4ED4-A992-60134188C7FA}">
  <dimension ref="A1:J5"/>
  <sheetViews>
    <sheetView workbookViewId="0">
      <selection activeCell="A2" sqref="A2:B5"/>
    </sheetView>
  </sheetViews>
  <sheetFormatPr defaultRowHeight="1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16</v>
      </c>
      <c r="B1" s="51" t="s">
        <v>381</v>
      </c>
      <c r="C1" s="51" t="s">
        <v>382</v>
      </c>
      <c r="D1" s="51" t="s">
        <v>383</v>
      </c>
      <c r="E1" s="47" t="s">
        <v>384</v>
      </c>
      <c r="F1" s="47" t="s">
        <v>385</v>
      </c>
      <c r="G1" s="47" t="s">
        <v>386</v>
      </c>
      <c r="H1" s="47" t="s">
        <v>387</v>
      </c>
      <c r="I1" s="47" t="s">
        <v>388</v>
      </c>
      <c r="J1" s="47" t="s">
        <v>389</v>
      </c>
    </row>
    <row r="2" spans="1:10">
      <c r="A2" t="s">
        <v>370</v>
      </c>
      <c r="B2" s="30">
        <v>0</v>
      </c>
      <c r="C2" s="30">
        <v>0</v>
      </c>
      <c r="D2" s="30">
        <v>12.529032372751219</v>
      </c>
      <c r="E2" s="68">
        <v>1000</v>
      </c>
      <c r="F2" s="69" t="s">
        <v>390</v>
      </c>
      <c r="G2" s="69" t="s">
        <v>391</v>
      </c>
      <c r="H2">
        <v>5</v>
      </c>
      <c r="I2">
        <v>0</v>
      </c>
      <c r="J2">
        <v>225</v>
      </c>
    </row>
    <row r="3" spans="1:10">
      <c r="A3" t="s">
        <v>256</v>
      </c>
      <c r="B3" s="30">
        <v>0</v>
      </c>
      <c r="C3" s="30">
        <v>0</v>
      </c>
      <c r="D3" s="30">
        <v>5.3902039278280629</v>
      </c>
      <c r="E3" s="68">
        <v>1000</v>
      </c>
      <c r="F3" s="69" t="s">
        <v>390</v>
      </c>
      <c r="G3" s="69" t="s">
        <v>391</v>
      </c>
      <c r="H3">
        <v>15</v>
      </c>
      <c r="I3">
        <v>0</v>
      </c>
      <c r="J3">
        <v>622</v>
      </c>
    </row>
    <row r="4" spans="1:10">
      <c r="A4" t="s">
        <v>57</v>
      </c>
      <c r="B4" s="30">
        <v>0.14650083916642878</v>
      </c>
      <c r="C4" s="30">
        <v>8.40586419023822E-3</v>
      </c>
      <c r="D4" s="30">
        <v>0.70972212897462095</v>
      </c>
      <c r="E4" s="68">
        <v>1000</v>
      </c>
      <c r="F4" s="69" t="s">
        <v>392</v>
      </c>
      <c r="G4" s="69" t="s">
        <v>393</v>
      </c>
      <c r="H4">
        <v>189</v>
      </c>
      <c r="I4">
        <v>1</v>
      </c>
      <c r="J4">
        <v>6828</v>
      </c>
    </row>
    <row r="5" spans="1:10">
      <c r="A5" t="s">
        <v>33</v>
      </c>
      <c r="B5" s="30">
        <v>0</v>
      </c>
      <c r="C5" s="30">
        <v>0</v>
      </c>
      <c r="D5" s="30">
        <v>2.051526111257969</v>
      </c>
      <c r="E5" s="68">
        <v>1000</v>
      </c>
      <c r="F5" s="69" t="s">
        <v>390</v>
      </c>
      <c r="G5" s="69" t="s">
        <v>391</v>
      </c>
      <c r="H5">
        <v>40</v>
      </c>
      <c r="I5">
        <v>0</v>
      </c>
      <c r="J5">
        <v>1780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A52A6-32D7-43FA-867B-841D2355349A}">
  <dimension ref="A1:J8"/>
  <sheetViews>
    <sheetView workbookViewId="0">
      <selection activeCell="A2" sqref="A2:B8"/>
    </sheetView>
  </sheetViews>
  <sheetFormatPr defaultRowHeight="1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18</v>
      </c>
      <c r="B1" s="51" t="s">
        <v>381</v>
      </c>
      <c r="C1" s="51" t="s">
        <v>382</v>
      </c>
      <c r="D1" s="51" t="s">
        <v>383</v>
      </c>
      <c r="E1" s="47" t="s">
        <v>384</v>
      </c>
      <c r="F1" s="47" t="s">
        <v>385</v>
      </c>
      <c r="G1" s="47" t="s">
        <v>386</v>
      </c>
      <c r="H1" s="47" t="s">
        <v>387</v>
      </c>
      <c r="I1" s="47" t="s">
        <v>388</v>
      </c>
      <c r="J1" s="47" t="s">
        <v>389</v>
      </c>
    </row>
    <row r="2" spans="1:10">
      <c r="A2" t="s">
        <v>370</v>
      </c>
      <c r="B2" s="30">
        <v>0</v>
      </c>
      <c r="C2" s="30">
        <v>0</v>
      </c>
      <c r="D2" s="30">
        <v>12.529032372751219</v>
      </c>
      <c r="E2" s="68">
        <v>1000</v>
      </c>
      <c r="F2" s="69" t="s">
        <v>390</v>
      </c>
      <c r="G2" s="69" t="s">
        <v>391</v>
      </c>
      <c r="H2">
        <v>5</v>
      </c>
      <c r="I2">
        <v>0</v>
      </c>
      <c r="J2">
        <v>225</v>
      </c>
    </row>
    <row r="3" spans="1:10">
      <c r="A3" t="s">
        <v>256</v>
      </c>
      <c r="B3" s="30">
        <v>0</v>
      </c>
      <c r="C3" s="30">
        <v>0</v>
      </c>
      <c r="D3" s="30">
        <v>5.3902039278280629</v>
      </c>
      <c r="E3" s="68">
        <v>1000</v>
      </c>
      <c r="F3" s="69" t="s">
        <v>390</v>
      </c>
      <c r="G3" s="69" t="s">
        <v>391</v>
      </c>
      <c r="H3">
        <v>15</v>
      </c>
      <c r="I3">
        <v>0</v>
      </c>
      <c r="J3">
        <v>622</v>
      </c>
    </row>
    <row r="4" spans="1:10">
      <c r="A4" t="s">
        <v>33</v>
      </c>
      <c r="B4" s="30">
        <v>0</v>
      </c>
      <c r="C4" s="30">
        <v>0</v>
      </c>
      <c r="D4" s="30">
        <v>2.051526111257969</v>
      </c>
      <c r="E4" s="68">
        <v>1000</v>
      </c>
      <c r="F4" s="69" t="s">
        <v>390</v>
      </c>
      <c r="G4" s="69" t="s">
        <v>391</v>
      </c>
      <c r="H4">
        <v>40</v>
      </c>
      <c r="I4">
        <v>0</v>
      </c>
      <c r="J4">
        <v>1780</v>
      </c>
    </row>
    <row r="5" spans="1:10">
      <c r="A5" t="s">
        <v>59</v>
      </c>
      <c r="B5" s="30">
        <v>0</v>
      </c>
      <c r="C5" s="30">
        <v>0</v>
      </c>
      <c r="D5" s="30">
        <v>2.6775660740233245</v>
      </c>
      <c r="E5" s="68">
        <v>1000</v>
      </c>
      <c r="F5" s="69" t="s">
        <v>390</v>
      </c>
      <c r="G5" s="69" t="s">
        <v>391</v>
      </c>
      <c r="H5">
        <v>41</v>
      </c>
      <c r="I5">
        <v>0</v>
      </c>
      <c r="J5">
        <v>1353</v>
      </c>
    </row>
    <row r="6" spans="1:10">
      <c r="A6" t="s">
        <v>87</v>
      </c>
      <c r="B6" s="30">
        <v>0</v>
      </c>
      <c r="C6" s="30">
        <v>0</v>
      </c>
      <c r="D6" s="30">
        <v>3.069033672685777</v>
      </c>
      <c r="E6" s="68">
        <v>1000</v>
      </c>
      <c r="F6" s="69" t="s">
        <v>390</v>
      </c>
      <c r="G6" s="69" t="s">
        <v>391</v>
      </c>
      <c r="H6">
        <v>35</v>
      </c>
      <c r="I6">
        <v>0</v>
      </c>
      <c r="J6">
        <v>1165</v>
      </c>
    </row>
    <row r="7" spans="1:10">
      <c r="A7" t="s">
        <v>132</v>
      </c>
      <c r="B7" s="30">
        <v>0.29249308850982281</v>
      </c>
      <c r="C7" s="30">
        <v>1.6813817191628944E-2</v>
      </c>
      <c r="D7" s="30">
        <v>1.4191853272142902</v>
      </c>
      <c r="E7" s="68">
        <v>1000</v>
      </c>
      <c r="F7" s="69" t="s">
        <v>392</v>
      </c>
      <c r="G7" s="69" t="s">
        <v>393</v>
      </c>
      <c r="H7">
        <v>86</v>
      </c>
      <c r="I7">
        <v>1</v>
      </c>
      <c r="J7">
        <v>3420</v>
      </c>
    </row>
    <row r="8" spans="1:10">
      <c r="A8" t="s">
        <v>244</v>
      </c>
      <c r="B8" s="30">
        <v>0</v>
      </c>
      <c r="C8" s="30">
        <v>0</v>
      </c>
      <c r="D8" s="30">
        <v>3.9427850035006586</v>
      </c>
      <c r="E8" s="68">
        <v>1000</v>
      </c>
      <c r="F8" s="69" t="s">
        <v>390</v>
      </c>
      <c r="G8" s="69" t="s">
        <v>391</v>
      </c>
      <c r="H8">
        <v>27</v>
      </c>
      <c r="I8">
        <v>0</v>
      </c>
      <c r="J8">
        <v>890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E413-2719-45A1-81E4-AC6C4E889FC7}">
  <dimension ref="A1:J9"/>
  <sheetViews>
    <sheetView workbookViewId="0">
      <selection activeCell="A2" sqref="A2:B9"/>
    </sheetView>
  </sheetViews>
  <sheetFormatPr defaultRowHeight="1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30</v>
      </c>
      <c r="B1" s="51" t="s">
        <v>381</v>
      </c>
      <c r="C1" s="51" t="s">
        <v>382</v>
      </c>
      <c r="D1" s="51" t="s">
        <v>383</v>
      </c>
      <c r="E1" s="47" t="s">
        <v>384</v>
      </c>
      <c r="F1" s="47" t="s">
        <v>385</v>
      </c>
      <c r="G1" s="47" t="s">
        <v>386</v>
      </c>
      <c r="H1" s="47" t="s">
        <v>387</v>
      </c>
      <c r="I1" s="47" t="s">
        <v>388</v>
      </c>
      <c r="J1" s="47" t="s">
        <v>389</v>
      </c>
    </row>
    <row r="2" spans="1:10">
      <c r="A2" t="s">
        <v>71</v>
      </c>
      <c r="B2" s="30">
        <v>0</v>
      </c>
      <c r="C2" s="30">
        <v>0</v>
      </c>
      <c r="D2" s="30">
        <v>18.817644384274079</v>
      </c>
      <c r="E2" s="68">
        <v>1000</v>
      </c>
      <c r="F2" s="69" t="s">
        <v>390</v>
      </c>
      <c r="G2" s="69" t="s">
        <v>391</v>
      </c>
      <c r="H2">
        <v>12</v>
      </c>
      <c r="I2">
        <v>0</v>
      </c>
      <c r="J2">
        <v>168</v>
      </c>
    </row>
    <row r="3" spans="1:10">
      <c r="A3" t="s">
        <v>61</v>
      </c>
      <c r="B3" s="30">
        <v>0</v>
      </c>
      <c r="C3" s="30">
        <v>0</v>
      </c>
      <c r="D3" s="30">
        <v>3.0186143779119341</v>
      </c>
      <c r="E3" s="68">
        <v>1000</v>
      </c>
      <c r="F3" s="69" t="s">
        <v>390</v>
      </c>
      <c r="G3" s="69" t="s">
        <v>391</v>
      </c>
      <c r="H3">
        <v>29</v>
      </c>
      <c r="I3">
        <v>0</v>
      </c>
      <c r="J3">
        <v>1185</v>
      </c>
    </row>
    <row r="4" spans="1:10">
      <c r="A4" t="s">
        <v>233</v>
      </c>
      <c r="B4" s="30">
        <v>0</v>
      </c>
      <c r="C4" s="30">
        <v>0</v>
      </c>
      <c r="D4" s="30">
        <v>48.178946059393482</v>
      </c>
      <c r="E4" s="68">
        <v>1000</v>
      </c>
      <c r="F4" s="69" t="s">
        <v>390</v>
      </c>
      <c r="G4" s="69" t="s">
        <v>391</v>
      </c>
      <c r="H4">
        <v>7</v>
      </c>
      <c r="I4">
        <v>0</v>
      </c>
      <c r="J4">
        <v>55</v>
      </c>
    </row>
    <row r="5" spans="1:10">
      <c r="A5" t="s">
        <v>88</v>
      </c>
      <c r="B5" s="30">
        <v>0</v>
      </c>
      <c r="C5" s="30">
        <v>0</v>
      </c>
      <c r="D5" s="30">
        <v>3.2025481255383155</v>
      </c>
      <c r="E5" s="68">
        <v>1000</v>
      </c>
      <c r="F5" s="69" t="s">
        <v>390</v>
      </c>
      <c r="G5" s="69" t="s">
        <v>391</v>
      </c>
      <c r="H5">
        <v>28</v>
      </c>
      <c r="I5">
        <v>0</v>
      </c>
      <c r="J5">
        <v>1110</v>
      </c>
    </row>
    <row r="6" spans="1:10">
      <c r="A6" t="s">
        <v>141</v>
      </c>
      <c r="B6" s="30">
        <v>0</v>
      </c>
      <c r="C6" s="30">
        <v>0</v>
      </c>
      <c r="D6" s="30">
        <v>20.496307736860288</v>
      </c>
      <c r="E6" s="68">
        <v>1000</v>
      </c>
      <c r="F6" s="69" t="s">
        <v>390</v>
      </c>
      <c r="G6" s="69" t="s">
        <v>391</v>
      </c>
      <c r="H6">
        <v>10</v>
      </c>
      <c r="I6">
        <v>0</v>
      </c>
      <c r="J6">
        <v>151</v>
      </c>
    </row>
    <row r="7" spans="1:10">
      <c r="A7" t="s">
        <v>133</v>
      </c>
      <c r="B7" s="30">
        <v>0.30594546565002601</v>
      </c>
      <c r="C7" s="30">
        <v>1.7594604049635074E-2</v>
      </c>
      <c r="D7" s="30">
        <v>1.4846074213897731</v>
      </c>
      <c r="E7" s="68">
        <v>1000</v>
      </c>
      <c r="F7" s="69" t="s">
        <v>392</v>
      </c>
      <c r="G7" s="69" t="s">
        <v>393</v>
      </c>
      <c r="H7">
        <v>76</v>
      </c>
      <c r="I7">
        <v>1</v>
      </c>
      <c r="J7">
        <v>3269</v>
      </c>
    </row>
    <row r="8" spans="1:10">
      <c r="A8" t="s">
        <v>321</v>
      </c>
      <c r="B8" s="30">
        <v>0</v>
      </c>
      <c r="C8" s="30">
        <v>0</v>
      </c>
      <c r="D8" s="30">
        <v>39.68397706587735</v>
      </c>
      <c r="E8" s="68">
        <v>1000</v>
      </c>
      <c r="F8" s="69" t="s">
        <v>390</v>
      </c>
      <c r="G8" s="69" t="s">
        <v>391</v>
      </c>
      <c r="H8">
        <v>5</v>
      </c>
      <c r="I8">
        <v>0</v>
      </c>
      <c r="J8">
        <v>64</v>
      </c>
    </row>
    <row r="9" spans="1:10">
      <c r="A9" t="s">
        <v>245</v>
      </c>
      <c r="B9" s="30">
        <v>0</v>
      </c>
      <c r="C9" s="30">
        <v>0</v>
      </c>
      <c r="D9" s="30">
        <v>4.2039475559621859</v>
      </c>
      <c r="E9" s="68">
        <v>1000</v>
      </c>
      <c r="F9" s="69" t="s">
        <v>390</v>
      </c>
      <c r="G9" s="69" t="s">
        <v>391</v>
      </c>
      <c r="H9">
        <v>22</v>
      </c>
      <c r="I9">
        <v>0</v>
      </c>
      <c r="J9">
        <v>826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23824-2CB6-459B-8F87-ABC6332B5576}">
  <dimension ref="A1:J8"/>
  <sheetViews>
    <sheetView workbookViewId="0">
      <selection activeCell="A2" sqref="A2:B8"/>
    </sheetView>
  </sheetViews>
  <sheetFormatPr defaultRowHeight="1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29</v>
      </c>
      <c r="B1" s="51" t="s">
        <v>381</v>
      </c>
      <c r="C1" s="51" t="s">
        <v>382</v>
      </c>
      <c r="D1" s="51" t="s">
        <v>383</v>
      </c>
      <c r="E1" s="47" t="s">
        <v>384</v>
      </c>
      <c r="F1" s="47" t="s">
        <v>385</v>
      </c>
      <c r="G1" s="47" t="s">
        <v>386</v>
      </c>
      <c r="H1" s="47" t="s">
        <v>387</v>
      </c>
      <c r="I1" s="47" t="s">
        <v>388</v>
      </c>
      <c r="J1" s="47" t="s">
        <v>389</v>
      </c>
    </row>
    <row r="2" spans="1:10">
      <c r="A2" t="s">
        <v>372</v>
      </c>
      <c r="B2" s="30">
        <v>0</v>
      </c>
      <c r="C2" s="30">
        <v>0</v>
      </c>
      <c r="D2" s="30">
        <v>12.529032372751219</v>
      </c>
      <c r="E2" s="68">
        <v>1000</v>
      </c>
      <c r="F2" s="69" t="s">
        <v>390</v>
      </c>
      <c r="G2" s="69" t="s">
        <v>391</v>
      </c>
      <c r="H2">
        <v>5</v>
      </c>
      <c r="I2">
        <v>0</v>
      </c>
      <c r="J2">
        <v>225</v>
      </c>
    </row>
    <row r="3" spans="1:10">
      <c r="A3" t="s">
        <v>262</v>
      </c>
      <c r="B3" s="30">
        <v>0</v>
      </c>
      <c r="C3" s="30">
        <v>0</v>
      </c>
      <c r="D3" s="30">
        <v>319.25698597711522</v>
      </c>
      <c r="E3" s="68">
        <v>1000</v>
      </c>
      <c r="F3" s="69" t="s">
        <v>390</v>
      </c>
      <c r="G3" s="69" t="s">
        <v>391</v>
      </c>
      <c r="H3">
        <v>2</v>
      </c>
      <c r="I3">
        <v>0</v>
      </c>
      <c r="J3">
        <v>5</v>
      </c>
    </row>
    <row r="4" spans="1:10">
      <c r="A4" t="s">
        <v>258</v>
      </c>
      <c r="B4" s="30">
        <v>0</v>
      </c>
      <c r="C4" s="30">
        <v>0</v>
      </c>
      <c r="D4" s="30">
        <v>5.4233758792358744</v>
      </c>
      <c r="E4" s="68">
        <v>1000</v>
      </c>
      <c r="F4" s="69" t="s">
        <v>390</v>
      </c>
      <c r="G4" s="69" t="s">
        <v>391</v>
      </c>
      <c r="H4">
        <v>13</v>
      </c>
      <c r="I4">
        <v>0</v>
      </c>
      <c r="J4">
        <v>617</v>
      </c>
    </row>
    <row r="5" spans="1:10">
      <c r="A5" t="s">
        <v>70</v>
      </c>
      <c r="B5" s="30">
        <v>0</v>
      </c>
      <c r="C5" s="30">
        <v>0</v>
      </c>
      <c r="D5" s="30">
        <v>8.0983664560120321</v>
      </c>
      <c r="E5" s="68">
        <v>1000</v>
      </c>
      <c r="F5" s="69" t="s">
        <v>390</v>
      </c>
      <c r="G5" s="69" t="s">
        <v>391</v>
      </c>
      <c r="H5">
        <v>34</v>
      </c>
      <c r="I5">
        <v>0</v>
      </c>
      <c r="J5">
        <v>438</v>
      </c>
    </row>
    <row r="6" spans="1:10">
      <c r="A6" t="s">
        <v>60</v>
      </c>
      <c r="B6" s="30">
        <v>0.15652272543788914</v>
      </c>
      <c r="C6" s="30">
        <v>8.983576837546017E-3</v>
      </c>
      <c r="D6" s="30">
        <v>0.75832348321112863</v>
      </c>
      <c r="E6" s="68">
        <v>1000</v>
      </c>
      <c r="F6" s="69" t="s">
        <v>392</v>
      </c>
      <c r="G6" s="69" t="s">
        <v>393</v>
      </c>
      <c r="H6">
        <v>155</v>
      </c>
      <c r="I6">
        <v>1</v>
      </c>
      <c r="J6">
        <v>6390</v>
      </c>
    </row>
    <row r="7" spans="1:10">
      <c r="A7" t="s">
        <v>55</v>
      </c>
      <c r="B7" s="30">
        <v>0</v>
      </c>
      <c r="C7" s="30">
        <v>0</v>
      </c>
      <c r="D7" s="30">
        <v>92.119226263012038</v>
      </c>
      <c r="E7" s="68">
        <v>1000</v>
      </c>
      <c r="F7" s="69" t="s">
        <v>390</v>
      </c>
      <c r="G7" s="69" t="s">
        <v>391</v>
      </c>
      <c r="H7">
        <v>2</v>
      </c>
      <c r="I7">
        <v>0</v>
      </c>
      <c r="J7">
        <v>21</v>
      </c>
    </row>
    <row r="8" spans="1:10">
      <c r="A8" t="s">
        <v>40</v>
      </c>
      <c r="B8" s="30">
        <v>0</v>
      </c>
      <c r="C8" s="30">
        <v>0</v>
      </c>
      <c r="D8" s="30">
        <v>2.0739206677815267</v>
      </c>
      <c r="E8" s="68">
        <v>1000</v>
      </c>
      <c r="F8" s="69" t="s">
        <v>390</v>
      </c>
      <c r="G8" s="69" t="s">
        <v>391</v>
      </c>
      <c r="H8">
        <v>38</v>
      </c>
      <c r="I8">
        <v>0</v>
      </c>
      <c r="J8">
        <v>1759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32"/>
  <sheetViews>
    <sheetView zoomScale="70" zoomScaleNormal="70" workbookViewId="0">
      <selection activeCell="I2" sqref="I2"/>
    </sheetView>
  </sheetViews>
  <sheetFormatPr defaultColWidth="8.85546875" defaultRowHeight="15"/>
  <cols>
    <col min="2" max="2" width="14" style="62" bestFit="1" customWidth="1"/>
    <col min="3" max="3" width="12.7109375" customWidth="1"/>
    <col min="4" max="4" width="47.42578125" customWidth="1"/>
    <col min="5" max="5" width="9.42578125" customWidth="1"/>
    <col min="6" max="6" width="17.140625" customWidth="1"/>
    <col min="7" max="7" width="11.42578125" bestFit="1" customWidth="1"/>
    <col min="8" max="8" width="17" bestFit="1" customWidth="1"/>
    <col min="9" max="9" width="14.42578125" customWidth="1"/>
    <col min="10" max="10" width="17.140625" customWidth="1"/>
    <col min="11" max="11" width="16.85546875" customWidth="1"/>
    <col min="16" max="16" width="13.28515625" customWidth="1"/>
    <col min="17" max="17" width="14" customWidth="1"/>
  </cols>
  <sheetData>
    <row r="1" spans="1:28">
      <c r="A1" s="64" t="s">
        <v>13</v>
      </c>
      <c r="B1" s="65" t="s">
        <v>14</v>
      </c>
      <c r="C1" s="39" t="s">
        <v>394</v>
      </c>
      <c r="D1" s="39" t="s">
        <v>395</v>
      </c>
      <c r="E1" s="39" t="s">
        <v>18</v>
      </c>
      <c r="F1" s="39" t="s">
        <v>396</v>
      </c>
      <c r="G1" s="39" t="s">
        <v>397</v>
      </c>
      <c r="H1" s="39" t="s">
        <v>398</v>
      </c>
      <c r="I1" s="39" t="s">
        <v>399</v>
      </c>
      <c r="J1" s="64" t="s">
        <v>400</v>
      </c>
      <c r="K1" s="64" t="s">
        <v>401</v>
      </c>
    </row>
    <row r="2" spans="1:28" s="50" customFormat="1">
      <c r="A2">
        <v>26</v>
      </c>
      <c r="B2" s="84">
        <v>45104</v>
      </c>
      <c r="C2" s="82" t="s">
        <v>402</v>
      </c>
      <c r="D2" s="82" t="s">
        <v>403</v>
      </c>
      <c r="E2" s="82" t="s">
        <v>256</v>
      </c>
      <c r="F2" s="82" t="s">
        <v>404</v>
      </c>
      <c r="G2" s="82">
        <v>370</v>
      </c>
      <c r="H2" s="82" t="s">
        <v>405</v>
      </c>
      <c r="I2" s="82" t="s">
        <v>274</v>
      </c>
      <c r="J2">
        <f t="shared" ref="J2:J33" si="0">IF(F2="Culex tarsalis",G2,0)</f>
        <v>370</v>
      </c>
      <c r="K2">
        <f t="shared" ref="K2:K33" si="1">IF(F2="Culex pipiens",G2,0)</f>
        <v>0</v>
      </c>
      <c r="L2"/>
      <c r="M2"/>
      <c r="N2"/>
      <c r="O2"/>
      <c r="P2"/>
      <c r="Q2"/>
      <c r="R2"/>
      <c r="S2"/>
      <c r="T2"/>
      <c r="U2"/>
      <c r="V2"/>
      <c r="W2"/>
      <c r="X2"/>
      <c r="Y2"/>
      <c r="Z2"/>
      <c r="AA2"/>
      <c r="AB2"/>
    </row>
    <row r="3" spans="1:28">
      <c r="A3">
        <v>26</v>
      </c>
      <c r="B3" s="84">
        <v>45104</v>
      </c>
      <c r="C3" s="82" t="s">
        <v>402</v>
      </c>
      <c r="D3" s="82" t="s">
        <v>403</v>
      </c>
      <c r="E3" s="82" t="s">
        <v>256</v>
      </c>
      <c r="F3" s="82" t="s">
        <v>406</v>
      </c>
      <c r="G3" s="82">
        <v>4</v>
      </c>
      <c r="H3" s="82" t="s">
        <v>405</v>
      </c>
      <c r="I3" s="82" t="s">
        <v>274</v>
      </c>
      <c r="J3">
        <f t="shared" si="0"/>
        <v>0</v>
      </c>
      <c r="K3">
        <f t="shared" si="1"/>
        <v>4</v>
      </c>
    </row>
    <row r="4" spans="1:28">
      <c r="A4">
        <v>26</v>
      </c>
      <c r="B4" s="84">
        <v>45104</v>
      </c>
      <c r="C4" s="82" t="s">
        <v>402</v>
      </c>
      <c r="D4" s="82" t="s">
        <v>403</v>
      </c>
      <c r="E4" s="82" t="s">
        <v>256</v>
      </c>
      <c r="F4" s="82" t="s">
        <v>404</v>
      </c>
      <c r="G4" s="82">
        <v>150</v>
      </c>
      <c r="H4" s="82" t="s">
        <v>405</v>
      </c>
      <c r="I4" s="82" t="s">
        <v>274</v>
      </c>
      <c r="J4">
        <f t="shared" si="0"/>
        <v>150</v>
      </c>
      <c r="K4">
        <f t="shared" si="1"/>
        <v>0</v>
      </c>
    </row>
    <row r="5" spans="1:28">
      <c r="A5">
        <v>26</v>
      </c>
      <c r="B5" s="84">
        <v>45104</v>
      </c>
      <c r="C5" s="82" t="s">
        <v>402</v>
      </c>
      <c r="D5" s="82" t="s">
        <v>407</v>
      </c>
      <c r="E5" s="82" t="s">
        <v>256</v>
      </c>
      <c r="F5" s="82" t="s">
        <v>404</v>
      </c>
      <c r="G5" s="82">
        <v>138</v>
      </c>
      <c r="H5" s="82" t="s">
        <v>405</v>
      </c>
      <c r="I5" s="82" t="s">
        <v>272</v>
      </c>
      <c r="J5">
        <f t="shared" si="0"/>
        <v>138</v>
      </c>
      <c r="K5">
        <f t="shared" si="1"/>
        <v>0</v>
      </c>
    </row>
    <row r="6" spans="1:28">
      <c r="A6">
        <v>26</v>
      </c>
      <c r="B6" s="84">
        <v>45104</v>
      </c>
      <c r="C6" s="82" t="s">
        <v>402</v>
      </c>
      <c r="D6" s="82" t="s">
        <v>407</v>
      </c>
      <c r="E6" s="82" t="s">
        <v>256</v>
      </c>
      <c r="F6" s="82" t="s">
        <v>404</v>
      </c>
      <c r="G6" s="82">
        <v>46</v>
      </c>
      <c r="H6" s="82" t="s">
        <v>405</v>
      </c>
      <c r="I6" s="82" t="s">
        <v>272</v>
      </c>
      <c r="J6">
        <f t="shared" si="0"/>
        <v>46</v>
      </c>
      <c r="K6">
        <f t="shared" si="1"/>
        <v>0</v>
      </c>
    </row>
    <row r="7" spans="1:28">
      <c r="A7">
        <v>26</v>
      </c>
      <c r="B7" s="84">
        <v>45104</v>
      </c>
      <c r="C7" s="82" t="s">
        <v>402</v>
      </c>
      <c r="D7" s="82" t="s">
        <v>408</v>
      </c>
      <c r="E7" s="82" t="s">
        <v>256</v>
      </c>
      <c r="F7" s="82" t="s">
        <v>404</v>
      </c>
      <c r="G7" s="82">
        <v>150</v>
      </c>
      <c r="H7" s="82" t="s">
        <v>405</v>
      </c>
      <c r="I7" s="82" t="s">
        <v>264</v>
      </c>
      <c r="J7">
        <f t="shared" si="0"/>
        <v>150</v>
      </c>
      <c r="K7">
        <f t="shared" si="1"/>
        <v>0</v>
      </c>
    </row>
    <row r="8" spans="1:28">
      <c r="A8">
        <v>26</v>
      </c>
      <c r="B8" s="84">
        <v>45104</v>
      </c>
      <c r="C8" s="82" t="s">
        <v>402</v>
      </c>
      <c r="D8" s="82" t="s">
        <v>408</v>
      </c>
      <c r="E8" s="82" t="s">
        <v>256</v>
      </c>
      <c r="F8" s="82" t="s">
        <v>404</v>
      </c>
      <c r="G8" s="82">
        <v>1050</v>
      </c>
      <c r="H8" s="82" t="s">
        <v>405</v>
      </c>
      <c r="I8" s="82" t="s">
        <v>264</v>
      </c>
      <c r="J8">
        <f t="shared" si="0"/>
        <v>1050</v>
      </c>
      <c r="K8">
        <f t="shared" si="1"/>
        <v>0</v>
      </c>
    </row>
    <row r="9" spans="1:28">
      <c r="A9">
        <v>26</v>
      </c>
      <c r="B9" s="84">
        <v>45104</v>
      </c>
      <c r="C9" s="82" t="s">
        <v>402</v>
      </c>
      <c r="D9" s="82" t="s">
        <v>409</v>
      </c>
      <c r="E9" s="82" t="s">
        <v>256</v>
      </c>
      <c r="F9" s="82" t="s">
        <v>406</v>
      </c>
      <c r="G9" s="82">
        <v>1</v>
      </c>
      <c r="H9" s="82" t="s">
        <v>405</v>
      </c>
      <c r="I9" s="82" t="s">
        <v>257</v>
      </c>
      <c r="J9">
        <f t="shared" si="0"/>
        <v>0</v>
      </c>
      <c r="K9">
        <f t="shared" si="1"/>
        <v>1</v>
      </c>
    </row>
    <row r="10" spans="1:28" s="50" customFormat="1">
      <c r="A10">
        <v>26</v>
      </c>
      <c r="B10" s="84">
        <v>45104</v>
      </c>
      <c r="C10" s="82" t="s">
        <v>402</v>
      </c>
      <c r="D10" s="82" t="s">
        <v>409</v>
      </c>
      <c r="E10" s="82" t="s">
        <v>256</v>
      </c>
      <c r="F10" s="82" t="s">
        <v>404</v>
      </c>
      <c r="G10" s="82">
        <v>1815</v>
      </c>
      <c r="H10" s="82" t="s">
        <v>405</v>
      </c>
      <c r="I10" s="82" t="s">
        <v>257</v>
      </c>
      <c r="J10">
        <f t="shared" si="0"/>
        <v>1815</v>
      </c>
      <c r="K10">
        <f t="shared" si="1"/>
        <v>0</v>
      </c>
      <c r="L10"/>
      <c r="M10"/>
      <c r="N10"/>
      <c r="O10"/>
      <c r="P10"/>
      <c r="Q10"/>
      <c r="R10"/>
      <c r="S10"/>
      <c r="T10"/>
      <c r="U10"/>
      <c r="V10"/>
      <c r="W10"/>
      <c r="X10"/>
      <c r="Y10"/>
      <c r="Z10"/>
      <c r="AA10"/>
      <c r="AB10"/>
    </row>
    <row r="11" spans="1:28">
      <c r="A11">
        <v>26</v>
      </c>
      <c r="B11" s="84">
        <v>45104</v>
      </c>
      <c r="C11" s="82" t="s">
        <v>402</v>
      </c>
      <c r="D11" s="82" t="s">
        <v>409</v>
      </c>
      <c r="E11" s="82" t="s">
        <v>256</v>
      </c>
      <c r="F11" s="82" t="s">
        <v>406</v>
      </c>
      <c r="G11" s="82">
        <v>15</v>
      </c>
      <c r="H11" s="82" t="s">
        <v>405</v>
      </c>
      <c r="I11" s="82" t="s">
        <v>257</v>
      </c>
      <c r="J11">
        <f t="shared" si="0"/>
        <v>0</v>
      </c>
      <c r="K11">
        <f t="shared" si="1"/>
        <v>15</v>
      </c>
    </row>
    <row r="12" spans="1:28">
      <c r="A12">
        <v>26</v>
      </c>
      <c r="B12" s="84">
        <v>45104</v>
      </c>
      <c r="C12" s="82" t="s">
        <v>402</v>
      </c>
      <c r="D12" s="82" t="s">
        <v>409</v>
      </c>
      <c r="E12" s="82" t="s">
        <v>256</v>
      </c>
      <c r="F12" s="82" t="s">
        <v>404</v>
      </c>
      <c r="G12" s="82">
        <v>121</v>
      </c>
      <c r="H12" s="82" t="s">
        <v>405</v>
      </c>
      <c r="I12" s="82" t="s">
        <v>257</v>
      </c>
      <c r="J12">
        <f t="shared" si="0"/>
        <v>121</v>
      </c>
      <c r="K12">
        <f t="shared" si="1"/>
        <v>0</v>
      </c>
    </row>
    <row r="13" spans="1:28">
      <c r="A13">
        <v>26</v>
      </c>
      <c r="B13" s="84">
        <v>45104</v>
      </c>
      <c r="C13" s="82" t="s">
        <v>402</v>
      </c>
      <c r="D13" s="82" t="s">
        <v>410</v>
      </c>
      <c r="E13" s="82" t="s">
        <v>256</v>
      </c>
      <c r="F13" s="82" t="s">
        <v>404</v>
      </c>
      <c r="G13" s="82">
        <v>234</v>
      </c>
      <c r="H13" s="82" t="s">
        <v>405</v>
      </c>
      <c r="I13" s="82" t="s">
        <v>268</v>
      </c>
      <c r="J13">
        <f t="shared" si="0"/>
        <v>234</v>
      </c>
      <c r="K13">
        <f t="shared" si="1"/>
        <v>0</v>
      </c>
    </row>
    <row r="14" spans="1:28" s="50" customFormat="1">
      <c r="A14">
        <v>26</v>
      </c>
      <c r="B14" s="84">
        <v>45104</v>
      </c>
      <c r="C14" s="82" t="s">
        <v>402</v>
      </c>
      <c r="D14" s="82" t="s">
        <v>410</v>
      </c>
      <c r="E14" s="82" t="s">
        <v>256</v>
      </c>
      <c r="F14" s="82" t="s">
        <v>404</v>
      </c>
      <c r="G14" s="82">
        <v>150</v>
      </c>
      <c r="H14" s="82" t="s">
        <v>405</v>
      </c>
      <c r="I14" s="82" t="s">
        <v>268</v>
      </c>
      <c r="J14">
        <f t="shared" si="0"/>
        <v>150</v>
      </c>
      <c r="K14">
        <f t="shared" si="1"/>
        <v>0</v>
      </c>
      <c r="L14"/>
      <c r="M14"/>
      <c r="N14"/>
      <c r="O14"/>
      <c r="P14"/>
      <c r="Q14"/>
      <c r="R14"/>
      <c r="S14"/>
      <c r="T14"/>
      <c r="U14"/>
      <c r="V14"/>
      <c r="W14"/>
      <c r="X14"/>
      <c r="Y14"/>
      <c r="Z14"/>
      <c r="AA14"/>
      <c r="AB14"/>
    </row>
    <row r="15" spans="1:28" s="50" customFormat="1">
      <c r="A15">
        <v>26</v>
      </c>
      <c r="B15" s="84">
        <v>45102</v>
      </c>
      <c r="C15" s="82" t="s">
        <v>411</v>
      </c>
      <c r="D15" s="82" t="s">
        <v>412</v>
      </c>
      <c r="E15" s="82" t="s">
        <v>59</v>
      </c>
      <c r="F15" s="82" t="s">
        <v>404</v>
      </c>
      <c r="G15" s="82">
        <v>118</v>
      </c>
      <c r="H15" s="82" t="s">
        <v>405</v>
      </c>
      <c r="I15" s="82" t="s">
        <v>91</v>
      </c>
      <c r="J15">
        <f t="shared" si="0"/>
        <v>118</v>
      </c>
      <c r="K15">
        <f t="shared" si="1"/>
        <v>0</v>
      </c>
      <c r="L15"/>
      <c r="M15"/>
      <c r="N15"/>
      <c r="O15"/>
      <c r="P15"/>
      <c r="Q15"/>
      <c r="R15"/>
      <c r="S15"/>
      <c r="T15"/>
      <c r="U15"/>
      <c r="V15"/>
      <c r="W15"/>
      <c r="X15"/>
      <c r="Y15"/>
      <c r="Z15"/>
      <c r="AA15"/>
      <c r="AB15"/>
    </row>
    <row r="16" spans="1:28">
      <c r="A16">
        <v>26</v>
      </c>
      <c r="B16" s="84">
        <v>45102</v>
      </c>
      <c r="C16" s="82" t="s">
        <v>411</v>
      </c>
      <c r="D16" s="82" t="s">
        <v>412</v>
      </c>
      <c r="E16" s="82" t="s">
        <v>59</v>
      </c>
      <c r="F16" s="82" t="s">
        <v>406</v>
      </c>
      <c r="G16" s="82">
        <v>23</v>
      </c>
      <c r="H16" s="82" t="s">
        <v>405</v>
      </c>
      <c r="I16" s="82" t="s">
        <v>91</v>
      </c>
      <c r="J16">
        <f t="shared" si="0"/>
        <v>0</v>
      </c>
      <c r="K16">
        <f t="shared" si="1"/>
        <v>23</v>
      </c>
    </row>
    <row r="17" spans="1:25">
      <c r="A17">
        <v>26</v>
      </c>
      <c r="B17" s="84">
        <v>45102</v>
      </c>
      <c r="C17" s="82" t="s">
        <v>411</v>
      </c>
      <c r="D17" s="82" t="s">
        <v>413</v>
      </c>
      <c r="E17" s="82" t="s">
        <v>59</v>
      </c>
      <c r="F17" s="82" t="s">
        <v>406</v>
      </c>
      <c r="G17" s="82">
        <v>11</v>
      </c>
      <c r="H17" s="82" t="s">
        <v>405</v>
      </c>
      <c r="I17" s="82" t="s">
        <v>115</v>
      </c>
      <c r="J17">
        <f t="shared" si="0"/>
        <v>0</v>
      </c>
      <c r="K17">
        <f t="shared" si="1"/>
        <v>11</v>
      </c>
    </row>
    <row r="18" spans="1:25">
      <c r="A18">
        <v>26</v>
      </c>
      <c r="B18" s="84">
        <v>45102</v>
      </c>
      <c r="C18" s="82" t="s">
        <v>411</v>
      </c>
      <c r="D18" s="82" t="s">
        <v>413</v>
      </c>
      <c r="E18" s="82" t="s">
        <v>59</v>
      </c>
      <c r="F18" s="82" t="s">
        <v>404</v>
      </c>
      <c r="G18" s="82">
        <v>161</v>
      </c>
      <c r="H18" s="82" t="s">
        <v>405</v>
      </c>
      <c r="I18" s="82" t="s">
        <v>115</v>
      </c>
      <c r="J18">
        <f t="shared" si="0"/>
        <v>161</v>
      </c>
      <c r="K18">
        <f t="shared" si="1"/>
        <v>0</v>
      </c>
    </row>
    <row r="19" spans="1:25">
      <c r="A19">
        <v>26</v>
      </c>
      <c r="B19" s="84">
        <v>45102</v>
      </c>
      <c r="C19" s="82" t="s">
        <v>411</v>
      </c>
      <c r="D19" s="82" t="s">
        <v>414</v>
      </c>
      <c r="E19" s="82" t="s">
        <v>59</v>
      </c>
      <c r="F19" s="82" t="s">
        <v>406</v>
      </c>
      <c r="G19" s="82">
        <v>4</v>
      </c>
      <c r="H19" s="82" t="s">
        <v>405</v>
      </c>
      <c r="I19" s="82" t="s">
        <v>106</v>
      </c>
      <c r="J19">
        <f t="shared" si="0"/>
        <v>0</v>
      </c>
      <c r="K19">
        <f t="shared" si="1"/>
        <v>4</v>
      </c>
    </row>
    <row r="20" spans="1:25">
      <c r="A20">
        <v>26</v>
      </c>
      <c r="B20" s="84">
        <v>45102</v>
      </c>
      <c r="C20" s="82" t="s">
        <v>411</v>
      </c>
      <c r="D20" s="82" t="s">
        <v>414</v>
      </c>
      <c r="E20" s="82" t="s">
        <v>59</v>
      </c>
      <c r="F20" s="82" t="s">
        <v>404</v>
      </c>
      <c r="G20" s="82">
        <v>76</v>
      </c>
      <c r="H20" s="82" t="s">
        <v>405</v>
      </c>
      <c r="I20" s="82" t="s">
        <v>106</v>
      </c>
      <c r="J20">
        <f t="shared" si="0"/>
        <v>76</v>
      </c>
      <c r="K20">
        <f t="shared" si="1"/>
        <v>0</v>
      </c>
    </row>
    <row r="21" spans="1:25">
      <c r="A21">
        <v>26</v>
      </c>
      <c r="B21" s="84">
        <v>45102</v>
      </c>
      <c r="C21" s="82" t="s">
        <v>411</v>
      </c>
      <c r="D21" s="82" t="s">
        <v>415</v>
      </c>
      <c r="E21" s="82" t="s">
        <v>59</v>
      </c>
      <c r="F21" s="82" t="s">
        <v>404</v>
      </c>
      <c r="G21" s="82">
        <v>169</v>
      </c>
      <c r="H21" s="82" t="s">
        <v>405</v>
      </c>
      <c r="I21" s="82" t="s">
        <v>58</v>
      </c>
      <c r="J21">
        <f t="shared" si="0"/>
        <v>169</v>
      </c>
      <c r="K21">
        <f t="shared" si="1"/>
        <v>0</v>
      </c>
    </row>
    <row r="22" spans="1:25">
      <c r="A22">
        <v>26</v>
      </c>
      <c r="B22" s="84">
        <v>45102</v>
      </c>
      <c r="C22" s="82" t="s">
        <v>411</v>
      </c>
      <c r="D22" s="82" t="s">
        <v>416</v>
      </c>
      <c r="E22" s="82" t="s">
        <v>87</v>
      </c>
      <c r="F22" s="82" t="s">
        <v>404</v>
      </c>
      <c r="G22" s="82">
        <v>59</v>
      </c>
      <c r="H22" s="82" t="s">
        <v>405</v>
      </c>
      <c r="I22" s="82" t="s">
        <v>86</v>
      </c>
      <c r="J22">
        <f t="shared" si="0"/>
        <v>59</v>
      </c>
      <c r="K22">
        <f t="shared" si="1"/>
        <v>0</v>
      </c>
    </row>
    <row r="23" spans="1:25">
      <c r="A23">
        <v>26</v>
      </c>
      <c r="B23" s="84">
        <v>45102</v>
      </c>
      <c r="C23" s="82" t="s">
        <v>411</v>
      </c>
      <c r="D23" s="82" t="s">
        <v>417</v>
      </c>
      <c r="E23" s="82" t="s">
        <v>59</v>
      </c>
      <c r="F23" s="82" t="s">
        <v>404</v>
      </c>
      <c r="G23" s="82">
        <v>86</v>
      </c>
      <c r="H23" s="82" t="s">
        <v>405</v>
      </c>
      <c r="I23" s="82" t="s">
        <v>103</v>
      </c>
      <c r="J23">
        <f t="shared" si="0"/>
        <v>86</v>
      </c>
      <c r="K23">
        <f t="shared" si="1"/>
        <v>0</v>
      </c>
    </row>
    <row r="24" spans="1:25">
      <c r="A24">
        <v>26</v>
      </c>
      <c r="B24" s="84">
        <v>45102</v>
      </c>
      <c r="C24" s="82" t="s">
        <v>411</v>
      </c>
      <c r="D24" s="82" t="s">
        <v>418</v>
      </c>
      <c r="E24" s="82" t="s">
        <v>59</v>
      </c>
      <c r="F24" s="82" t="s">
        <v>404</v>
      </c>
      <c r="G24" s="82">
        <v>147</v>
      </c>
      <c r="H24" s="82" t="s">
        <v>405</v>
      </c>
      <c r="I24" s="82" t="s">
        <v>66</v>
      </c>
      <c r="J24">
        <f t="shared" si="0"/>
        <v>147</v>
      </c>
      <c r="K24">
        <f t="shared" si="1"/>
        <v>0</v>
      </c>
    </row>
    <row r="25" spans="1:25">
      <c r="A25">
        <v>26</v>
      </c>
      <c r="B25" s="84">
        <v>45102</v>
      </c>
      <c r="C25" s="82" t="s">
        <v>411</v>
      </c>
      <c r="D25" s="82" t="s">
        <v>418</v>
      </c>
      <c r="E25" s="82" t="s">
        <v>59</v>
      </c>
      <c r="F25" s="82" t="s">
        <v>406</v>
      </c>
      <c r="G25" s="82">
        <v>11</v>
      </c>
      <c r="H25" s="82" t="s">
        <v>405</v>
      </c>
      <c r="I25" s="82" t="s">
        <v>66</v>
      </c>
      <c r="J25">
        <f t="shared" si="0"/>
        <v>0</v>
      </c>
      <c r="K25">
        <f t="shared" si="1"/>
        <v>11</v>
      </c>
    </row>
    <row r="26" spans="1:25">
      <c r="A26">
        <v>26</v>
      </c>
      <c r="B26" s="84">
        <v>45102</v>
      </c>
      <c r="C26" s="82" t="s">
        <v>411</v>
      </c>
      <c r="D26" s="82" t="s">
        <v>419</v>
      </c>
      <c r="E26" s="82" t="s">
        <v>59</v>
      </c>
      <c r="F26" s="82" t="s">
        <v>404</v>
      </c>
      <c r="G26" s="82">
        <v>120</v>
      </c>
      <c r="H26" s="82" t="s">
        <v>405</v>
      </c>
      <c r="I26" s="82" t="s">
        <v>110</v>
      </c>
      <c r="J26">
        <f t="shared" si="0"/>
        <v>120</v>
      </c>
      <c r="K26">
        <f t="shared" si="1"/>
        <v>0</v>
      </c>
      <c r="Y26" s="50"/>
    </row>
    <row r="27" spans="1:25">
      <c r="A27">
        <v>26</v>
      </c>
      <c r="B27" s="84">
        <v>45102</v>
      </c>
      <c r="C27" s="82" t="s">
        <v>411</v>
      </c>
      <c r="D27" s="82" t="s">
        <v>419</v>
      </c>
      <c r="E27" s="82" t="s">
        <v>59</v>
      </c>
      <c r="F27" s="82" t="s">
        <v>406</v>
      </c>
      <c r="G27" s="82">
        <v>30</v>
      </c>
      <c r="H27" s="82" t="s">
        <v>405</v>
      </c>
      <c r="I27" s="82" t="s">
        <v>110</v>
      </c>
      <c r="J27">
        <f t="shared" si="0"/>
        <v>0</v>
      </c>
      <c r="K27">
        <f t="shared" si="1"/>
        <v>30</v>
      </c>
    </row>
    <row r="28" spans="1:25">
      <c r="A28">
        <v>26</v>
      </c>
      <c r="B28" s="84">
        <v>45102</v>
      </c>
      <c r="C28" s="82" t="s">
        <v>411</v>
      </c>
      <c r="D28" s="82" t="s">
        <v>420</v>
      </c>
      <c r="E28" s="82" t="s">
        <v>59</v>
      </c>
      <c r="F28" s="82" t="s">
        <v>404</v>
      </c>
      <c r="G28" s="82">
        <v>29</v>
      </c>
      <c r="H28" s="82" t="s">
        <v>405</v>
      </c>
      <c r="I28" s="82" t="s">
        <v>121</v>
      </c>
      <c r="J28">
        <f t="shared" si="0"/>
        <v>29</v>
      </c>
      <c r="K28">
        <f t="shared" si="1"/>
        <v>0</v>
      </c>
    </row>
    <row r="29" spans="1:25">
      <c r="A29">
        <v>26</v>
      </c>
      <c r="B29" s="84">
        <v>45102</v>
      </c>
      <c r="C29" s="82" t="s">
        <v>411</v>
      </c>
      <c r="D29" s="82" t="s">
        <v>420</v>
      </c>
      <c r="E29" s="82" t="s">
        <v>59</v>
      </c>
      <c r="F29" s="82" t="s">
        <v>406</v>
      </c>
      <c r="G29" s="82">
        <v>4</v>
      </c>
      <c r="H29" s="82" t="s">
        <v>405</v>
      </c>
      <c r="I29" s="82" t="s">
        <v>121</v>
      </c>
      <c r="J29">
        <f t="shared" si="0"/>
        <v>0</v>
      </c>
      <c r="K29">
        <f t="shared" si="1"/>
        <v>4</v>
      </c>
    </row>
    <row r="30" spans="1:25">
      <c r="A30">
        <v>26</v>
      </c>
      <c r="B30" s="84">
        <v>45102</v>
      </c>
      <c r="C30" s="82" t="s">
        <v>411</v>
      </c>
      <c r="D30" s="82" t="s">
        <v>421</v>
      </c>
      <c r="E30" s="82" t="s">
        <v>59</v>
      </c>
      <c r="F30" s="82" t="s">
        <v>406</v>
      </c>
      <c r="G30" s="82">
        <v>1</v>
      </c>
      <c r="H30" s="82" t="s">
        <v>405</v>
      </c>
      <c r="I30" s="82" t="s">
        <v>76</v>
      </c>
      <c r="J30">
        <f t="shared" si="0"/>
        <v>0</v>
      </c>
      <c r="K30">
        <f t="shared" si="1"/>
        <v>1</v>
      </c>
    </row>
    <row r="31" spans="1:25">
      <c r="A31">
        <v>26</v>
      </c>
      <c r="B31" s="84">
        <v>45102</v>
      </c>
      <c r="C31" s="82" t="s">
        <v>411</v>
      </c>
      <c r="D31" s="82" t="s">
        <v>421</v>
      </c>
      <c r="E31" s="82" t="s">
        <v>59</v>
      </c>
      <c r="F31" s="82" t="s">
        <v>404</v>
      </c>
      <c r="G31" s="82">
        <v>67</v>
      </c>
      <c r="H31" s="82" t="s">
        <v>405</v>
      </c>
      <c r="I31" s="82" t="s">
        <v>76</v>
      </c>
      <c r="J31">
        <f t="shared" si="0"/>
        <v>67</v>
      </c>
      <c r="K31">
        <f t="shared" si="1"/>
        <v>0</v>
      </c>
    </row>
    <row r="32" spans="1:25">
      <c r="A32">
        <v>26</v>
      </c>
      <c r="B32" s="84">
        <v>45102</v>
      </c>
      <c r="C32" s="82" t="s">
        <v>411</v>
      </c>
      <c r="D32" s="82" t="s">
        <v>422</v>
      </c>
      <c r="E32" s="82" t="s">
        <v>59</v>
      </c>
      <c r="F32" s="82" t="s">
        <v>406</v>
      </c>
      <c r="G32" s="82">
        <v>16</v>
      </c>
      <c r="H32" s="82" t="s">
        <v>405</v>
      </c>
      <c r="I32" s="82" t="s">
        <v>96</v>
      </c>
      <c r="J32">
        <f t="shared" si="0"/>
        <v>0</v>
      </c>
      <c r="K32">
        <f t="shared" si="1"/>
        <v>16</v>
      </c>
    </row>
    <row r="33" spans="1:11">
      <c r="A33">
        <v>26</v>
      </c>
      <c r="B33" s="84">
        <v>45102</v>
      </c>
      <c r="C33" s="82" t="s">
        <v>411</v>
      </c>
      <c r="D33" s="82" t="s">
        <v>422</v>
      </c>
      <c r="E33" s="82" t="s">
        <v>59</v>
      </c>
      <c r="F33" s="82" t="s">
        <v>404</v>
      </c>
      <c r="G33" s="82">
        <v>212</v>
      </c>
      <c r="H33" s="82" t="s">
        <v>405</v>
      </c>
      <c r="I33" s="82" t="s">
        <v>96</v>
      </c>
      <c r="J33">
        <f t="shared" si="0"/>
        <v>212</v>
      </c>
      <c r="K33">
        <f t="shared" si="1"/>
        <v>0</v>
      </c>
    </row>
    <row r="34" spans="1:11">
      <c r="A34">
        <v>26</v>
      </c>
      <c r="B34" s="84">
        <v>45103</v>
      </c>
      <c r="C34" s="82" t="s">
        <v>411</v>
      </c>
      <c r="D34" s="82" t="s">
        <v>423</v>
      </c>
      <c r="E34" s="82" t="s">
        <v>132</v>
      </c>
      <c r="F34" s="82" t="s">
        <v>406</v>
      </c>
      <c r="G34" s="82">
        <v>3</v>
      </c>
      <c r="H34" s="82" t="s">
        <v>405</v>
      </c>
      <c r="I34" s="82" t="s">
        <v>201</v>
      </c>
      <c r="J34">
        <f t="shared" ref="J34:J65" si="2">IF(F34="Culex tarsalis",G34,0)</f>
        <v>0</v>
      </c>
      <c r="K34">
        <f t="shared" ref="K34:K65" si="3">IF(F34="Culex pipiens",G34,0)</f>
        <v>3</v>
      </c>
    </row>
    <row r="35" spans="1:11">
      <c r="A35">
        <v>26</v>
      </c>
      <c r="B35" s="84">
        <v>45103</v>
      </c>
      <c r="C35" s="82" t="s">
        <v>411</v>
      </c>
      <c r="D35" s="82" t="s">
        <v>423</v>
      </c>
      <c r="E35" s="82" t="s">
        <v>132</v>
      </c>
      <c r="F35" s="82" t="s">
        <v>404</v>
      </c>
      <c r="G35" s="82">
        <v>212</v>
      </c>
      <c r="H35" s="82" t="s">
        <v>405</v>
      </c>
      <c r="I35" s="82" t="s">
        <v>201</v>
      </c>
      <c r="J35">
        <f t="shared" si="2"/>
        <v>212</v>
      </c>
      <c r="K35">
        <f t="shared" si="3"/>
        <v>0</v>
      </c>
    </row>
    <row r="36" spans="1:11">
      <c r="A36">
        <v>26</v>
      </c>
      <c r="B36" s="84">
        <v>45103</v>
      </c>
      <c r="C36" s="82" t="s">
        <v>411</v>
      </c>
      <c r="D36" s="82" t="s">
        <v>424</v>
      </c>
      <c r="E36" s="82" t="s">
        <v>132</v>
      </c>
      <c r="F36" s="82" t="s">
        <v>404</v>
      </c>
      <c r="G36" s="82">
        <v>93</v>
      </c>
      <c r="H36" s="82" t="s">
        <v>405</v>
      </c>
      <c r="I36" s="82" t="s">
        <v>161</v>
      </c>
      <c r="J36">
        <f t="shared" si="2"/>
        <v>93</v>
      </c>
      <c r="K36">
        <f t="shared" si="3"/>
        <v>0</v>
      </c>
    </row>
    <row r="37" spans="1:11">
      <c r="A37">
        <v>26</v>
      </c>
      <c r="B37" s="84">
        <v>45103</v>
      </c>
      <c r="C37" s="82" t="s">
        <v>411</v>
      </c>
      <c r="D37" s="82" t="s">
        <v>425</v>
      </c>
      <c r="E37" s="82" t="s">
        <v>132</v>
      </c>
      <c r="F37" s="82" t="s">
        <v>406</v>
      </c>
      <c r="G37" s="82">
        <v>14</v>
      </c>
      <c r="H37" s="82" t="s">
        <v>405</v>
      </c>
      <c r="I37" s="82" t="s">
        <v>225</v>
      </c>
      <c r="J37">
        <f t="shared" si="2"/>
        <v>0</v>
      </c>
      <c r="K37">
        <f t="shared" si="3"/>
        <v>14</v>
      </c>
    </row>
    <row r="38" spans="1:11">
      <c r="A38">
        <v>26</v>
      </c>
      <c r="B38" s="84">
        <v>45103</v>
      </c>
      <c r="C38" s="82" t="s">
        <v>411</v>
      </c>
      <c r="D38" s="82" t="s">
        <v>425</v>
      </c>
      <c r="E38" s="82" t="s">
        <v>132</v>
      </c>
      <c r="F38" s="82" t="s">
        <v>404</v>
      </c>
      <c r="G38" s="82">
        <v>246</v>
      </c>
      <c r="H38" s="82" t="s">
        <v>405</v>
      </c>
      <c r="I38" s="82" t="s">
        <v>225</v>
      </c>
      <c r="J38">
        <f t="shared" si="2"/>
        <v>246</v>
      </c>
      <c r="K38">
        <f t="shared" si="3"/>
        <v>0</v>
      </c>
    </row>
    <row r="39" spans="1:11">
      <c r="A39">
        <v>26</v>
      </c>
      <c r="B39" s="84">
        <v>45103</v>
      </c>
      <c r="C39" s="82" t="s">
        <v>411</v>
      </c>
      <c r="D39" s="82" t="s">
        <v>426</v>
      </c>
      <c r="E39" s="82" t="s">
        <v>132</v>
      </c>
      <c r="F39" s="82" t="s">
        <v>404</v>
      </c>
      <c r="G39" s="82">
        <v>350</v>
      </c>
      <c r="H39" s="82" t="s">
        <v>405</v>
      </c>
      <c r="I39" s="82" t="s">
        <v>208</v>
      </c>
      <c r="J39">
        <f t="shared" si="2"/>
        <v>350</v>
      </c>
      <c r="K39">
        <f t="shared" si="3"/>
        <v>0</v>
      </c>
    </row>
    <row r="40" spans="1:11">
      <c r="A40">
        <v>26</v>
      </c>
      <c r="B40" s="84">
        <v>45103</v>
      </c>
      <c r="C40" s="82" t="s">
        <v>411</v>
      </c>
      <c r="D40" s="82" t="s">
        <v>427</v>
      </c>
      <c r="E40" s="82" t="s">
        <v>132</v>
      </c>
      <c r="F40" s="82" t="s">
        <v>404</v>
      </c>
      <c r="G40" s="82">
        <v>54</v>
      </c>
      <c r="H40" s="82" t="s">
        <v>405</v>
      </c>
      <c r="I40" s="82" t="s">
        <v>131</v>
      </c>
      <c r="J40">
        <f t="shared" si="2"/>
        <v>54</v>
      </c>
      <c r="K40">
        <f t="shared" si="3"/>
        <v>0</v>
      </c>
    </row>
    <row r="41" spans="1:11">
      <c r="A41">
        <v>26</v>
      </c>
      <c r="B41" s="84">
        <v>45103</v>
      </c>
      <c r="C41" s="82" t="s">
        <v>411</v>
      </c>
      <c r="D41" s="82" t="s">
        <v>428</v>
      </c>
      <c r="E41" s="82" t="s">
        <v>132</v>
      </c>
      <c r="F41" s="82" t="s">
        <v>406</v>
      </c>
      <c r="G41" s="82">
        <v>6</v>
      </c>
      <c r="H41" s="82" t="s">
        <v>405</v>
      </c>
      <c r="I41" s="82" t="s">
        <v>196</v>
      </c>
      <c r="J41">
        <f t="shared" si="2"/>
        <v>0</v>
      </c>
      <c r="K41">
        <f t="shared" si="3"/>
        <v>6</v>
      </c>
    </row>
    <row r="42" spans="1:11">
      <c r="A42">
        <v>26</v>
      </c>
      <c r="B42" s="84">
        <v>45103</v>
      </c>
      <c r="C42" s="82" t="s">
        <v>411</v>
      </c>
      <c r="D42" s="82" t="s">
        <v>428</v>
      </c>
      <c r="E42" s="82" t="s">
        <v>132</v>
      </c>
      <c r="F42" s="82" t="s">
        <v>404</v>
      </c>
      <c r="G42" s="82">
        <v>128</v>
      </c>
      <c r="H42" s="82" t="s">
        <v>405</v>
      </c>
      <c r="I42" s="82" t="s">
        <v>196</v>
      </c>
      <c r="J42">
        <f t="shared" si="2"/>
        <v>128</v>
      </c>
      <c r="K42">
        <f t="shared" si="3"/>
        <v>0</v>
      </c>
    </row>
    <row r="43" spans="1:11">
      <c r="A43">
        <v>26</v>
      </c>
      <c r="B43" s="84">
        <v>45103</v>
      </c>
      <c r="C43" s="82" t="s">
        <v>411</v>
      </c>
      <c r="D43" s="82" t="s">
        <v>429</v>
      </c>
      <c r="E43" s="82" t="s">
        <v>132</v>
      </c>
      <c r="F43" s="82" t="s">
        <v>404</v>
      </c>
      <c r="G43" s="82">
        <v>53</v>
      </c>
      <c r="H43" s="82" t="s">
        <v>405</v>
      </c>
      <c r="I43" s="82" t="s">
        <v>222</v>
      </c>
      <c r="J43">
        <f t="shared" si="2"/>
        <v>53</v>
      </c>
      <c r="K43">
        <f t="shared" si="3"/>
        <v>0</v>
      </c>
    </row>
    <row r="44" spans="1:11">
      <c r="A44">
        <v>26</v>
      </c>
      <c r="B44" s="84">
        <v>45103</v>
      </c>
      <c r="C44" s="82" t="s">
        <v>411</v>
      </c>
      <c r="D44" s="82" t="s">
        <v>430</v>
      </c>
      <c r="E44" s="82" t="s">
        <v>132</v>
      </c>
      <c r="F44" s="82" t="s">
        <v>404</v>
      </c>
      <c r="G44" s="82">
        <v>55</v>
      </c>
      <c r="H44" s="82" t="s">
        <v>405</v>
      </c>
      <c r="I44" s="82" t="s">
        <v>158</v>
      </c>
      <c r="J44">
        <f t="shared" si="2"/>
        <v>55</v>
      </c>
      <c r="K44">
        <f t="shared" si="3"/>
        <v>0</v>
      </c>
    </row>
    <row r="45" spans="1:11">
      <c r="A45">
        <v>26</v>
      </c>
      <c r="B45" s="84">
        <v>45103</v>
      </c>
      <c r="C45" s="82" t="s">
        <v>411</v>
      </c>
      <c r="D45" s="82" t="s">
        <v>431</v>
      </c>
      <c r="E45" s="82" t="s">
        <v>132</v>
      </c>
      <c r="F45" s="82" t="s">
        <v>404</v>
      </c>
      <c r="G45" s="82">
        <v>51</v>
      </c>
      <c r="H45" s="82" t="s">
        <v>405</v>
      </c>
      <c r="I45" s="82" t="s">
        <v>136</v>
      </c>
      <c r="J45">
        <f t="shared" si="2"/>
        <v>51</v>
      </c>
      <c r="K45">
        <f t="shared" si="3"/>
        <v>0</v>
      </c>
    </row>
    <row r="46" spans="1:11">
      <c r="A46">
        <v>26</v>
      </c>
      <c r="B46" s="84">
        <v>45103</v>
      </c>
      <c r="C46" s="82" t="s">
        <v>411</v>
      </c>
      <c r="D46" s="82" t="s">
        <v>432</v>
      </c>
      <c r="E46" s="82" t="s">
        <v>132</v>
      </c>
      <c r="F46" s="82" t="s">
        <v>404</v>
      </c>
      <c r="G46" s="82">
        <v>152</v>
      </c>
      <c r="H46" s="82" t="s">
        <v>405</v>
      </c>
      <c r="I46" s="82" t="s">
        <v>216</v>
      </c>
      <c r="J46">
        <f t="shared" si="2"/>
        <v>152</v>
      </c>
      <c r="K46">
        <f t="shared" si="3"/>
        <v>0</v>
      </c>
    </row>
    <row r="47" spans="1:11">
      <c r="A47">
        <v>26</v>
      </c>
      <c r="B47" s="84">
        <v>45103</v>
      </c>
      <c r="C47" s="82" t="s">
        <v>411</v>
      </c>
      <c r="D47" s="82" t="s">
        <v>432</v>
      </c>
      <c r="E47" s="82" t="s">
        <v>132</v>
      </c>
      <c r="F47" s="82" t="s">
        <v>406</v>
      </c>
      <c r="G47" s="82">
        <v>4</v>
      </c>
      <c r="H47" s="82" t="s">
        <v>405</v>
      </c>
      <c r="I47" s="82" t="s">
        <v>216</v>
      </c>
      <c r="J47">
        <f t="shared" si="2"/>
        <v>0</v>
      </c>
      <c r="K47">
        <f t="shared" si="3"/>
        <v>4</v>
      </c>
    </row>
    <row r="48" spans="1:11">
      <c r="A48">
        <v>26</v>
      </c>
      <c r="B48" s="84">
        <v>45103</v>
      </c>
      <c r="C48" s="82" t="s">
        <v>411</v>
      </c>
      <c r="D48" s="82" t="s">
        <v>433</v>
      </c>
      <c r="E48" s="82" t="s">
        <v>132</v>
      </c>
      <c r="F48" s="82" t="s">
        <v>404</v>
      </c>
      <c r="G48" s="82">
        <v>610</v>
      </c>
      <c r="H48" s="82" t="s">
        <v>405</v>
      </c>
      <c r="I48" s="82" t="s">
        <v>180</v>
      </c>
      <c r="J48">
        <f t="shared" si="2"/>
        <v>610</v>
      </c>
      <c r="K48">
        <f t="shared" si="3"/>
        <v>0</v>
      </c>
    </row>
    <row r="49" spans="1:11">
      <c r="A49">
        <v>26</v>
      </c>
      <c r="B49" s="84">
        <v>45103</v>
      </c>
      <c r="C49" s="82" t="s">
        <v>411</v>
      </c>
      <c r="D49" s="82" t="s">
        <v>433</v>
      </c>
      <c r="E49" s="82" t="s">
        <v>132</v>
      </c>
      <c r="F49" s="82" t="s">
        <v>406</v>
      </c>
      <c r="G49" s="82">
        <v>18</v>
      </c>
      <c r="H49" s="82" t="s">
        <v>405</v>
      </c>
      <c r="I49" s="82" t="s">
        <v>180</v>
      </c>
      <c r="J49">
        <f t="shared" si="2"/>
        <v>0</v>
      </c>
      <c r="K49">
        <f t="shared" si="3"/>
        <v>18</v>
      </c>
    </row>
    <row r="50" spans="1:11">
      <c r="A50">
        <v>26</v>
      </c>
      <c r="B50" s="84">
        <v>45103</v>
      </c>
      <c r="C50" s="82" t="s">
        <v>411</v>
      </c>
      <c r="D50" s="82" t="s">
        <v>434</v>
      </c>
      <c r="E50" s="82" t="s">
        <v>132</v>
      </c>
      <c r="F50" s="82" t="s">
        <v>404</v>
      </c>
      <c r="G50" s="82">
        <v>336</v>
      </c>
      <c r="H50" s="82" t="s">
        <v>405</v>
      </c>
      <c r="I50" s="82" t="s">
        <v>172</v>
      </c>
      <c r="J50">
        <f t="shared" si="2"/>
        <v>336</v>
      </c>
      <c r="K50">
        <f t="shared" si="3"/>
        <v>0</v>
      </c>
    </row>
    <row r="51" spans="1:11">
      <c r="A51">
        <v>26</v>
      </c>
      <c r="B51" s="84">
        <v>45103</v>
      </c>
      <c r="C51" s="82" t="s">
        <v>411</v>
      </c>
      <c r="D51" s="82" t="s">
        <v>435</v>
      </c>
      <c r="E51" s="82" t="s">
        <v>132</v>
      </c>
      <c r="F51" s="82" t="s">
        <v>404</v>
      </c>
      <c r="G51" s="82">
        <v>271</v>
      </c>
      <c r="H51" s="82" t="s">
        <v>405</v>
      </c>
      <c r="I51" s="82" t="s">
        <v>164</v>
      </c>
      <c r="J51">
        <f t="shared" si="2"/>
        <v>271</v>
      </c>
      <c r="K51">
        <f t="shared" si="3"/>
        <v>0</v>
      </c>
    </row>
    <row r="52" spans="1:11">
      <c r="A52">
        <v>26</v>
      </c>
      <c r="B52" s="84">
        <v>45103</v>
      </c>
      <c r="C52" s="82" t="s">
        <v>411</v>
      </c>
      <c r="D52" s="82" t="s">
        <v>435</v>
      </c>
      <c r="E52" s="82" t="s">
        <v>132</v>
      </c>
      <c r="F52" s="82" t="s">
        <v>406</v>
      </c>
      <c r="G52" s="82">
        <v>20</v>
      </c>
      <c r="H52" s="82" t="s">
        <v>405</v>
      </c>
      <c r="I52" s="82" t="s">
        <v>164</v>
      </c>
      <c r="J52">
        <f t="shared" si="2"/>
        <v>0</v>
      </c>
      <c r="K52">
        <f t="shared" si="3"/>
        <v>20</v>
      </c>
    </row>
    <row r="53" spans="1:11">
      <c r="A53">
        <v>26</v>
      </c>
      <c r="B53" s="84">
        <v>45104</v>
      </c>
      <c r="C53" s="82" t="s">
        <v>411</v>
      </c>
      <c r="D53" s="82" t="s">
        <v>436</v>
      </c>
      <c r="E53" s="82" t="s">
        <v>87</v>
      </c>
      <c r="F53" s="82" t="s">
        <v>406</v>
      </c>
      <c r="G53" s="82">
        <v>1</v>
      </c>
      <c r="H53" s="82" t="s">
        <v>405</v>
      </c>
      <c r="I53" s="82" t="s">
        <v>240</v>
      </c>
      <c r="J53">
        <f t="shared" si="2"/>
        <v>0</v>
      </c>
      <c r="K53">
        <f t="shared" si="3"/>
        <v>1</v>
      </c>
    </row>
    <row r="54" spans="1:11">
      <c r="A54">
        <v>26</v>
      </c>
      <c r="B54" s="84">
        <v>45104</v>
      </c>
      <c r="C54" s="82" t="s">
        <v>411</v>
      </c>
      <c r="D54" s="82" t="s">
        <v>436</v>
      </c>
      <c r="E54" s="82" t="s">
        <v>87</v>
      </c>
      <c r="F54" s="82" t="s">
        <v>404</v>
      </c>
      <c r="G54" s="82">
        <v>10</v>
      </c>
      <c r="H54" s="82" t="s">
        <v>405</v>
      </c>
      <c r="I54" s="82" t="s">
        <v>240</v>
      </c>
      <c r="J54">
        <f t="shared" si="2"/>
        <v>10</v>
      </c>
      <c r="K54">
        <f t="shared" si="3"/>
        <v>0</v>
      </c>
    </row>
    <row r="55" spans="1:11">
      <c r="A55">
        <v>26</v>
      </c>
      <c r="B55" s="84">
        <v>45104</v>
      </c>
      <c r="C55" s="82" t="s">
        <v>411</v>
      </c>
      <c r="D55" s="82" t="s">
        <v>437</v>
      </c>
      <c r="E55" s="82" t="s">
        <v>87</v>
      </c>
      <c r="F55" s="82" t="s">
        <v>404</v>
      </c>
      <c r="G55" s="82">
        <v>27</v>
      </c>
      <c r="H55" s="82" t="s">
        <v>405</v>
      </c>
      <c r="I55" s="82" t="s">
        <v>254</v>
      </c>
      <c r="J55">
        <f t="shared" si="2"/>
        <v>27</v>
      </c>
      <c r="K55">
        <f t="shared" si="3"/>
        <v>0</v>
      </c>
    </row>
    <row r="56" spans="1:11">
      <c r="A56">
        <v>26</v>
      </c>
      <c r="B56" s="84">
        <v>45104</v>
      </c>
      <c r="C56" s="82" t="s">
        <v>411</v>
      </c>
      <c r="D56" s="82" t="s">
        <v>438</v>
      </c>
      <c r="E56" s="82" t="s">
        <v>87</v>
      </c>
      <c r="F56" s="82" t="s">
        <v>406</v>
      </c>
      <c r="G56" s="82">
        <v>17</v>
      </c>
      <c r="H56" s="82" t="s">
        <v>405</v>
      </c>
      <c r="I56" s="82" t="s">
        <v>305</v>
      </c>
      <c r="J56">
        <f t="shared" si="2"/>
        <v>0</v>
      </c>
      <c r="K56">
        <f t="shared" si="3"/>
        <v>17</v>
      </c>
    </row>
    <row r="57" spans="1:11">
      <c r="A57">
        <v>26</v>
      </c>
      <c r="B57" s="84">
        <v>45104</v>
      </c>
      <c r="C57" s="82" t="s">
        <v>411</v>
      </c>
      <c r="D57" s="82" t="s">
        <v>438</v>
      </c>
      <c r="E57" s="82" t="s">
        <v>87</v>
      </c>
      <c r="F57" s="82" t="s">
        <v>404</v>
      </c>
      <c r="G57" s="82">
        <v>452</v>
      </c>
      <c r="H57" s="82" t="s">
        <v>405</v>
      </c>
      <c r="I57" s="82" t="s">
        <v>305</v>
      </c>
      <c r="J57">
        <f t="shared" si="2"/>
        <v>452</v>
      </c>
      <c r="K57">
        <f t="shared" si="3"/>
        <v>0</v>
      </c>
    </row>
    <row r="58" spans="1:11">
      <c r="A58">
        <v>26</v>
      </c>
      <c r="B58" s="84">
        <v>45104</v>
      </c>
      <c r="C58" s="82" t="s">
        <v>411</v>
      </c>
      <c r="D58" s="82" t="s">
        <v>439</v>
      </c>
      <c r="E58" s="82" t="s">
        <v>244</v>
      </c>
      <c r="F58" s="82" t="s">
        <v>404</v>
      </c>
      <c r="G58" s="82">
        <v>67</v>
      </c>
      <c r="H58" s="82" t="s">
        <v>405</v>
      </c>
      <c r="I58" s="82" t="s">
        <v>251</v>
      </c>
      <c r="J58">
        <f t="shared" si="2"/>
        <v>67</v>
      </c>
      <c r="K58">
        <f t="shared" si="3"/>
        <v>0</v>
      </c>
    </row>
    <row r="59" spans="1:11">
      <c r="A59">
        <v>26</v>
      </c>
      <c r="B59" s="84">
        <v>45104</v>
      </c>
      <c r="C59" s="82" t="s">
        <v>411</v>
      </c>
      <c r="D59" s="82" t="s">
        <v>440</v>
      </c>
      <c r="E59" s="82" t="s">
        <v>87</v>
      </c>
      <c r="F59" s="82" t="s">
        <v>404</v>
      </c>
      <c r="G59" s="82">
        <v>91</v>
      </c>
      <c r="H59" s="82" t="s">
        <v>405</v>
      </c>
      <c r="I59" s="82" t="s">
        <v>247</v>
      </c>
      <c r="J59">
        <f t="shared" si="2"/>
        <v>91</v>
      </c>
      <c r="K59">
        <f t="shared" si="3"/>
        <v>0</v>
      </c>
    </row>
    <row r="60" spans="1:11">
      <c r="A60">
        <v>26</v>
      </c>
      <c r="B60" s="84">
        <v>45104</v>
      </c>
      <c r="C60" s="82" t="s">
        <v>411</v>
      </c>
      <c r="D60" s="82" t="s">
        <v>440</v>
      </c>
      <c r="E60" s="82" t="s">
        <v>87</v>
      </c>
      <c r="F60" s="82" t="s">
        <v>406</v>
      </c>
      <c r="G60" s="82">
        <v>1</v>
      </c>
      <c r="H60" s="82" t="s">
        <v>405</v>
      </c>
      <c r="I60" s="82" t="s">
        <v>247</v>
      </c>
      <c r="J60">
        <f t="shared" si="2"/>
        <v>0</v>
      </c>
      <c r="K60">
        <f t="shared" si="3"/>
        <v>1</v>
      </c>
    </row>
    <row r="61" spans="1:11">
      <c r="A61">
        <v>26</v>
      </c>
      <c r="B61" s="84">
        <v>45104</v>
      </c>
      <c r="C61" s="82" t="s">
        <v>411</v>
      </c>
      <c r="D61" s="82" t="s">
        <v>441</v>
      </c>
      <c r="E61" s="82" t="s">
        <v>244</v>
      </c>
      <c r="F61" s="82" t="s">
        <v>404</v>
      </c>
      <c r="G61" s="82">
        <v>11</v>
      </c>
      <c r="H61" s="82" t="s">
        <v>405</v>
      </c>
      <c r="I61" s="82" t="s">
        <v>243</v>
      </c>
      <c r="J61">
        <f t="shared" si="2"/>
        <v>11</v>
      </c>
      <c r="K61">
        <f t="shared" si="3"/>
        <v>0</v>
      </c>
    </row>
    <row r="62" spans="1:11">
      <c r="A62">
        <v>26</v>
      </c>
      <c r="B62" s="84">
        <v>45104</v>
      </c>
      <c r="C62" s="82" t="s">
        <v>411</v>
      </c>
      <c r="D62" s="82" t="s">
        <v>442</v>
      </c>
      <c r="E62" s="82" t="s">
        <v>87</v>
      </c>
      <c r="F62" s="82" t="s">
        <v>404</v>
      </c>
      <c r="G62" s="82">
        <v>30</v>
      </c>
      <c r="H62" s="82" t="s">
        <v>405</v>
      </c>
      <c r="I62" s="82" t="s">
        <v>235</v>
      </c>
      <c r="J62">
        <f t="shared" si="2"/>
        <v>30</v>
      </c>
      <c r="K62">
        <f t="shared" si="3"/>
        <v>0</v>
      </c>
    </row>
    <row r="63" spans="1:11">
      <c r="A63">
        <v>26</v>
      </c>
      <c r="B63" s="84">
        <v>45104</v>
      </c>
      <c r="C63" s="82" t="s">
        <v>411</v>
      </c>
      <c r="D63" s="82" t="s">
        <v>442</v>
      </c>
      <c r="E63" s="82" t="s">
        <v>87</v>
      </c>
      <c r="F63" s="82" t="s">
        <v>406</v>
      </c>
      <c r="G63" s="82">
        <v>2</v>
      </c>
      <c r="H63" s="82" t="s">
        <v>405</v>
      </c>
      <c r="I63" s="82" t="s">
        <v>235</v>
      </c>
      <c r="J63">
        <f t="shared" si="2"/>
        <v>0</v>
      </c>
      <c r="K63">
        <f t="shared" si="3"/>
        <v>2</v>
      </c>
    </row>
    <row r="64" spans="1:11">
      <c r="A64">
        <v>26</v>
      </c>
      <c r="B64" s="84">
        <v>45104</v>
      </c>
      <c r="C64" s="82" t="s">
        <v>411</v>
      </c>
      <c r="D64" s="82" t="s">
        <v>443</v>
      </c>
      <c r="E64" s="82" t="s">
        <v>87</v>
      </c>
      <c r="F64" s="82" t="s">
        <v>404</v>
      </c>
      <c r="G64" s="82">
        <v>179</v>
      </c>
      <c r="H64" s="82" t="s">
        <v>405</v>
      </c>
      <c r="I64" s="82" t="s">
        <v>290</v>
      </c>
      <c r="J64">
        <f t="shared" si="2"/>
        <v>179</v>
      </c>
      <c r="K64">
        <f t="shared" si="3"/>
        <v>0</v>
      </c>
    </row>
    <row r="65" spans="1:11">
      <c r="A65">
        <v>26</v>
      </c>
      <c r="B65" s="84">
        <v>45104</v>
      </c>
      <c r="C65" s="82" t="s">
        <v>411</v>
      </c>
      <c r="D65" s="82" t="s">
        <v>444</v>
      </c>
      <c r="E65" s="82" t="s">
        <v>87</v>
      </c>
      <c r="F65" s="82" t="s">
        <v>404</v>
      </c>
      <c r="G65" s="82">
        <v>11</v>
      </c>
      <c r="H65" s="82" t="s">
        <v>405</v>
      </c>
      <c r="I65" s="82" t="s">
        <v>303</v>
      </c>
      <c r="J65">
        <f t="shared" si="2"/>
        <v>11</v>
      </c>
      <c r="K65">
        <f t="shared" si="3"/>
        <v>0</v>
      </c>
    </row>
    <row r="66" spans="1:11">
      <c r="A66">
        <v>26</v>
      </c>
      <c r="B66" s="84">
        <v>45104</v>
      </c>
      <c r="C66" s="82" t="s">
        <v>411</v>
      </c>
      <c r="D66" s="82" t="s">
        <v>445</v>
      </c>
      <c r="E66" s="82" t="s">
        <v>87</v>
      </c>
      <c r="F66" s="82" t="s">
        <v>406</v>
      </c>
      <c r="G66" s="82">
        <v>9</v>
      </c>
      <c r="H66" s="82" t="s">
        <v>405</v>
      </c>
      <c r="I66" s="82" t="s">
        <v>295</v>
      </c>
      <c r="J66">
        <f t="shared" ref="J66:J97" si="4">IF(F66="Culex tarsalis",G66,0)</f>
        <v>0</v>
      </c>
      <c r="K66">
        <f t="shared" ref="K66:K97" si="5">IF(F66="Culex pipiens",G66,0)</f>
        <v>9</v>
      </c>
    </row>
    <row r="67" spans="1:11">
      <c r="A67">
        <v>26</v>
      </c>
      <c r="B67" s="84">
        <v>45104</v>
      </c>
      <c r="C67" s="82" t="s">
        <v>411</v>
      </c>
      <c r="D67" s="82" t="s">
        <v>445</v>
      </c>
      <c r="E67" s="82" t="s">
        <v>87</v>
      </c>
      <c r="F67" s="82" t="s">
        <v>404</v>
      </c>
      <c r="G67" s="82">
        <v>251</v>
      </c>
      <c r="H67" s="82" t="s">
        <v>405</v>
      </c>
      <c r="I67" s="82" t="s">
        <v>295</v>
      </c>
      <c r="J67">
        <f t="shared" si="4"/>
        <v>251</v>
      </c>
      <c r="K67">
        <f t="shared" si="5"/>
        <v>0</v>
      </c>
    </row>
    <row r="68" spans="1:11">
      <c r="A68">
        <v>26</v>
      </c>
      <c r="B68" s="84">
        <v>45105</v>
      </c>
      <c r="C68" s="82" t="s">
        <v>411</v>
      </c>
      <c r="D68" s="82" t="s">
        <v>446</v>
      </c>
      <c r="E68" s="82" t="s">
        <v>244</v>
      </c>
      <c r="F68" s="82" t="s">
        <v>404</v>
      </c>
      <c r="G68" s="82">
        <v>149</v>
      </c>
      <c r="H68" s="82" t="s">
        <v>405</v>
      </c>
      <c r="I68" s="82" t="s">
        <v>317</v>
      </c>
      <c r="J68">
        <f t="shared" si="4"/>
        <v>149</v>
      </c>
      <c r="K68">
        <f t="shared" si="5"/>
        <v>0</v>
      </c>
    </row>
    <row r="69" spans="1:11">
      <c r="A69">
        <v>26</v>
      </c>
      <c r="B69" s="84">
        <v>45105</v>
      </c>
      <c r="C69" s="82" t="s">
        <v>411</v>
      </c>
      <c r="D69" s="82" t="s">
        <v>446</v>
      </c>
      <c r="E69" s="82" t="s">
        <v>244</v>
      </c>
      <c r="F69" s="82" t="s">
        <v>406</v>
      </c>
      <c r="G69" s="82">
        <v>17</v>
      </c>
      <c r="H69" s="82" t="s">
        <v>405</v>
      </c>
      <c r="I69" s="82" t="s">
        <v>317</v>
      </c>
      <c r="J69">
        <f t="shared" si="4"/>
        <v>0</v>
      </c>
      <c r="K69">
        <f t="shared" si="5"/>
        <v>17</v>
      </c>
    </row>
    <row r="70" spans="1:11">
      <c r="A70">
        <v>26</v>
      </c>
      <c r="B70" s="84">
        <v>45105</v>
      </c>
      <c r="C70" s="82" t="s">
        <v>411</v>
      </c>
      <c r="D70" s="82" t="s">
        <v>447</v>
      </c>
      <c r="E70" s="82" t="s">
        <v>132</v>
      </c>
      <c r="F70" s="82" t="s">
        <v>404</v>
      </c>
      <c r="G70" s="82">
        <v>10</v>
      </c>
      <c r="H70" s="82" t="s">
        <v>405</v>
      </c>
      <c r="I70" s="82" t="s">
        <v>326</v>
      </c>
      <c r="J70">
        <f t="shared" si="4"/>
        <v>10</v>
      </c>
      <c r="K70">
        <f t="shared" si="5"/>
        <v>0</v>
      </c>
    </row>
    <row r="71" spans="1:11">
      <c r="A71">
        <v>26</v>
      </c>
      <c r="B71" s="84">
        <v>45105</v>
      </c>
      <c r="C71" s="82" t="s">
        <v>411</v>
      </c>
      <c r="D71" s="82" t="s">
        <v>448</v>
      </c>
      <c r="E71" s="82" t="s">
        <v>244</v>
      </c>
      <c r="F71" s="82" t="s">
        <v>406</v>
      </c>
      <c r="G71" s="82">
        <v>3</v>
      </c>
      <c r="H71" s="82" t="s">
        <v>405</v>
      </c>
      <c r="I71" s="82" t="s">
        <v>360</v>
      </c>
      <c r="J71">
        <f t="shared" si="4"/>
        <v>0</v>
      </c>
      <c r="K71">
        <f t="shared" si="5"/>
        <v>3</v>
      </c>
    </row>
    <row r="72" spans="1:11">
      <c r="A72">
        <v>26</v>
      </c>
      <c r="B72" s="84">
        <v>45105</v>
      </c>
      <c r="C72" s="82" t="s">
        <v>411</v>
      </c>
      <c r="D72" s="82" t="s">
        <v>448</v>
      </c>
      <c r="E72" s="82" t="s">
        <v>244</v>
      </c>
      <c r="F72" s="82" t="s">
        <v>404</v>
      </c>
      <c r="G72" s="82">
        <v>312</v>
      </c>
      <c r="H72" s="82" t="s">
        <v>405</v>
      </c>
      <c r="I72" s="82" t="s">
        <v>360</v>
      </c>
      <c r="J72">
        <f t="shared" si="4"/>
        <v>312</v>
      </c>
      <c r="K72">
        <f t="shared" si="5"/>
        <v>0</v>
      </c>
    </row>
    <row r="73" spans="1:11">
      <c r="A73">
        <v>26</v>
      </c>
      <c r="B73" s="84">
        <v>45105</v>
      </c>
      <c r="C73" s="82" t="s">
        <v>411</v>
      </c>
      <c r="D73" s="82" t="s">
        <v>449</v>
      </c>
      <c r="E73" s="82" t="s">
        <v>132</v>
      </c>
      <c r="F73" s="82" t="s">
        <v>404</v>
      </c>
      <c r="G73" s="82">
        <v>642</v>
      </c>
      <c r="H73" s="82" t="s">
        <v>405</v>
      </c>
      <c r="I73" s="82" t="s">
        <v>330</v>
      </c>
      <c r="J73">
        <f t="shared" si="4"/>
        <v>642</v>
      </c>
      <c r="K73">
        <f t="shared" si="5"/>
        <v>0</v>
      </c>
    </row>
    <row r="74" spans="1:11">
      <c r="A74">
        <v>26</v>
      </c>
      <c r="B74" s="84">
        <v>45105</v>
      </c>
      <c r="C74" s="82" t="s">
        <v>411</v>
      </c>
      <c r="D74" s="82" t="s">
        <v>449</v>
      </c>
      <c r="E74" s="82" t="s">
        <v>132</v>
      </c>
      <c r="F74" s="82" t="s">
        <v>406</v>
      </c>
      <c r="G74" s="82">
        <v>15</v>
      </c>
      <c r="H74" s="82" t="s">
        <v>405</v>
      </c>
      <c r="I74" s="82" t="s">
        <v>330</v>
      </c>
      <c r="J74">
        <f t="shared" si="4"/>
        <v>0</v>
      </c>
      <c r="K74">
        <f t="shared" si="5"/>
        <v>15</v>
      </c>
    </row>
    <row r="75" spans="1:11">
      <c r="A75">
        <v>26</v>
      </c>
      <c r="B75" s="84">
        <v>45105</v>
      </c>
      <c r="C75" s="82" t="s">
        <v>411</v>
      </c>
      <c r="D75" s="82" t="s">
        <v>450</v>
      </c>
      <c r="E75" s="82" t="s">
        <v>244</v>
      </c>
      <c r="F75" s="82" t="s">
        <v>404</v>
      </c>
      <c r="G75" s="82">
        <v>6</v>
      </c>
      <c r="H75" s="82" t="s">
        <v>405</v>
      </c>
      <c r="I75" s="82" t="s">
        <v>353</v>
      </c>
      <c r="J75">
        <f t="shared" si="4"/>
        <v>6</v>
      </c>
      <c r="K75">
        <f t="shared" si="5"/>
        <v>0</v>
      </c>
    </row>
    <row r="76" spans="1:11">
      <c r="A76">
        <v>26</v>
      </c>
      <c r="B76" s="84">
        <v>45105</v>
      </c>
      <c r="C76" s="82" t="s">
        <v>411</v>
      </c>
      <c r="D76" s="82" t="s">
        <v>451</v>
      </c>
      <c r="E76" s="82" t="s">
        <v>244</v>
      </c>
      <c r="F76" s="82" t="s">
        <v>406</v>
      </c>
      <c r="G76" s="82">
        <v>22</v>
      </c>
      <c r="H76" s="82" t="s">
        <v>405</v>
      </c>
      <c r="I76" s="82" t="s">
        <v>345</v>
      </c>
      <c r="J76">
        <f t="shared" si="4"/>
        <v>0</v>
      </c>
      <c r="K76">
        <f t="shared" si="5"/>
        <v>22</v>
      </c>
    </row>
    <row r="77" spans="1:11">
      <c r="A77">
        <v>26</v>
      </c>
      <c r="B77" s="84">
        <v>45105</v>
      </c>
      <c r="C77" s="82" t="s">
        <v>411</v>
      </c>
      <c r="D77" s="82" t="s">
        <v>451</v>
      </c>
      <c r="E77" s="82" t="s">
        <v>244</v>
      </c>
      <c r="F77" s="82" t="s">
        <v>404</v>
      </c>
      <c r="G77" s="82">
        <v>142</v>
      </c>
      <c r="H77" s="82" t="s">
        <v>405</v>
      </c>
      <c r="I77" s="82" t="s">
        <v>345</v>
      </c>
      <c r="J77">
        <f t="shared" si="4"/>
        <v>142</v>
      </c>
      <c r="K77">
        <f t="shared" si="5"/>
        <v>0</v>
      </c>
    </row>
    <row r="78" spans="1:11">
      <c r="A78">
        <v>26</v>
      </c>
      <c r="B78" s="84">
        <v>45105</v>
      </c>
      <c r="C78" s="82" t="s">
        <v>411</v>
      </c>
      <c r="D78" s="82" t="s">
        <v>452</v>
      </c>
      <c r="E78" s="82" t="s">
        <v>244</v>
      </c>
      <c r="F78" s="82" t="s">
        <v>404</v>
      </c>
      <c r="G78" s="82">
        <v>8</v>
      </c>
      <c r="H78" s="82" t="s">
        <v>405</v>
      </c>
      <c r="I78" s="82" t="s">
        <v>328</v>
      </c>
      <c r="J78">
        <f t="shared" si="4"/>
        <v>8</v>
      </c>
      <c r="K78">
        <f t="shared" si="5"/>
        <v>0</v>
      </c>
    </row>
    <row r="79" spans="1:11">
      <c r="A79">
        <v>26</v>
      </c>
      <c r="B79" s="84">
        <v>45105</v>
      </c>
      <c r="C79" s="82" t="s">
        <v>411</v>
      </c>
      <c r="D79" s="82" t="s">
        <v>453</v>
      </c>
      <c r="E79" s="82" t="s">
        <v>244</v>
      </c>
      <c r="F79" s="82" t="s">
        <v>406</v>
      </c>
      <c r="G79" s="82">
        <v>2</v>
      </c>
      <c r="H79" s="82" t="s">
        <v>405</v>
      </c>
      <c r="I79" s="82" t="s">
        <v>355</v>
      </c>
      <c r="J79">
        <f t="shared" si="4"/>
        <v>0</v>
      </c>
      <c r="K79">
        <f t="shared" si="5"/>
        <v>2</v>
      </c>
    </row>
    <row r="80" spans="1:11">
      <c r="A80">
        <v>26</v>
      </c>
      <c r="B80" s="84">
        <v>45105</v>
      </c>
      <c r="C80" s="82" t="s">
        <v>411</v>
      </c>
      <c r="D80" s="82" t="s">
        <v>453</v>
      </c>
      <c r="E80" s="82" t="s">
        <v>244</v>
      </c>
      <c r="F80" s="82" t="s">
        <v>404</v>
      </c>
      <c r="G80" s="82">
        <v>130</v>
      </c>
      <c r="H80" s="82" t="s">
        <v>405</v>
      </c>
      <c r="I80" s="82" t="s">
        <v>355</v>
      </c>
      <c r="J80">
        <f t="shared" si="4"/>
        <v>130</v>
      </c>
      <c r="K80">
        <f t="shared" si="5"/>
        <v>0</v>
      </c>
    </row>
    <row r="81" spans="1:11">
      <c r="A81">
        <v>26</v>
      </c>
      <c r="B81" s="84">
        <v>45102</v>
      </c>
      <c r="C81" s="82" t="s">
        <v>454</v>
      </c>
      <c r="D81" s="82" t="s">
        <v>455</v>
      </c>
      <c r="E81" s="82" t="s">
        <v>33</v>
      </c>
      <c r="F81" s="82" t="s">
        <v>404</v>
      </c>
      <c r="G81" s="82">
        <v>688</v>
      </c>
      <c r="H81" s="82" t="s">
        <v>405</v>
      </c>
      <c r="I81" s="82" t="s">
        <v>456</v>
      </c>
      <c r="J81">
        <f t="shared" si="4"/>
        <v>688</v>
      </c>
      <c r="K81">
        <f t="shared" si="5"/>
        <v>0</v>
      </c>
    </row>
    <row r="82" spans="1:11">
      <c r="A82">
        <v>26</v>
      </c>
      <c r="B82" s="84">
        <v>45102</v>
      </c>
      <c r="C82" s="82" t="s">
        <v>454</v>
      </c>
      <c r="D82" s="82" t="s">
        <v>457</v>
      </c>
      <c r="E82" s="82" t="s">
        <v>33</v>
      </c>
      <c r="F82" s="82" t="s">
        <v>404</v>
      </c>
      <c r="G82" s="82">
        <v>696</v>
      </c>
      <c r="H82" s="82" t="s">
        <v>405</v>
      </c>
      <c r="I82" s="82" t="s">
        <v>458</v>
      </c>
      <c r="J82">
        <f t="shared" si="4"/>
        <v>696</v>
      </c>
      <c r="K82">
        <f t="shared" si="5"/>
        <v>0</v>
      </c>
    </row>
    <row r="83" spans="1:11">
      <c r="A83">
        <v>26</v>
      </c>
      <c r="B83" s="84">
        <v>45102</v>
      </c>
      <c r="C83" s="82" t="s">
        <v>454</v>
      </c>
      <c r="D83" s="82" t="s">
        <v>459</v>
      </c>
      <c r="E83" s="82" t="s">
        <v>33</v>
      </c>
      <c r="F83" s="82" t="s">
        <v>404</v>
      </c>
      <c r="G83" s="82">
        <v>81</v>
      </c>
      <c r="H83" s="82" t="s">
        <v>405</v>
      </c>
      <c r="I83" s="82" t="s">
        <v>34</v>
      </c>
      <c r="J83">
        <f t="shared" si="4"/>
        <v>81</v>
      </c>
      <c r="K83">
        <f t="shared" si="5"/>
        <v>0</v>
      </c>
    </row>
    <row r="84" spans="1:11">
      <c r="A84">
        <v>26</v>
      </c>
      <c r="B84" s="84">
        <v>45102</v>
      </c>
      <c r="C84" s="82" t="s">
        <v>454</v>
      </c>
      <c r="D84" s="82" t="s">
        <v>460</v>
      </c>
      <c r="E84" s="82" t="s">
        <v>33</v>
      </c>
      <c r="F84" s="82" t="s">
        <v>404</v>
      </c>
      <c r="G84" s="82">
        <v>244</v>
      </c>
      <c r="H84" s="82" t="s">
        <v>405</v>
      </c>
      <c r="I84" s="82" t="s">
        <v>461</v>
      </c>
      <c r="J84">
        <f t="shared" si="4"/>
        <v>244</v>
      </c>
      <c r="K84">
        <f t="shared" si="5"/>
        <v>0</v>
      </c>
    </row>
    <row r="85" spans="1:11">
      <c r="A85">
        <v>26</v>
      </c>
      <c r="B85" s="84">
        <v>45102</v>
      </c>
      <c r="C85" s="82" t="s">
        <v>454</v>
      </c>
      <c r="D85" s="82" t="s">
        <v>462</v>
      </c>
      <c r="E85" s="82" t="s">
        <v>33</v>
      </c>
      <c r="F85" s="82" t="s">
        <v>406</v>
      </c>
      <c r="G85" s="82">
        <v>4</v>
      </c>
      <c r="H85" s="82" t="s">
        <v>405</v>
      </c>
      <c r="I85" s="82" t="s">
        <v>463</v>
      </c>
      <c r="J85">
        <f t="shared" si="4"/>
        <v>0</v>
      </c>
      <c r="K85">
        <f t="shared" si="5"/>
        <v>4</v>
      </c>
    </row>
    <row r="86" spans="1:11">
      <c r="A86">
        <v>26</v>
      </c>
      <c r="B86" s="84">
        <v>45102</v>
      </c>
      <c r="C86" s="82" t="s">
        <v>454</v>
      </c>
      <c r="D86" s="82" t="s">
        <v>462</v>
      </c>
      <c r="E86" s="82" t="s">
        <v>33</v>
      </c>
      <c r="F86" s="82" t="s">
        <v>404</v>
      </c>
      <c r="G86" s="82">
        <v>552</v>
      </c>
      <c r="H86" s="82" t="s">
        <v>405</v>
      </c>
      <c r="I86" s="82" t="s">
        <v>463</v>
      </c>
      <c r="J86">
        <f t="shared" si="4"/>
        <v>552</v>
      </c>
      <c r="K86">
        <f t="shared" si="5"/>
        <v>0</v>
      </c>
    </row>
    <row r="87" spans="1:11">
      <c r="A87">
        <v>26</v>
      </c>
      <c r="B87" s="84">
        <v>45102</v>
      </c>
      <c r="C87" s="82" t="s">
        <v>454</v>
      </c>
      <c r="D87" s="82" t="s">
        <v>464</v>
      </c>
      <c r="E87" s="82" t="s">
        <v>33</v>
      </c>
      <c r="F87" s="82" t="s">
        <v>406</v>
      </c>
      <c r="G87" s="82">
        <v>4</v>
      </c>
      <c r="H87" s="82" t="s">
        <v>405</v>
      </c>
      <c r="I87" s="82" t="s">
        <v>465</v>
      </c>
      <c r="J87">
        <f t="shared" si="4"/>
        <v>0</v>
      </c>
      <c r="K87">
        <f t="shared" si="5"/>
        <v>4</v>
      </c>
    </row>
    <row r="88" spans="1:11">
      <c r="A88">
        <v>26</v>
      </c>
      <c r="B88" s="84">
        <v>45102</v>
      </c>
      <c r="C88" s="82" t="s">
        <v>454</v>
      </c>
      <c r="D88" s="82" t="s">
        <v>464</v>
      </c>
      <c r="E88" s="82" t="s">
        <v>33</v>
      </c>
      <c r="F88" s="82" t="s">
        <v>404</v>
      </c>
      <c r="G88" s="82">
        <v>288</v>
      </c>
      <c r="H88" s="82" t="s">
        <v>405</v>
      </c>
      <c r="I88" s="82" t="s">
        <v>465</v>
      </c>
      <c r="J88">
        <f t="shared" si="4"/>
        <v>288</v>
      </c>
      <c r="K88">
        <f t="shared" si="5"/>
        <v>0</v>
      </c>
    </row>
    <row r="89" spans="1:11">
      <c r="A89">
        <v>26</v>
      </c>
      <c r="B89" s="84">
        <v>45102</v>
      </c>
      <c r="C89" s="82" t="s">
        <v>454</v>
      </c>
      <c r="D89" s="82" t="s">
        <v>466</v>
      </c>
      <c r="E89" s="82" t="s">
        <v>33</v>
      </c>
      <c r="F89" s="82" t="s">
        <v>406</v>
      </c>
      <c r="G89" s="82">
        <v>1</v>
      </c>
      <c r="H89" s="82" t="s">
        <v>405</v>
      </c>
      <c r="I89" s="82" t="s">
        <v>467</v>
      </c>
      <c r="J89">
        <f t="shared" si="4"/>
        <v>0</v>
      </c>
      <c r="K89">
        <f t="shared" si="5"/>
        <v>1</v>
      </c>
    </row>
    <row r="90" spans="1:11">
      <c r="A90">
        <v>26</v>
      </c>
      <c r="B90" s="84">
        <v>45102</v>
      </c>
      <c r="C90" s="82" t="s">
        <v>454</v>
      </c>
      <c r="D90" s="82" t="s">
        <v>466</v>
      </c>
      <c r="E90" s="82" t="s">
        <v>33</v>
      </c>
      <c r="F90" s="82" t="s">
        <v>404</v>
      </c>
      <c r="G90" s="82">
        <v>5</v>
      </c>
      <c r="H90" s="82" t="s">
        <v>405</v>
      </c>
      <c r="I90" s="82" t="s">
        <v>467</v>
      </c>
      <c r="J90">
        <f t="shared" si="4"/>
        <v>5</v>
      </c>
      <c r="K90">
        <f t="shared" si="5"/>
        <v>0</v>
      </c>
    </row>
    <row r="91" spans="1:11">
      <c r="A91">
        <v>26</v>
      </c>
      <c r="B91" s="84">
        <v>45102</v>
      </c>
      <c r="C91" s="82" t="s">
        <v>454</v>
      </c>
      <c r="D91" s="82" t="s">
        <v>468</v>
      </c>
      <c r="E91" s="82" t="s">
        <v>33</v>
      </c>
      <c r="F91" s="82" t="s">
        <v>406</v>
      </c>
      <c r="G91" s="82">
        <v>15</v>
      </c>
      <c r="H91" s="82" t="s">
        <v>405</v>
      </c>
      <c r="I91" s="82" t="s">
        <v>43</v>
      </c>
      <c r="J91">
        <f t="shared" si="4"/>
        <v>0</v>
      </c>
      <c r="K91">
        <f t="shared" si="5"/>
        <v>15</v>
      </c>
    </row>
    <row r="92" spans="1:11">
      <c r="A92">
        <v>26</v>
      </c>
      <c r="B92" s="84">
        <v>45102</v>
      </c>
      <c r="C92" s="82" t="s">
        <v>454</v>
      </c>
      <c r="D92" s="82" t="s">
        <v>468</v>
      </c>
      <c r="E92" s="82" t="s">
        <v>33</v>
      </c>
      <c r="F92" s="82" t="s">
        <v>404</v>
      </c>
      <c r="G92" s="82">
        <v>454</v>
      </c>
      <c r="H92" s="82" t="s">
        <v>405</v>
      </c>
      <c r="I92" s="82" t="s">
        <v>43</v>
      </c>
      <c r="J92">
        <f t="shared" si="4"/>
        <v>454</v>
      </c>
      <c r="K92">
        <f t="shared" si="5"/>
        <v>0</v>
      </c>
    </row>
    <row r="93" spans="1:11">
      <c r="A93">
        <v>26</v>
      </c>
      <c r="B93" s="84">
        <v>45102</v>
      </c>
      <c r="C93" s="82" t="s">
        <v>454</v>
      </c>
      <c r="D93" s="82" t="s">
        <v>469</v>
      </c>
      <c r="E93" s="82" t="s">
        <v>33</v>
      </c>
      <c r="F93" s="82" t="s">
        <v>404</v>
      </c>
      <c r="G93" s="82">
        <v>216</v>
      </c>
      <c r="H93" s="82" t="s">
        <v>405</v>
      </c>
      <c r="I93" s="82" t="s">
        <v>470</v>
      </c>
      <c r="J93">
        <f t="shared" si="4"/>
        <v>216</v>
      </c>
      <c r="K93">
        <f t="shared" si="5"/>
        <v>0</v>
      </c>
    </row>
    <row r="94" spans="1:11">
      <c r="A94">
        <v>26</v>
      </c>
      <c r="B94" s="84">
        <v>45102</v>
      </c>
      <c r="C94" s="82" t="s">
        <v>454</v>
      </c>
      <c r="D94" s="82" t="s">
        <v>471</v>
      </c>
      <c r="E94" s="82" t="s">
        <v>33</v>
      </c>
      <c r="F94" s="82" t="s">
        <v>404</v>
      </c>
      <c r="G94" s="82">
        <v>40</v>
      </c>
      <c r="H94" s="82" t="s">
        <v>405</v>
      </c>
      <c r="I94" s="82" t="s">
        <v>472</v>
      </c>
      <c r="J94">
        <f t="shared" si="4"/>
        <v>40</v>
      </c>
      <c r="K94">
        <f t="shared" si="5"/>
        <v>0</v>
      </c>
    </row>
    <row r="95" spans="1:11">
      <c r="A95">
        <v>26</v>
      </c>
      <c r="B95" s="84">
        <v>45103</v>
      </c>
      <c r="C95" s="82" t="s">
        <v>454</v>
      </c>
      <c r="D95" s="82" t="s">
        <v>473</v>
      </c>
      <c r="E95" s="82" t="s">
        <v>33</v>
      </c>
      <c r="F95" s="82" t="s">
        <v>404</v>
      </c>
      <c r="G95" s="82">
        <v>17</v>
      </c>
      <c r="H95" s="82" t="s">
        <v>405</v>
      </c>
      <c r="I95" s="82" t="s">
        <v>474</v>
      </c>
      <c r="J95">
        <f t="shared" si="4"/>
        <v>17</v>
      </c>
      <c r="K95">
        <f t="shared" si="5"/>
        <v>0</v>
      </c>
    </row>
    <row r="96" spans="1:11">
      <c r="A96">
        <v>26</v>
      </c>
      <c r="B96" s="84">
        <v>45103</v>
      </c>
      <c r="C96" s="82" t="s">
        <v>454</v>
      </c>
      <c r="D96" s="82" t="s">
        <v>475</v>
      </c>
      <c r="E96" s="82" t="s">
        <v>33</v>
      </c>
      <c r="F96" s="82" t="s">
        <v>404</v>
      </c>
      <c r="G96" s="82">
        <v>27</v>
      </c>
      <c r="H96" s="82" t="s">
        <v>405</v>
      </c>
      <c r="I96" s="82" t="s">
        <v>476</v>
      </c>
      <c r="J96">
        <f t="shared" si="4"/>
        <v>27</v>
      </c>
      <c r="K96">
        <f t="shared" si="5"/>
        <v>0</v>
      </c>
    </row>
    <row r="97" spans="1:11">
      <c r="A97">
        <v>26</v>
      </c>
      <c r="B97" s="84">
        <v>45103</v>
      </c>
      <c r="C97" s="82" t="s">
        <v>454</v>
      </c>
      <c r="D97" s="82" t="s">
        <v>475</v>
      </c>
      <c r="E97" s="82" t="s">
        <v>33</v>
      </c>
      <c r="F97" s="82" t="s">
        <v>406</v>
      </c>
      <c r="G97" s="82">
        <v>1</v>
      </c>
      <c r="H97" s="82" t="s">
        <v>405</v>
      </c>
      <c r="I97" s="82" t="s">
        <v>476</v>
      </c>
      <c r="J97">
        <f t="shared" si="4"/>
        <v>0</v>
      </c>
      <c r="K97">
        <f t="shared" si="5"/>
        <v>1</v>
      </c>
    </row>
    <row r="98" spans="1:11">
      <c r="A98">
        <v>26</v>
      </c>
      <c r="B98" s="84">
        <v>45103</v>
      </c>
      <c r="C98" s="82" t="s">
        <v>454</v>
      </c>
      <c r="D98" s="82" t="s">
        <v>477</v>
      </c>
      <c r="E98" s="82" t="s">
        <v>33</v>
      </c>
      <c r="F98" s="82" t="s">
        <v>404</v>
      </c>
      <c r="G98" s="82">
        <v>579</v>
      </c>
      <c r="H98" s="82" t="s">
        <v>405</v>
      </c>
      <c r="I98" s="82" t="s">
        <v>143</v>
      </c>
      <c r="J98">
        <f t="shared" ref="J98:J129" si="6">IF(F98="Culex tarsalis",G98,0)</f>
        <v>579</v>
      </c>
      <c r="K98">
        <f t="shared" ref="K98:K129" si="7">IF(F98="Culex pipiens",G98,0)</f>
        <v>0</v>
      </c>
    </row>
    <row r="99" spans="1:11">
      <c r="A99">
        <v>26</v>
      </c>
      <c r="B99" s="84">
        <v>45103</v>
      </c>
      <c r="C99" s="82" t="s">
        <v>454</v>
      </c>
      <c r="D99" s="82" t="s">
        <v>478</v>
      </c>
      <c r="E99" s="82" t="s">
        <v>33</v>
      </c>
      <c r="F99" s="82" t="s">
        <v>404</v>
      </c>
      <c r="G99" s="82">
        <v>252</v>
      </c>
      <c r="H99" s="82" t="s">
        <v>405</v>
      </c>
      <c r="I99" s="82" t="s">
        <v>479</v>
      </c>
      <c r="J99">
        <f t="shared" si="6"/>
        <v>252</v>
      </c>
      <c r="K99">
        <f t="shared" si="7"/>
        <v>0</v>
      </c>
    </row>
    <row r="100" spans="1:11">
      <c r="A100">
        <v>26</v>
      </c>
      <c r="B100" s="84">
        <v>45103</v>
      </c>
      <c r="C100" s="82" t="s">
        <v>454</v>
      </c>
      <c r="D100" s="82" t="s">
        <v>478</v>
      </c>
      <c r="E100" s="82" t="s">
        <v>33</v>
      </c>
      <c r="F100" s="82" t="s">
        <v>406</v>
      </c>
      <c r="G100" s="82">
        <v>8</v>
      </c>
      <c r="H100" s="82" t="s">
        <v>405</v>
      </c>
      <c r="I100" s="82" t="s">
        <v>479</v>
      </c>
      <c r="J100">
        <f t="shared" si="6"/>
        <v>0</v>
      </c>
      <c r="K100">
        <f t="shared" si="7"/>
        <v>8</v>
      </c>
    </row>
    <row r="101" spans="1:11">
      <c r="A101">
        <v>26</v>
      </c>
      <c r="B101" s="84">
        <v>45103</v>
      </c>
      <c r="C101" s="82" t="s">
        <v>454</v>
      </c>
      <c r="D101" s="82" t="s">
        <v>480</v>
      </c>
      <c r="E101" s="82" t="s">
        <v>33</v>
      </c>
      <c r="F101" s="82" t="s">
        <v>404</v>
      </c>
      <c r="G101" s="82">
        <v>127</v>
      </c>
      <c r="H101" s="82" t="s">
        <v>405</v>
      </c>
      <c r="I101" s="82" t="s">
        <v>126</v>
      </c>
      <c r="J101">
        <f t="shared" si="6"/>
        <v>127</v>
      </c>
      <c r="K101">
        <f t="shared" si="7"/>
        <v>0</v>
      </c>
    </row>
    <row r="102" spans="1:11">
      <c r="A102">
        <v>26</v>
      </c>
      <c r="B102" s="84">
        <v>45103</v>
      </c>
      <c r="C102" s="82" t="s">
        <v>454</v>
      </c>
      <c r="D102" s="82" t="s">
        <v>480</v>
      </c>
      <c r="E102" s="82" t="s">
        <v>33</v>
      </c>
      <c r="F102" s="82" t="s">
        <v>406</v>
      </c>
      <c r="G102" s="82">
        <v>6</v>
      </c>
      <c r="H102" s="82" t="s">
        <v>405</v>
      </c>
      <c r="I102" s="82" t="s">
        <v>126</v>
      </c>
      <c r="J102">
        <f t="shared" si="6"/>
        <v>0</v>
      </c>
      <c r="K102">
        <f t="shared" si="7"/>
        <v>6</v>
      </c>
    </row>
    <row r="103" spans="1:11">
      <c r="A103">
        <v>26</v>
      </c>
      <c r="B103" s="84">
        <v>45103</v>
      </c>
      <c r="C103" s="82" t="s">
        <v>454</v>
      </c>
      <c r="D103" s="82" t="s">
        <v>481</v>
      </c>
      <c r="E103" s="82" t="s">
        <v>33</v>
      </c>
      <c r="F103" s="82" t="s">
        <v>404</v>
      </c>
      <c r="G103" s="82">
        <v>23</v>
      </c>
      <c r="H103" s="82" t="s">
        <v>405</v>
      </c>
      <c r="I103" s="82" t="s">
        <v>124</v>
      </c>
      <c r="J103">
        <f t="shared" si="6"/>
        <v>23</v>
      </c>
      <c r="K103">
        <f t="shared" si="7"/>
        <v>0</v>
      </c>
    </row>
    <row r="104" spans="1:11">
      <c r="A104">
        <v>26</v>
      </c>
      <c r="B104" s="84">
        <v>45103</v>
      </c>
      <c r="C104" s="82" t="s">
        <v>454</v>
      </c>
      <c r="D104" s="82" t="s">
        <v>482</v>
      </c>
      <c r="E104" s="82" t="s">
        <v>33</v>
      </c>
      <c r="F104" s="82" t="s">
        <v>406</v>
      </c>
      <c r="G104" s="82">
        <v>3</v>
      </c>
      <c r="H104" s="82" t="s">
        <v>405</v>
      </c>
      <c r="I104" s="82" t="s">
        <v>483</v>
      </c>
      <c r="J104">
        <f t="shared" si="6"/>
        <v>0</v>
      </c>
      <c r="K104">
        <f t="shared" si="7"/>
        <v>3</v>
      </c>
    </row>
    <row r="105" spans="1:11">
      <c r="A105">
        <v>26</v>
      </c>
      <c r="B105" s="84">
        <v>45103</v>
      </c>
      <c r="C105" s="82" t="s">
        <v>454</v>
      </c>
      <c r="D105" s="82" t="s">
        <v>482</v>
      </c>
      <c r="E105" s="82" t="s">
        <v>33</v>
      </c>
      <c r="F105" s="82" t="s">
        <v>404</v>
      </c>
      <c r="G105" s="82">
        <v>53</v>
      </c>
      <c r="H105" s="82" t="s">
        <v>405</v>
      </c>
      <c r="I105" s="82" t="s">
        <v>483</v>
      </c>
      <c r="J105">
        <f t="shared" si="6"/>
        <v>53</v>
      </c>
      <c r="K105">
        <f t="shared" si="7"/>
        <v>0</v>
      </c>
    </row>
    <row r="106" spans="1:11">
      <c r="A106">
        <v>26</v>
      </c>
      <c r="B106" s="84">
        <v>45103</v>
      </c>
      <c r="C106" s="82" t="s">
        <v>454</v>
      </c>
      <c r="D106" s="82" t="s">
        <v>484</v>
      </c>
      <c r="E106" s="82" t="s">
        <v>33</v>
      </c>
      <c r="F106" s="82" t="s">
        <v>406</v>
      </c>
      <c r="G106" s="82">
        <v>1</v>
      </c>
      <c r="H106" s="82" t="s">
        <v>405</v>
      </c>
      <c r="I106" s="82" t="s">
        <v>485</v>
      </c>
      <c r="J106">
        <f t="shared" si="6"/>
        <v>0</v>
      </c>
      <c r="K106">
        <f t="shared" si="7"/>
        <v>1</v>
      </c>
    </row>
    <row r="107" spans="1:11">
      <c r="A107">
        <v>26</v>
      </c>
      <c r="B107" s="84">
        <v>45103</v>
      </c>
      <c r="C107" s="82" t="s">
        <v>454</v>
      </c>
      <c r="D107" s="82" t="s">
        <v>484</v>
      </c>
      <c r="E107" s="82" t="s">
        <v>33</v>
      </c>
      <c r="F107" s="82" t="s">
        <v>404</v>
      </c>
      <c r="G107" s="82">
        <v>15</v>
      </c>
      <c r="H107" s="82" t="s">
        <v>405</v>
      </c>
      <c r="I107" s="82" t="s">
        <v>485</v>
      </c>
      <c r="J107">
        <f t="shared" si="6"/>
        <v>15</v>
      </c>
      <c r="K107">
        <f t="shared" si="7"/>
        <v>0</v>
      </c>
    </row>
    <row r="108" spans="1:11">
      <c r="A108">
        <v>26</v>
      </c>
      <c r="B108" s="84">
        <v>45103</v>
      </c>
      <c r="C108" s="82" t="s">
        <v>454</v>
      </c>
      <c r="D108" s="82" t="s">
        <v>486</v>
      </c>
      <c r="E108" s="82" t="s">
        <v>33</v>
      </c>
      <c r="F108" s="82" t="s">
        <v>404</v>
      </c>
      <c r="G108" s="82">
        <v>8</v>
      </c>
      <c r="H108" s="82" t="s">
        <v>405</v>
      </c>
      <c r="I108" s="82" t="s">
        <v>487</v>
      </c>
      <c r="J108">
        <f t="shared" si="6"/>
        <v>8</v>
      </c>
      <c r="K108">
        <f t="shared" si="7"/>
        <v>0</v>
      </c>
    </row>
    <row r="109" spans="1:11">
      <c r="A109">
        <v>26</v>
      </c>
      <c r="B109" s="84">
        <v>45103</v>
      </c>
      <c r="C109" s="82" t="s">
        <v>454</v>
      </c>
      <c r="D109" s="82" t="s">
        <v>488</v>
      </c>
      <c r="E109" s="82" t="s">
        <v>33</v>
      </c>
      <c r="F109" s="82" t="s">
        <v>404</v>
      </c>
      <c r="G109" s="82">
        <v>1072</v>
      </c>
      <c r="H109" s="82" t="s">
        <v>405</v>
      </c>
      <c r="I109" s="82" t="s">
        <v>489</v>
      </c>
      <c r="J109">
        <f t="shared" si="6"/>
        <v>1072</v>
      </c>
      <c r="K109">
        <f t="shared" si="7"/>
        <v>0</v>
      </c>
    </row>
    <row r="110" spans="1:11">
      <c r="A110">
        <v>26</v>
      </c>
      <c r="B110" s="84">
        <v>45103</v>
      </c>
      <c r="C110" s="82" t="s">
        <v>454</v>
      </c>
      <c r="D110" s="82" t="s">
        <v>488</v>
      </c>
      <c r="E110" s="82" t="s">
        <v>33</v>
      </c>
      <c r="F110" s="82" t="s">
        <v>406</v>
      </c>
      <c r="G110" s="82">
        <v>64</v>
      </c>
      <c r="H110" s="82" t="s">
        <v>405</v>
      </c>
      <c r="I110" s="82" t="s">
        <v>489</v>
      </c>
      <c r="J110">
        <f t="shared" si="6"/>
        <v>0</v>
      </c>
      <c r="K110">
        <f t="shared" si="7"/>
        <v>64</v>
      </c>
    </row>
    <row r="111" spans="1:11">
      <c r="A111">
        <v>26</v>
      </c>
      <c r="B111" s="84">
        <v>45103</v>
      </c>
      <c r="C111" s="82" t="s">
        <v>454</v>
      </c>
      <c r="D111" s="82" t="s">
        <v>490</v>
      </c>
      <c r="E111" s="82" t="s">
        <v>33</v>
      </c>
      <c r="F111" s="82" t="s">
        <v>406</v>
      </c>
      <c r="G111" s="82">
        <v>8</v>
      </c>
      <c r="H111" s="82" t="s">
        <v>405</v>
      </c>
      <c r="I111" s="82" t="s">
        <v>491</v>
      </c>
      <c r="J111">
        <f t="shared" si="6"/>
        <v>0</v>
      </c>
      <c r="K111">
        <f t="shared" si="7"/>
        <v>8</v>
      </c>
    </row>
    <row r="112" spans="1:11">
      <c r="A112">
        <v>26</v>
      </c>
      <c r="B112" s="84">
        <v>45103</v>
      </c>
      <c r="C112" s="82" t="s">
        <v>454</v>
      </c>
      <c r="D112" s="82" t="s">
        <v>490</v>
      </c>
      <c r="E112" s="82" t="s">
        <v>33</v>
      </c>
      <c r="F112" s="82" t="s">
        <v>404</v>
      </c>
      <c r="G112" s="82">
        <v>56</v>
      </c>
      <c r="H112" s="82" t="s">
        <v>405</v>
      </c>
      <c r="I112" s="82" t="s">
        <v>491</v>
      </c>
      <c r="J112">
        <f t="shared" si="6"/>
        <v>56</v>
      </c>
      <c r="K112">
        <f t="shared" si="7"/>
        <v>0</v>
      </c>
    </row>
    <row r="113" spans="1:11">
      <c r="A113">
        <v>26</v>
      </c>
      <c r="B113" s="84">
        <v>45104</v>
      </c>
      <c r="C113" s="82" t="s">
        <v>454</v>
      </c>
      <c r="D113" s="82" t="s">
        <v>492</v>
      </c>
      <c r="E113" s="82" t="s">
        <v>33</v>
      </c>
      <c r="F113" s="82" t="s">
        <v>404</v>
      </c>
      <c r="G113" s="82">
        <v>16</v>
      </c>
      <c r="H113" s="82" t="s">
        <v>405</v>
      </c>
      <c r="I113" s="82" t="s">
        <v>493</v>
      </c>
      <c r="J113">
        <f t="shared" si="6"/>
        <v>16</v>
      </c>
      <c r="K113">
        <f t="shared" si="7"/>
        <v>0</v>
      </c>
    </row>
    <row r="114" spans="1:11">
      <c r="A114">
        <v>26</v>
      </c>
      <c r="B114" s="84">
        <v>45104</v>
      </c>
      <c r="C114" s="82" t="s">
        <v>454</v>
      </c>
      <c r="D114" s="82" t="s">
        <v>494</v>
      </c>
      <c r="E114" s="82" t="s">
        <v>33</v>
      </c>
      <c r="F114" s="82" t="s">
        <v>404</v>
      </c>
      <c r="G114" s="82">
        <v>495</v>
      </c>
      <c r="H114" s="82" t="s">
        <v>405</v>
      </c>
      <c r="I114" s="82" t="s">
        <v>279</v>
      </c>
      <c r="J114">
        <f t="shared" si="6"/>
        <v>495</v>
      </c>
      <c r="K114">
        <f t="shared" si="7"/>
        <v>0</v>
      </c>
    </row>
    <row r="115" spans="1:11">
      <c r="A115">
        <v>26</v>
      </c>
      <c r="B115" s="84">
        <v>45104</v>
      </c>
      <c r="C115" s="82" t="s">
        <v>454</v>
      </c>
      <c r="D115" s="82" t="s">
        <v>495</v>
      </c>
      <c r="E115" s="82" t="s">
        <v>33</v>
      </c>
      <c r="F115" s="82" t="s">
        <v>404</v>
      </c>
      <c r="G115" s="82">
        <v>100</v>
      </c>
      <c r="H115" s="82" t="s">
        <v>405</v>
      </c>
      <c r="I115" s="82" t="s">
        <v>496</v>
      </c>
      <c r="J115">
        <f t="shared" si="6"/>
        <v>100</v>
      </c>
      <c r="K115">
        <f t="shared" si="7"/>
        <v>0</v>
      </c>
    </row>
    <row r="116" spans="1:11">
      <c r="A116">
        <v>26</v>
      </c>
      <c r="B116" s="84">
        <v>45104</v>
      </c>
      <c r="C116" s="82" t="s">
        <v>454</v>
      </c>
      <c r="D116" s="82" t="s">
        <v>497</v>
      </c>
      <c r="E116" s="82" t="s">
        <v>33</v>
      </c>
      <c r="F116" s="82" t="s">
        <v>404</v>
      </c>
      <c r="G116" s="82">
        <v>312</v>
      </c>
      <c r="H116" s="82" t="s">
        <v>405</v>
      </c>
      <c r="I116" s="82" t="s">
        <v>498</v>
      </c>
      <c r="J116">
        <f t="shared" si="6"/>
        <v>312</v>
      </c>
      <c r="K116">
        <f t="shared" si="7"/>
        <v>0</v>
      </c>
    </row>
    <row r="117" spans="1:11">
      <c r="A117">
        <v>26</v>
      </c>
      <c r="B117" s="84">
        <v>45104</v>
      </c>
      <c r="C117" s="82" t="s">
        <v>454</v>
      </c>
      <c r="D117" s="82" t="s">
        <v>497</v>
      </c>
      <c r="E117" s="82" t="s">
        <v>33</v>
      </c>
      <c r="F117" s="82" t="s">
        <v>406</v>
      </c>
      <c r="G117" s="82">
        <v>12</v>
      </c>
      <c r="H117" s="82" t="s">
        <v>405</v>
      </c>
      <c r="I117" s="82" t="s">
        <v>498</v>
      </c>
      <c r="J117">
        <f t="shared" si="6"/>
        <v>0</v>
      </c>
      <c r="K117">
        <f t="shared" si="7"/>
        <v>12</v>
      </c>
    </row>
    <row r="118" spans="1:11">
      <c r="A118">
        <v>26</v>
      </c>
      <c r="B118" s="84">
        <v>45104</v>
      </c>
      <c r="C118" s="82" t="s">
        <v>454</v>
      </c>
      <c r="D118" s="82" t="s">
        <v>499</v>
      </c>
      <c r="E118" s="82" t="s">
        <v>33</v>
      </c>
      <c r="F118" s="82" t="s">
        <v>406</v>
      </c>
      <c r="G118" s="82">
        <v>16</v>
      </c>
      <c r="H118" s="82" t="s">
        <v>405</v>
      </c>
      <c r="I118" s="82" t="s">
        <v>500</v>
      </c>
      <c r="J118">
        <f t="shared" si="6"/>
        <v>0</v>
      </c>
      <c r="K118">
        <f t="shared" si="7"/>
        <v>16</v>
      </c>
    </row>
    <row r="119" spans="1:11">
      <c r="A119">
        <v>26</v>
      </c>
      <c r="B119" s="84">
        <v>45104</v>
      </c>
      <c r="C119" s="82" t="s">
        <v>454</v>
      </c>
      <c r="D119" s="82" t="s">
        <v>499</v>
      </c>
      <c r="E119" s="82" t="s">
        <v>33</v>
      </c>
      <c r="F119" s="82" t="s">
        <v>404</v>
      </c>
      <c r="G119" s="82">
        <v>280</v>
      </c>
      <c r="H119" s="82" t="s">
        <v>405</v>
      </c>
      <c r="I119" s="82" t="s">
        <v>500</v>
      </c>
      <c r="J119">
        <f t="shared" si="6"/>
        <v>280</v>
      </c>
      <c r="K119">
        <f t="shared" si="7"/>
        <v>0</v>
      </c>
    </row>
    <row r="120" spans="1:11">
      <c r="A120">
        <v>26</v>
      </c>
      <c r="B120" s="84">
        <v>45104</v>
      </c>
      <c r="C120" s="82" t="s">
        <v>454</v>
      </c>
      <c r="D120" s="82" t="s">
        <v>501</v>
      </c>
      <c r="E120" s="82" t="s">
        <v>33</v>
      </c>
      <c r="F120" s="82" t="s">
        <v>404</v>
      </c>
      <c r="G120" s="82">
        <v>464</v>
      </c>
      <c r="H120" s="82" t="s">
        <v>405</v>
      </c>
      <c r="I120" s="82" t="s">
        <v>502</v>
      </c>
      <c r="J120">
        <f t="shared" si="6"/>
        <v>464</v>
      </c>
      <c r="K120">
        <f t="shared" si="7"/>
        <v>0</v>
      </c>
    </row>
    <row r="121" spans="1:11">
      <c r="A121">
        <v>26</v>
      </c>
      <c r="B121" s="84">
        <v>45104</v>
      </c>
      <c r="C121" s="82" t="s">
        <v>454</v>
      </c>
      <c r="D121" s="82" t="s">
        <v>503</v>
      </c>
      <c r="E121" s="82" t="s">
        <v>33</v>
      </c>
      <c r="F121" s="82" t="s">
        <v>404</v>
      </c>
      <c r="G121" s="82">
        <v>108</v>
      </c>
      <c r="H121" s="82" t="s">
        <v>405</v>
      </c>
      <c r="I121" s="82" t="s">
        <v>504</v>
      </c>
      <c r="J121">
        <f t="shared" si="6"/>
        <v>108</v>
      </c>
      <c r="K121">
        <f t="shared" si="7"/>
        <v>0</v>
      </c>
    </row>
    <row r="122" spans="1:11">
      <c r="A122">
        <v>26</v>
      </c>
      <c r="B122" s="84">
        <v>45104</v>
      </c>
      <c r="C122" s="82" t="s">
        <v>454</v>
      </c>
      <c r="D122" s="82" t="s">
        <v>505</v>
      </c>
      <c r="E122" s="82" t="s">
        <v>33</v>
      </c>
      <c r="F122" s="82" t="s">
        <v>404</v>
      </c>
      <c r="G122" s="82">
        <v>204</v>
      </c>
      <c r="H122" s="82" t="s">
        <v>405</v>
      </c>
      <c r="I122" s="82" t="s">
        <v>506</v>
      </c>
      <c r="J122">
        <f t="shared" si="6"/>
        <v>204</v>
      </c>
      <c r="K122">
        <f t="shared" si="7"/>
        <v>0</v>
      </c>
    </row>
    <row r="123" spans="1:11">
      <c r="A123">
        <v>26</v>
      </c>
      <c r="B123" s="84">
        <v>45105</v>
      </c>
      <c r="C123" s="82" t="s">
        <v>454</v>
      </c>
      <c r="D123" s="82" t="s">
        <v>507</v>
      </c>
      <c r="E123" s="82" t="s">
        <v>33</v>
      </c>
      <c r="F123" s="82" t="s">
        <v>404</v>
      </c>
      <c r="G123" s="82">
        <v>161</v>
      </c>
      <c r="H123" s="82" t="s">
        <v>405</v>
      </c>
      <c r="I123" s="82" t="s">
        <v>508</v>
      </c>
      <c r="J123">
        <f t="shared" si="6"/>
        <v>161</v>
      </c>
      <c r="K123">
        <f t="shared" si="7"/>
        <v>0</v>
      </c>
    </row>
    <row r="124" spans="1:11">
      <c r="A124">
        <v>26</v>
      </c>
      <c r="B124" s="84">
        <v>45105</v>
      </c>
      <c r="C124" s="82" t="s">
        <v>454</v>
      </c>
      <c r="D124" s="82" t="s">
        <v>509</v>
      </c>
      <c r="E124" s="82" t="s">
        <v>33</v>
      </c>
      <c r="F124" s="82" t="s">
        <v>404</v>
      </c>
      <c r="G124" s="82">
        <v>312</v>
      </c>
      <c r="H124" s="82" t="s">
        <v>405</v>
      </c>
      <c r="I124" s="82" t="s">
        <v>510</v>
      </c>
      <c r="J124">
        <f t="shared" si="6"/>
        <v>312</v>
      </c>
      <c r="K124">
        <f t="shared" si="7"/>
        <v>0</v>
      </c>
    </row>
    <row r="125" spans="1:11">
      <c r="A125">
        <v>26</v>
      </c>
      <c r="B125" s="84">
        <v>45105</v>
      </c>
      <c r="C125" s="82" t="s">
        <v>454</v>
      </c>
      <c r="D125" s="82" t="s">
        <v>509</v>
      </c>
      <c r="E125" s="82" t="s">
        <v>33</v>
      </c>
      <c r="F125" s="82" t="s">
        <v>406</v>
      </c>
      <c r="G125" s="82">
        <v>8</v>
      </c>
      <c r="H125" s="82" t="s">
        <v>405</v>
      </c>
      <c r="I125" s="82" t="s">
        <v>510</v>
      </c>
      <c r="J125">
        <f t="shared" si="6"/>
        <v>0</v>
      </c>
      <c r="K125">
        <f t="shared" si="7"/>
        <v>8</v>
      </c>
    </row>
    <row r="126" spans="1:11">
      <c r="A126">
        <v>26</v>
      </c>
      <c r="B126" s="84">
        <v>45105</v>
      </c>
      <c r="C126" s="82" t="s">
        <v>454</v>
      </c>
      <c r="D126" s="82" t="s">
        <v>511</v>
      </c>
      <c r="E126" s="82" t="s">
        <v>33</v>
      </c>
      <c r="F126" s="82" t="s">
        <v>404</v>
      </c>
      <c r="G126" s="82">
        <v>22</v>
      </c>
      <c r="H126" s="82" t="s">
        <v>405</v>
      </c>
      <c r="I126" s="82" t="s">
        <v>512</v>
      </c>
      <c r="J126">
        <f t="shared" si="6"/>
        <v>22</v>
      </c>
      <c r="K126">
        <f t="shared" si="7"/>
        <v>0</v>
      </c>
    </row>
    <row r="127" spans="1:11">
      <c r="A127">
        <v>26</v>
      </c>
      <c r="B127" s="84">
        <v>45105</v>
      </c>
      <c r="C127" s="82" t="s">
        <v>454</v>
      </c>
      <c r="D127" s="82" t="s">
        <v>513</v>
      </c>
      <c r="E127" s="82" t="s">
        <v>33</v>
      </c>
      <c r="F127" s="82" t="s">
        <v>404</v>
      </c>
      <c r="G127" s="82">
        <v>38</v>
      </c>
      <c r="H127" s="82" t="s">
        <v>405</v>
      </c>
      <c r="I127" s="82" t="s">
        <v>514</v>
      </c>
      <c r="J127">
        <f t="shared" si="6"/>
        <v>38</v>
      </c>
      <c r="K127">
        <f t="shared" si="7"/>
        <v>0</v>
      </c>
    </row>
    <row r="128" spans="1:11">
      <c r="A128">
        <v>26</v>
      </c>
      <c r="B128" s="84">
        <v>45105</v>
      </c>
      <c r="C128" s="82" t="s">
        <v>454</v>
      </c>
      <c r="D128" s="82" t="s">
        <v>515</v>
      </c>
      <c r="E128" s="82" t="s">
        <v>33</v>
      </c>
      <c r="F128" s="82" t="s">
        <v>404</v>
      </c>
      <c r="G128" s="82">
        <v>172</v>
      </c>
      <c r="H128" s="82" t="s">
        <v>405</v>
      </c>
      <c r="I128" s="82" t="s">
        <v>516</v>
      </c>
      <c r="J128">
        <f t="shared" si="6"/>
        <v>172</v>
      </c>
      <c r="K128">
        <f t="shared" si="7"/>
        <v>0</v>
      </c>
    </row>
    <row r="129" spans="1:11">
      <c r="A129">
        <v>26</v>
      </c>
      <c r="B129" s="84">
        <v>45105</v>
      </c>
      <c r="C129" s="82" t="s">
        <v>454</v>
      </c>
      <c r="D129" s="82" t="s">
        <v>517</v>
      </c>
      <c r="E129" s="82" t="s">
        <v>33</v>
      </c>
      <c r="F129" s="82" t="s">
        <v>404</v>
      </c>
      <c r="G129" s="82">
        <v>284</v>
      </c>
      <c r="H129" s="82" t="s">
        <v>405</v>
      </c>
      <c r="I129" s="82" t="s">
        <v>518</v>
      </c>
      <c r="J129">
        <f t="shared" si="6"/>
        <v>284</v>
      </c>
      <c r="K129">
        <f t="shared" si="7"/>
        <v>0</v>
      </c>
    </row>
    <row r="130" spans="1:11">
      <c r="A130">
        <v>26</v>
      </c>
      <c r="B130" s="84">
        <v>45105</v>
      </c>
      <c r="C130" s="82" t="s">
        <v>454</v>
      </c>
      <c r="D130" s="82" t="s">
        <v>519</v>
      </c>
      <c r="E130" s="82" t="s">
        <v>33</v>
      </c>
      <c r="F130" s="82" t="s">
        <v>406</v>
      </c>
      <c r="G130" s="82">
        <v>2</v>
      </c>
      <c r="H130" s="82" t="s">
        <v>405</v>
      </c>
      <c r="I130" s="82" t="s">
        <v>520</v>
      </c>
      <c r="J130">
        <f t="shared" ref="J130:J145" si="8">IF(F130="Culex tarsalis",G130,0)</f>
        <v>0</v>
      </c>
      <c r="K130">
        <f t="shared" ref="K130:K145" si="9">IF(F130="Culex pipiens",G130,0)</f>
        <v>2</v>
      </c>
    </row>
    <row r="131" spans="1:11">
      <c r="A131">
        <v>26</v>
      </c>
      <c r="B131" s="84">
        <v>45105</v>
      </c>
      <c r="C131" s="82" t="s">
        <v>454</v>
      </c>
      <c r="D131" s="82" t="s">
        <v>519</v>
      </c>
      <c r="E131" s="82" t="s">
        <v>33</v>
      </c>
      <c r="F131" s="82" t="s">
        <v>404</v>
      </c>
      <c r="G131" s="82">
        <v>86</v>
      </c>
      <c r="H131" s="82" t="s">
        <v>405</v>
      </c>
      <c r="I131" s="82" t="s">
        <v>520</v>
      </c>
      <c r="J131">
        <f t="shared" si="8"/>
        <v>86</v>
      </c>
      <c r="K131">
        <f t="shared" si="9"/>
        <v>0</v>
      </c>
    </row>
    <row r="132" spans="1:11">
      <c r="A132">
        <v>26</v>
      </c>
      <c r="B132" s="84">
        <v>45105</v>
      </c>
      <c r="C132" s="82" t="s">
        <v>454</v>
      </c>
      <c r="D132" s="82" t="s">
        <v>521</v>
      </c>
      <c r="E132" s="82" t="s">
        <v>33</v>
      </c>
      <c r="F132" s="82" t="s">
        <v>404</v>
      </c>
      <c r="G132" s="82">
        <v>85</v>
      </c>
      <c r="H132" s="82" t="s">
        <v>405</v>
      </c>
      <c r="I132" s="82" t="s">
        <v>522</v>
      </c>
      <c r="J132">
        <f t="shared" si="8"/>
        <v>85</v>
      </c>
      <c r="K132">
        <f t="shared" si="9"/>
        <v>0</v>
      </c>
    </row>
    <row r="133" spans="1:11">
      <c r="A133">
        <v>26</v>
      </c>
      <c r="B133" s="84">
        <v>45105</v>
      </c>
      <c r="C133" s="82" t="s">
        <v>454</v>
      </c>
      <c r="D133" s="82" t="s">
        <v>521</v>
      </c>
      <c r="E133" s="82" t="s">
        <v>33</v>
      </c>
      <c r="F133" s="82" t="s">
        <v>406</v>
      </c>
      <c r="G133" s="82">
        <v>6</v>
      </c>
      <c r="H133" s="82" t="s">
        <v>405</v>
      </c>
      <c r="I133" s="82" t="s">
        <v>522</v>
      </c>
      <c r="J133">
        <f t="shared" si="8"/>
        <v>0</v>
      </c>
      <c r="K133">
        <f t="shared" si="9"/>
        <v>6</v>
      </c>
    </row>
    <row r="134" spans="1:11">
      <c r="A134">
        <v>26</v>
      </c>
      <c r="B134" s="84">
        <v>45102</v>
      </c>
      <c r="C134" s="82" t="s">
        <v>523</v>
      </c>
      <c r="D134" s="82" t="s">
        <v>524</v>
      </c>
      <c r="E134" s="82" t="s">
        <v>525</v>
      </c>
      <c r="F134" s="82" t="s">
        <v>404</v>
      </c>
      <c r="G134" s="82">
        <v>84</v>
      </c>
      <c r="H134" s="82" t="s">
        <v>405</v>
      </c>
      <c r="I134" s="82" t="s">
        <v>526</v>
      </c>
      <c r="J134">
        <f t="shared" si="8"/>
        <v>84</v>
      </c>
      <c r="K134">
        <f t="shared" si="9"/>
        <v>0</v>
      </c>
    </row>
    <row r="135" spans="1:11">
      <c r="A135">
        <v>26</v>
      </c>
      <c r="B135" s="84">
        <v>45102</v>
      </c>
      <c r="C135" s="82" t="s">
        <v>523</v>
      </c>
      <c r="D135" s="82" t="s">
        <v>527</v>
      </c>
      <c r="E135" s="82" t="s">
        <v>525</v>
      </c>
      <c r="F135" s="82" t="s">
        <v>404</v>
      </c>
      <c r="G135" s="82">
        <v>52</v>
      </c>
      <c r="H135" s="82" t="s">
        <v>405</v>
      </c>
      <c r="I135" s="82" t="s">
        <v>528</v>
      </c>
      <c r="J135">
        <f t="shared" si="8"/>
        <v>52</v>
      </c>
      <c r="K135">
        <f t="shared" si="9"/>
        <v>0</v>
      </c>
    </row>
    <row r="136" spans="1:11">
      <c r="A136">
        <v>26</v>
      </c>
      <c r="B136" s="84">
        <v>45102</v>
      </c>
      <c r="C136" s="82" t="s">
        <v>523</v>
      </c>
      <c r="D136" s="82" t="s">
        <v>529</v>
      </c>
      <c r="E136" s="82" t="s">
        <v>525</v>
      </c>
      <c r="F136" s="82" t="s">
        <v>404</v>
      </c>
      <c r="G136" s="82">
        <v>18</v>
      </c>
      <c r="H136" s="82" t="s">
        <v>405</v>
      </c>
      <c r="I136" s="82" t="s">
        <v>530</v>
      </c>
      <c r="J136">
        <f t="shared" si="8"/>
        <v>18</v>
      </c>
      <c r="K136">
        <f t="shared" si="9"/>
        <v>0</v>
      </c>
    </row>
    <row r="137" spans="1:11">
      <c r="A137">
        <v>26</v>
      </c>
      <c r="B137" s="84">
        <v>45102</v>
      </c>
      <c r="C137" s="82" t="s">
        <v>523</v>
      </c>
      <c r="D137" s="82" t="s">
        <v>531</v>
      </c>
      <c r="E137" s="82" t="s">
        <v>525</v>
      </c>
      <c r="F137" s="82" t="s">
        <v>404</v>
      </c>
      <c r="G137" s="82">
        <v>39</v>
      </c>
      <c r="H137" s="82" t="s">
        <v>405</v>
      </c>
      <c r="I137" s="82" t="s">
        <v>532</v>
      </c>
      <c r="J137">
        <f t="shared" si="8"/>
        <v>39</v>
      </c>
      <c r="K137">
        <f t="shared" si="9"/>
        <v>0</v>
      </c>
    </row>
    <row r="138" spans="1:11">
      <c r="A138">
        <v>26</v>
      </c>
      <c r="B138" s="84">
        <v>45102</v>
      </c>
      <c r="C138" s="82" t="s">
        <v>523</v>
      </c>
      <c r="D138" s="82" t="s">
        <v>533</v>
      </c>
      <c r="E138" s="82" t="s">
        <v>525</v>
      </c>
      <c r="F138" s="82" t="s">
        <v>404</v>
      </c>
      <c r="G138" s="82">
        <v>236</v>
      </c>
      <c r="H138" s="82" t="s">
        <v>405</v>
      </c>
      <c r="I138" s="82" t="s">
        <v>534</v>
      </c>
      <c r="J138">
        <f t="shared" si="8"/>
        <v>236</v>
      </c>
      <c r="K138">
        <f t="shared" si="9"/>
        <v>0</v>
      </c>
    </row>
    <row r="139" spans="1:11">
      <c r="A139">
        <v>26</v>
      </c>
      <c r="B139" s="84">
        <v>45102</v>
      </c>
      <c r="C139" s="82" t="s">
        <v>523</v>
      </c>
      <c r="D139" s="82" t="s">
        <v>535</v>
      </c>
      <c r="E139" s="82" t="s">
        <v>525</v>
      </c>
      <c r="F139" s="82" t="s">
        <v>404</v>
      </c>
      <c r="G139" s="82">
        <v>440</v>
      </c>
      <c r="H139" s="82" t="s">
        <v>405</v>
      </c>
      <c r="I139" s="82" t="s">
        <v>536</v>
      </c>
      <c r="J139">
        <f t="shared" si="8"/>
        <v>440</v>
      </c>
      <c r="K139">
        <f t="shared" si="9"/>
        <v>0</v>
      </c>
    </row>
    <row r="140" spans="1:11">
      <c r="A140">
        <v>26</v>
      </c>
      <c r="B140" s="84">
        <v>45102</v>
      </c>
      <c r="C140" s="82" t="s">
        <v>523</v>
      </c>
      <c r="D140" s="82" t="s">
        <v>537</v>
      </c>
      <c r="E140" s="82" t="s">
        <v>525</v>
      </c>
      <c r="F140" s="82" t="s">
        <v>404</v>
      </c>
      <c r="G140" s="82">
        <v>320</v>
      </c>
      <c r="H140" s="82" t="s">
        <v>405</v>
      </c>
      <c r="I140" s="82" t="s">
        <v>538</v>
      </c>
      <c r="J140">
        <f t="shared" si="8"/>
        <v>320</v>
      </c>
      <c r="K140">
        <f t="shared" si="9"/>
        <v>0</v>
      </c>
    </row>
    <row r="141" spans="1:11">
      <c r="A141">
        <v>26</v>
      </c>
      <c r="B141" s="67">
        <v>45103</v>
      </c>
      <c r="C141" t="s">
        <v>539</v>
      </c>
      <c r="D141" t="s">
        <v>540</v>
      </c>
      <c r="E141" t="s">
        <v>370</v>
      </c>
      <c r="F141" t="s">
        <v>404</v>
      </c>
      <c r="G141">
        <v>49</v>
      </c>
      <c r="H141" t="s">
        <v>405</v>
      </c>
      <c r="I141" t="s">
        <v>371</v>
      </c>
      <c r="J141">
        <f t="shared" si="8"/>
        <v>49</v>
      </c>
      <c r="K141">
        <f t="shared" si="9"/>
        <v>0</v>
      </c>
    </row>
    <row r="142" spans="1:11">
      <c r="A142">
        <v>26</v>
      </c>
      <c r="B142" s="67">
        <v>45103</v>
      </c>
      <c r="C142" t="s">
        <v>539</v>
      </c>
      <c r="D142" t="s">
        <v>541</v>
      </c>
      <c r="E142" t="s">
        <v>370</v>
      </c>
      <c r="F142" t="s">
        <v>404</v>
      </c>
      <c r="G142">
        <v>32</v>
      </c>
      <c r="H142" t="s">
        <v>405</v>
      </c>
      <c r="I142" t="s">
        <v>374</v>
      </c>
      <c r="J142">
        <f t="shared" si="8"/>
        <v>32</v>
      </c>
      <c r="K142">
        <f t="shared" si="9"/>
        <v>0</v>
      </c>
    </row>
    <row r="143" spans="1:11">
      <c r="A143">
        <v>26</v>
      </c>
      <c r="B143" s="67">
        <v>45103</v>
      </c>
      <c r="C143" t="s">
        <v>539</v>
      </c>
      <c r="D143" t="s">
        <v>542</v>
      </c>
      <c r="E143" t="s">
        <v>370</v>
      </c>
      <c r="F143" t="s">
        <v>404</v>
      </c>
      <c r="G143">
        <v>49</v>
      </c>
      <c r="H143" t="s">
        <v>405</v>
      </c>
      <c r="I143" t="s">
        <v>376</v>
      </c>
      <c r="J143">
        <f t="shared" si="8"/>
        <v>49</v>
      </c>
      <c r="K143">
        <f t="shared" si="9"/>
        <v>0</v>
      </c>
    </row>
    <row r="144" spans="1:11">
      <c r="A144">
        <v>26</v>
      </c>
      <c r="B144" s="67">
        <v>45103</v>
      </c>
      <c r="C144" t="s">
        <v>539</v>
      </c>
      <c r="D144" t="s">
        <v>543</v>
      </c>
      <c r="E144" t="s">
        <v>370</v>
      </c>
      <c r="F144" t="s">
        <v>404</v>
      </c>
      <c r="G144">
        <v>46</v>
      </c>
      <c r="H144" t="s">
        <v>405</v>
      </c>
      <c r="I144" t="s">
        <v>378</v>
      </c>
      <c r="J144">
        <f t="shared" si="8"/>
        <v>46</v>
      </c>
      <c r="K144">
        <f t="shared" si="9"/>
        <v>0</v>
      </c>
    </row>
    <row r="145" spans="1:11">
      <c r="A145">
        <v>26</v>
      </c>
      <c r="B145" s="67">
        <v>45103</v>
      </c>
      <c r="C145" t="s">
        <v>539</v>
      </c>
      <c r="D145" t="s">
        <v>544</v>
      </c>
      <c r="E145" t="s">
        <v>370</v>
      </c>
      <c r="F145" t="s">
        <v>404</v>
      </c>
      <c r="G145">
        <v>49</v>
      </c>
      <c r="H145" t="s">
        <v>405</v>
      </c>
      <c r="I145" t="s">
        <v>380</v>
      </c>
      <c r="J145">
        <f t="shared" si="8"/>
        <v>49</v>
      </c>
      <c r="K145">
        <f t="shared" si="9"/>
        <v>0</v>
      </c>
    </row>
    <row r="146" spans="1:11">
      <c r="B146" s="84"/>
      <c r="C146" s="82"/>
      <c r="D146" s="82"/>
      <c r="E146" s="82"/>
      <c r="F146" s="82"/>
      <c r="G146" s="82"/>
      <c r="H146" s="82"/>
      <c r="I146" s="82"/>
    </row>
    <row r="147" spans="1:11">
      <c r="B147" s="84"/>
      <c r="C147" s="82"/>
      <c r="D147" s="82"/>
      <c r="E147" s="82"/>
      <c r="F147" s="82"/>
      <c r="G147" s="82"/>
      <c r="H147" s="82"/>
      <c r="I147" s="82"/>
    </row>
    <row r="148" spans="1:11">
      <c r="B148" s="84"/>
      <c r="C148" s="82"/>
      <c r="D148" s="82"/>
      <c r="E148" s="82"/>
      <c r="F148" s="82"/>
      <c r="G148" s="82"/>
      <c r="H148" s="82"/>
      <c r="I148" s="82"/>
    </row>
    <row r="149" spans="1:11">
      <c r="B149" s="84"/>
      <c r="C149" s="82"/>
      <c r="D149" s="82"/>
      <c r="E149" s="82"/>
      <c r="F149" s="82"/>
      <c r="G149" s="82"/>
      <c r="H149" s="82"/>
      <c r="I149" s="82"/>
    </row>
    <row r="150" spans="1:11">
      <c r="B150" s="84"/>
      <c r="C150" s="82"/>
      <c r="D150" s="82"/>
      <c r="E150" s="82"/>
      <c r="F150" s="82"/>
      <c r="G150" s="82"/>
      <c r="H150" s="82"/>
      <c r="I150" s="82"/>
    </row>
    <row r="151" spans="1:11">
      <c r="B151" s="84"/>
      <c r="C151" s="82"/>
      <c r="D151" s="82"/>
      <c r="E151" s="82"/>
      <c r="F151" s="82"/>
      <c r="G151" s="82"/>
      <c r="H151" s="82"/>
      <c r="I151" s="82"/>
    </row>
    <row r="152" spans="1:11">
      <c r="B152" s="84"/>
      <c r="C152" s="82"/>
      <c r="D152" s="82"/>
      <c r="E152" s="82"/>
      <c r="F152" s="82"/>
      <c r="G152" s="82"/>
      <c r="H152" s="82"/>
      <c r="I152" s="82"/>
    </row>
    <row r="153" spans="1:11">
      <c r="B153" s="84"/>
      <c r="C153" s="82"/>
      <c r="D153" s="82"/>
      <c r="E153" s="82"/>
      <c r="F153" s="82"/>
      <c r="G153" s="82"/>
      <c r="H153" s="82"/>
      <c r="I153" s="82"/>
    </row>
    <row r="154" spans="1:11">
      <c r="B154" s="84"/>
      <c r="C154" s="82"/>
      <c r="D154" s="82"/>
      <c r="E154" s="82"/>
      <c r="F154" s="82"/>
      <c r="G154" s="82"/>
      <c r="H154" s="82"/>
      <c r="I154" s="82"/>
    </row>
    <row r="155" spans="1:11">
      <c r="B155" s="84"/>
      <c r="C155" s="82"/>
      <c r="D155" s="82"/>
      <c r="E155" s="82"/>
      <c r="F155" s="82"/>
      <c r="G155" s="82"/>
      <c r="H155" s="82"/>
      <c r="I155" s="82"/>
    </row>
    <row r="156" spans="1:11">
      <c r="B156" s="84"/>
      <c r="C156" s="82"/>
      <c r="D156" s="82"/>
      <c r="E156" s="82"/>
      <c r="F156" s="82"/>
      <c r="G156" s="82"/>
      <c r="H156" s="82"/>
      <c r="I156" s="82"/>
    </row>
    <row r="157" spans="1:11">
      <c r="B157" s="84"/>
      <c r="C157" s="82"/>
      <c r="D157" s="82"/>
      <c r="E157" s="82"/>
      <c r="F157" s="82"/>
      <c r="G157" s="82"/>
      <c r="H157" s="82"/>
      <c r="I157" s="82"/>
    </row>
    <row r="158" spans="1:11">
      <c r="B158" s="84"/>
      <c r="C158" s="82"/>
      <c r="D158" s="82"/>
      <c r="E158" s="82"/>
      <c r="F158" s="82"/>
      <c r="G158" s="82"/>
      <c r="H158" s="82"/>
      <c r="I158" s="82"/>
    </row>
    <row r="159" spans="1:11">
      <c r="B159" s="84"/>
      <c r="C159" s="82"/>
      <c r="D159" s="82"/>
      <c r="E159" s="82"/>
      <c r="F159" s="82"/>
      <c r="G159" s="82"/>
      <c r="H159" s="82"/>
      <c r="I159" s="82"/>
    </row>
    <row r="160" spans="1:11">
      <c r="B160" s="84"/>
      <c r="C160" s="82"/>
      <c r="D160" s="82"/>
      <c r="E160" s="82"/>
      <c r="F160" s="82"/>
      <c r="G160" s="82"/>
      <c r="H160" s="82"/>
      <c r="I160" s="82"/>
    </row>
    <row r="161" spans="2:9">
      <c r="B161" s="84"/>
      <c r="C161" s="82"/>
      <c r="D161" s="82"/>
      <c r="E161" s="82"/>
      <c r="F161" s="82"/>
      <c r="G161" s="82"/>
      <c r="H161" s="82"/>
      <c r="I161" s="82"/>
    </row>
    <row r="162" spans="2:9">
      <c r="B162" s="84"/>
      <c r="C162" s="82"/>
      <c r="D162" s="82"/>
      <c r="E162" s="82"/>
      <c r="F162" s="82"/>
      <c r="G162" s="82"/>
      <c r="H162" s="82"/>
      <c r="I162" s="82"/>
    </row>
    <row r="163" spans="2:9">
      <c r="B163" s="67"/>
    </row>
    <row r="164" spans="2:9">
      <c r="B164" s="67"/>
    </row>
    <row r="165" spans="2:9">
      <c r="B165" s="67"/>
    </row>
    <row r="166" spans="2:9">
      <c r="B166" s="67"/>
    </row>
    <row r="167" spans="2:9">
      <c r="B167" s="67"/>
    </row>
    <row r="168" spans="2:9">
      <c r="B168" s="67"/>
    </row>
    <row r="169" spans="2:9">
      <c r="B169" s="67"/>
    </row>
    <row r="170" spans="2:9">
      <c r="B170" s="67"/>
    </row>
    <row r="171" spans="2:9">
      <c r="B171" s="67"/>
    </row>
    <row r="172" spans="2:9">
      <c r="B172" s="67"/>
    </row>
    <row r="173" spans="2:9">
      <c r="B173" s="67"/>
    </row>
    <row r="174" spans="2:9">
      <c r="B174" s="67"/>
    </row>
    <row r="175" spans="2:9">
      <c r="B175" s="67"/>
    </row>
    <row r="176" spans="2:9">
      <c r="B176" s="67"/>
    </row>
    <row r="177" spans="2:2">
      <c r="B177" s="67"/>
    </row>
    <row r="178" spans="2:2">
      <c r="B178" s="67"/>
    </row>
    <row r="179" spans="2:2">
      <c r="B179" s="67"/>
    </row>
    <row r="180" spans="2:2">
      <c r="B180" s="67"/>
    </row>
    <row r="181" spans="2:2">
      <c r="B181" s="67"/>
    </row>
    <row r="182" spans="2:2">
      <c r="B182" s="67"/>
    </row>
    <row r="183" spans="2:2">
      <c r="B183" s="67"/>
    </row>
    <row r="184" spans="2:2">
      <c r="B184" s="67"/>
    </row>
    <row r="185" spans="2:2">
      <c r="B185" s="67"/>
    </row>
    <row r="186" spans="2:2">
      <c r="B186" s="67"/>
    </row>
    <row r="187" spans="2:2">
      <c r="B187" s="67"/>
    </row>
    <row r="188" spans="2:2">
      <c r="B188" s="67"/>
    </row>
    <row r="189" spans="2:2">
      <c r="B189" s="67"/>
    </row>
    <row r="190" spans="2:2">
      <c r="B190" s="67"/>
    </row>
    <row r="191" spans="2:2">
      <c r="B191" s="67"/>
    </row>
    <row r="192" spans="2:2">
      <c r="B192" s="67"/>
    </row>
    <row r="193" spans="2:2">
      <c r="B193" s="67"/>
    </row>
    <row r="194" spans="2:2">
      <c r="B194" s="67"/>
    </row>
    <row r="195" spans="2:2">
      <c r="B195" s="67"/>
    </row>
    <row r="196" spans="2:2">
      <c r="B196" s="67"/>
    </row>
    <row r="197" spans="2:2">
      <c r="B197" s="67"/>
    </row>
    <row r="198" spans="2:2">
      <c r="B198" s="67"/>
    </row>
    <row r="199" spans="2:2">
      <c r="B199" s="67"/>
    </row>
    <row r="200" spans="2:2">
      <c r="B200" s="67"/>
    </row>
    <row r="201" spans="2:2">
      <c r="B201" s="67"/>
    </row>
    <row r="202" spans="2:2">
      <c r="B202" s="67"/>
    </row>
    <row r="203" spans="2:2">
      <c r="B203" s="67"/>
    </row>
    <row r="204" spans="2:2">
      <c r="B204" s="67"/>
    </row>
    <row r="205" spans="2:2">
      <c r="B205" s="67"/>
    </row>
    <row r="206" spans="2:2">
      <c r="B206" s="67"/>
    </row>
    <row r="207" spans="2:2">
      <c r="B207" s="67"/>
    </row>
    <row r="208" spans="2:2">
      <c r="B208" s="67"/>
    </row>
    <row r="209" spans="2:2">
      <c r="B209" s="67"/>
    </row>
    <row r="210" spans="2:2">
      <c r="B210" s="67"/>
    </row>
    <row r="211" spans="2:2">
      <c r="B211" s="67"/>
    </row>
    <row r="212" spans="2:2">
      <c r="B212" s="67"/>
    </row>
    <row r="213" spans="2:2">
      <c r="B213" s="67"/>
    </row>
    <row r="214" spans="2:2">
      <c r="B214" s="67"/>
    </row>
    <row r="215" spans="2:2">
      <c r="B215" s="67"/>
    </row>
    <row r="216" spans="2:2">
      <c r="B216" s="67"/>
    </row>
    <row r="217" spans="2:2">
      <c r="B217" s="67"/>
    </row>
    <row r="218" spans="2:2">
      <c r="B218" s="67"/>
    </row>
    <row r="219" spans="2:2">
      <c r="B219" s="67"/>
    </row>
    <row r="220" spans="2:2">
      <c r="B220" s="67"/>
    </row>
    <row r="221" spans="2:2">
      <c r="B221" s="67"/>
    </row>
    <row r="222" spans="2:2">
      <c r="B222" s="67"/>
    </row>
    <row r="223" spans="2:2">
      <c r="B223" s="67"/>
    </row>
    <row r="224" spans="2:2">
      <c r="B224" s="67"/>
    </row>
    <row r="225" spans="2:2">
      <c r="B225" s="67"/>
    </row>
    <row r="227" spans="2:2">
      <c r="B227" s="67"/>
    </row>
    <row r="229" spans="2:2">
      <c r="B229" s="67"/>
    </row>
    <row r="230" spans="2:2">
      <c r="B230" s="67"/>
    </row>
    <row r="231" spans="2:2">
      <c r="B231" s="67"/>
    </row>
    <row r="232" spans="2:2">
      <c r="B232" s="67"/>
    </row>
  </sheetData>
  <sortState xmlns:xlrd2="http://schemas.microsoft.com/office/spreadsheetml/2017/richdata2" ref="A2:K162">
    <sortCondition ref="H2:H162"/>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H19" sqref="H19"/>
    </sheetView>
  </sheetViews>
  <sheetFormatPr defaultColWidth="8.85546875" defaultRowHeight="15"/>
  <cols>
    <col min="1" max="1" width="12.140625" bestFit="1" customWidth="1"/>
    <col min="2" max="2" width="14.42578125" bestFit="1" customWidth="1"/>
    <col min="3" max="3" width="14.140625" bestFit="1" customWidth="1"/>
    <col min="4" max="4" width="12.85546875" bestFit="1" customWidth="1"/>
    <col min="7" max="8" width="17.42578125" customWidth="1"/>
    <col min="9" max="9" width="16.140625" customWidth="1"/>
    <col min="10" max="10" width="17.42578125" customWidth="1"/>
  </cols>
  <sheetData>
    <row r="1" spans="1:10">
      <c r="A1" s="32" t="s">
        <v>545</v>
      </c>
      <c r="G1" s="32" t="s">
        <v>546</v>
      </c>
    </row>
    <row r="2" spans="1:10">
      <c r="A2" s="2" t="s">
        <v>13</v>
      </c>
      <c r="B2" t="s">
        <v>547</v>
      </c>
    </row>
    <row r="4" spans="1:10">
      <c r="A4" s="2" t="s">
        <v>548</v>
      </c>
      <c r="B4" t="s">
        <v>549</v>
      </c>
      <c r="C4" t="s">
        <v>550</v>
      </c>
      <c r="D4" t="s">
        <v>551</v>
      </c>
      <c r="G4" s="24" t="s">
        <v>548</v>
      </c>
      <c r="H4" s="24" t="s">
        <v>549</v>
      </c>
      <c r="I4" s="24" t="s">
        <v>550</v>
      </c>
      <c r="J4" s="24" t="s">
        <v>551</v>
      </c>
    </row>
    <row r="5" spans="1:10">
      <c r="A5" s="1" t="s">
        <v>59</v>
      </c>
      <c r="B5">
        <v>100</v>
      </c>
      <c r="C5">
        <v>1185</v>
      </c>
      <c r="D5">
        <v>1285</v>
      </c>
      <c r="G5" s="1" t="s">
        <v>33</v>
      </c>
      <c r="H5">
        <f>GETPIVOTDATA("Sum of Cx pipiens",$A$4,"Zone","LV")</f>
        <v>159</v>
      </c>
      <c r="I5">
        <f>GETPIVOTDATA("Sum of Cx tarsalis",$A$4,"Zone","LV")</f>
        <v>8632</v>
      </c>
      <c r="J5">
        <f>GETPIVOTDATA("Sum of Total CX",$A$4,"Zone","LV")</f>
        <v>8791</v>
      </c>
    </row>
    <row r="6" spans="1:10">
      <c r="A6" s="1" t="s">
        <v>87</v>
      </c>
      <c r="B6">
        <v>30</v>
      </c>
      <c r="C6">
        <v>1110</v>
      </c>
      <c r="D6">
        <v>1140</v>
      </c>
      <c r="G6" s="1" t="s">
        <v>59</v>
      </c>
      <c r="H6">
        <f>GETPIVOTDATA("Sum of Cx pipiens",$A$4,"Zone","NE")</f>
        <v>100</v>
      </c>
      <c r="I6">
        <f>GETPIVOTDATA("Sum of Cx tarsalis",$A$4,"Zone","NE")</f>
        <v>1185</v>
      </c>
      <c r="J6">
        <f>GETPIVOTDATA("Sum of Total CX",$A$4,"Zone","NE")</f>
        <v>1285</v>
      </c>
    </row>
    <row r="7" spans="1:10">
      <c r="A7" s="1" t="s">
        <v>132</v>
      </c>
      <c r="B7">
        <v>80</v>
      </c>
      <c r="C7">
        <v>3263</v>
      </c>
      <c r="D7">
        <v>3343</v>
      </c>
      <c r="G7" s="1" t="s">
        <v>87</v>
      </c>
      <c r="H7">
        <f>GETPIVOTDATA("Sum of Cx pipiens",$A$4,"Zone","NW")</f>
        <v>30</v>
      </c>
      <c r="I7">
        <f>GETPIVOTDATA("Sum of Cx tarsalis",$A$4,"Zone","NW")</f>
        <v>1110</v>
      </c>
      <c r="J7">
        <f>GETPIVOTDATA("Sum of Total CX",$A$4,"Zone","NW")</f>
        <v>1140</v>
      </c>
    </row>
    <row r="8" spans="1:10">
      <c r="A8" s="1" t="s">
        <v>244</v>
      </c>
      <c r="B8">
        <v>44</v>
      </c>
      <c r="C8">
        <v>825</v>
      </c>
      <c r="D8">
        <v>869</v>
      </c>
      <c r="G8" s="1" t="s">
        <v>132</v>
      </c>
      <c r="H8">
        <f>GETPIVOTDATA("Sum of Cx pipiens",$A$4,"Zone","SE")</f>
        <v>80</v>
      </c>
      <c r="I8">
        <f>GETPIVOTDATA("Sum of Cx tarsalis",$A$4,"Zone","SE")</f>
        <v>3263</v>
      </c>
      <c r="J8">
        <f>GETPIVOTDATA("Sum of Total CX",$A$4,"Zone","SE")</f>
        <v>3343</v>
      </c>
    </row>
    <row r="9" spans="1:10">
      <c r="A9" s="1" t="s">
        <v>33</v>
      </c>
      <c r="B9">
        <v>159</v>
      </c>
      <c r="C9">
        <v>8632</v>
      </c>
      <c r="D9">
        <v>8791</v>
      </c>
      <c r="G9" s="1" t="s">
        <v>244</v>
      </c>
      <c r="H9">
        <f>GETPIVOTDATA("Sum of Cx pipiens",$A$4,"Zone","SW")</f>
        <v>44</v>
      </c>
      <c r="I9">
        <f>GETPIVOTDATA("Sum of Cx tarsalis",$A$4,"Zone","SW")</f>
        <v>825</v>
      </c>
      <c r="J9">
        <f>GETPIVOTDATA("Sum of Total CX",$A$4,"Zone","SW")</f>
        <v>869</v>
      </c>
    </row>
    <row r="10" spans="1:10">
      <c r="A10" s="1" t="s">
        <v>525</v>
      </c>
      <c r="B10">
        <v>0</v>
      </c>
      <c r="C10">
        <v>1189</v>
      </c>
      <c r="D10">
        <v>1189</v>
      </c>
      <c r="G10" s="1" t="s">
        <v>256</v>
      </c>
      <c r="H10">
        <f>GETPIVOTDATA("Sum of Cx pipiens",$A$4,"Zone","BE")</f>
        <v>20</v>
      </c>
      <c r="I10">
        <f>GETPIVOTDATA("Sum of Cx tarsalis",$A$4,"Zone","BE")</f>
        <v>4224</v>
      </c>
      <c r="J10">
        <f>GETPIVOTDATA("Sum of Total CX",$A$4,"Zone","BE")</f>
        <v>4244</v>
      </c>
    </row>
    <row r="11" spans="1:10">
      <c r="A11" s="1" t="s">
        <v>256</v>
      </c>
      <c r="B11">
        <v>20</v>
      </c>
      <c r="C11">
        <v>4224</v>
      </c>
      <c r="D11">
        <v>4244</v>
      </c>
      <c r="G11" s="1" t="s">
        <v>370</v>
      </c>
      <c r="H11">
        <f>GETPIVOTDATA("Sum of Cx pipiens",$A$4,"Zone","BC")</f>
        <v>0</v>
      </c>
      <c r="I11">
        <f>GETPIVOTDATA("Sum of Cx tarsalis",$A$4,"Zone","BC")</f>
        <v>225</v>
      </c>
      <c r="J11">
        <f>GETPIVOTDATA("Sum of Total CX",$A$4,"Zone","BC")</f>
        <v>225</v>
      </c>
    </row>
    <row r="12" spans="1:10">
      <c r="A12" s="1" t="s">
        <v>370</v>
      </c>
      <c r="B12">
        <v>0</v>
      </c>
      <c r="C12">
        <v>225</v>
      </c>
      <c r="D12">
        <v>225</v>
      </c>
      <c r="G12" s="1"/>
    </row>
    <row r="13" spans="1:10">
      <c r="A13" s="1" t="s">
        <v>552</v>
      </c>
      <c r="B13">
        <v>433</v>
      </c>
      <c r="C13">
        <v>20653</v>
      </c>
      <c r="D13">
        <v>21086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B10" sqref="B10"/>
    </sheetView>
  </sheetViews>
  <sheetFormatPr defaultColWidth="8.85546875" defaultRowHeight="15"/>
  <cols>
    <col min="1" max="1" width="13.140625" bestFit="1" customWidth="1"/>
    <col min="2" max="2" width="16.28515625" customWidth="1"/>
    <col min="3" max="3" width="7.5703125" bestFit="1" customWidth="1"/>
    <col min="4" max="6" width="11.28515625" bestFit="1" customWidth="1"/>
    <col min="8" max="8" width="12" bestFit="1" customWidth="1"/>
  </cols>
  <sheetData>
    <row r="1" spans="1:11">
      <c r="A1" s="91" t="s">
        <v>553</v>
      </c>
      <c r="B1" s="91"/>
      <c r="H1" s="91" t="s">
        <v>554</v>
      </c>
      <c r="I1" s="91"/>
    </row>
    <row r="2" spans="1:11">
      <c r="A2" s="2" t="s">
        <v>13</v>
      </c>
      <c r="B2" t="s">
        <v>547</v>
      </c>
    </row>
    <row r="4" spans="1:11">
      <c r="A4" s="2" t="s">
        <v>555</v>
      </c>
      <c r="B4" s="2" t="s">
        <v>556</v>
      </c>
      <c r="H4" s="23" t="s">
        <v>555</v>
      </c>
      <c r="I4" s="23" t="s">
        <v>556</v>
      </c>
      <c r="J4" s="23"/>
      <c r="K4" s="23"/>
    </row>
    <row r="5" spans="1:11">
      <c r="A5" s="2" t="s">
        <v>548</v>
      </c>
      <c r="B5" t="s">
        <v>37</v>
      </c>
      <c r="C5" t="s">
        <v>54</v>
      </c>
      <c r="D5" t="s">
        <v>552</v>
      </c>
      <c r="H5" s="24" t="s">
        <v>548</v>
      </c>
      <c r="I5" s="24" t="s">
        <v>557</v>
      </c>
      <c r="J5" s="24" t="s">
        <v>558</v>
      </c>
      <c r="K5" s="24" t="s">
        <v>552</v>
      </c>
    </row>
    <row r="6" spans="1:11">
      <c r="A6" s="1" t="s">
        <v>33</v>
      </c>
      <c r="B6">
        <v>1759</v>
      </c>
      <c r="C6">
        <v>21</v>
      </c>
      <c r="D6">
        <v>1780</v>
      </c>
      <c r="H6" s="1" t="s">
        <v>33</v>
      </c>
      <c r="I6">
        <f>GETPIVOTDATA("Total",$A$4,"Zone","LV","Spp","Pipiens")</f>
        <v>21</v>
      </c>
      <c r="J6">
        <f>GETPIVOTDATA("Total",$A$4,"Zone","LV","Spp","Tarsalis")</f>
        <v>1759</v>
      </c>
      <c r="K6">
        <f>GETPIVOTDATA("Total",$A$4,"Zone","LV")</f>
        <v>1780</v>
      </c>
    </row>
    <row r="7" spans="1:11">
      <c r="A7" s="1" t="s">
        <v>59</v>
      </c>
      <c r="B7">
        <v>1185</v>
      </c>
      <c r="C7">
        <v>168</v>
      </c>
      <c r="D7">
        <v>1353</v>
      </c>
      <c r="H7" s="1" t="s">
        <v>59</v>
      </c>
      <c r="I7">
        <f>GETPIVOTDATA("Total",$A$4,"Zone","NE","Spp","Pipiens")</f>
        <v>168</v>
      </c>
      <c r="J7">
        <f>GETPIVOTDATA("Total",$A$4,"Zone","NE","Spp","Tarsalis")</f>
        <v>1185</v>
      </c>
      <c r="K7">
        <f>GETPIVOTDATA("Total",$A$4,"Zone","NE")</f>
        <v>1353</v>
      </c>
    </row>
    <row r="8" spans="1:11">
      <c r="A8" s="1" t="s">
        <v>87</v>
      </c>
      <c r="B8">
        <v>1110</v>
      </c>
      <c r="C8">
        <v>55</v>
      </c>
      <c r="D8">
        <v>1165</v>
      </c>
      <c r="H8" s="1" t="s">
        <v>87</v>
      </c>
      <c r="I8">
        <f>GETPIVOTDATA("Total",$A$4,"Zone","NW","Spp","Pipiens")</f>
        <v>55</v>
      </c>
      <c r="J8">
        <f>GETPIVOTDATA("Total",$A$4,"Zone","NW","Spp","Tarsalis")</f>
        <v>1110</v>
      </c>
      <c r="K8">
        <f>GETPIVOTDATA("Total",$A$4,"Zone","NW")</f>
        <v>1165</v>
      </c>
    </row>
    <row r="9" spans="1:11">
      <c r="A9" s="1" t="s">
        <v>132</v>
      </c>
      <c r="B9">
        <v>3269</v>
      </c>
      <c r="C9">
        <v>151</v>
      </c>
      <c r="D9">
        <v>3420</v>
      </c>
      <c r="H9" s="1" t="s">
        <v>132</v>
      </c>
      <c r="I9">
        <f>GETPIVOTDATA("Total",$A$4,"Zone","SE","Spp","Pipiens")</f>
        <v>151</v>
      </c>
      <c r="J9">
        <f>GETPIVOTDATA("Total",$A$4,"Zone","SE","Spp","Tarsalis")</f>
        <v>3269</v>
      </c>
      <c r="K9">
        <f>GETPIVOTDATA("Total",$A$4,"Zone","SE")</f>
        <v>3420</v>
      </c>
    </row>
    <row r="10" spans="1:11">
      <c r="A10" s="1" t="s">
        <v>244</v>
      </c>
      <c r="B10">
        <v>826</v>
      </c>
      <c r="C10">
        <v>64</v>
      </c>
      <c r="D10">
        <v>890</v>
      </c>
      <c r="H10" s="1" t="s">
        <v>244</v>
      </c>
      <c r="I10">
        <f>GETPIVOTDATA("Total",$A$4,"Zone","SW","Spp","Pipiens")</f>
        <v>64</v>
      </c>
      <c r="J10">
        <f>GETPIVOTDATA("Total",$A$4,"Zone","SW","Spp","Tarsalis")</f>
        <v>826</v>
      </c>
      <c r="K10">
        <f>GETPIVOTDATA("Total",$A$4,"Zone","SW")</f>
        <v>890</v>
      </c>
    </row>
    <row r="11" spans="1:11">
      <c r="A11" s="1" t="s">
        <v>256</v>
      </c>
      <c r="B11">
        <v>617</v>
      </c>
      <c r="C11">
        <v>5</v>
      </c>
      <c r="D11">
        <v>622</v>
      </c>
      <c r="H11" s="1" t="s">
        <v>256</v>
      </c>
      <c r="I11">
        <f>GETPIVOTDATA("Total",$A$4,"Zone","BE","Spp","Pipiens")</f>
        <v>5</v>
      </c>
      <c r="J11">
        <f>GETPIVOTDATA("Total",$A$4,"Zone","BE","Spp","Tarsalis")</f>
        <v>617</v>
      </c>
      <c r="K11">
        <f>GETPIVOTDATA("Total",$A$4,"Zone","BE")</f>
        <v>622</v>
      </c>
    </row>
    <row r="12" spans="1:11">
      <c r="A12" s="1" t="s">
        <v>370</v>
      </c>
      <c r="B12">
        <v>225</v>
      </c>
      <c r="D12">
        <v>225</v>
      </c>
      <c r="H12" s="1" t="s">
        <v>370</v>
      </c>
      <c r="I12">
        <f>GETPIVOTDATA("Total",$A$4,"Zone","BC","Spp","Pipiens")</f>
        <v>0</v>
      </c>
      <c r="J12">
        <f>GETPIVOTDATA("Total",$A$4,"Zone","BC","Spp","Tarsalis")</f>
        <v>225</v>
      </c>
      <c r="K12">
        <f>GETPIVOTDATA("Total",$A$4,"Zone","BC")</f>
        <v>225</v>
      </c>
    </row>
    <row r="13" spans="1:11">
      <c r="A13" s="1" t="s">
        <v>552</v>
      </c>
      <c r="B13">
        <v>8991</v>
      </c>
      <c r="C13">
        <v>464</v>
      </c>
      <c r="D13">
        <v>9455</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AB0F6D-8CB6-46CB-9DC6-2D07921FCE0A}"/>
</file>

<file path=customXml/itemProps2.xml><?xml version="1.0" encoding="utf-8"?>
<ds:datastoreItem xmlns:ds="http://schemas.openxmlformats.org/officeDocument/2006/customXml" ds:itemID="{447FE3C8-93B2-45EB-831E-15ED3C83B6EC}"/>
</file>

<file path=customXml/itemProps3.xml><?xml version="1.0" encoding="utf-8"?>
<ds:datastoreItem xmlns:ds="http://schemas.openxmlformats.org/officeDocument/2006/customXml" ds:itemID="{1A9A93A4-B248-44C0-9461-BD15EEA2E082}"/>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Williams,Landon</cp:lastModifiedBy>
  <cp:revision/>
  <dcterms:created xsi:type="dcterms:W3CDTF">2014-05-12T19:16:27Z</dcterms:created>
  <dcterms:modified xsi:type="dcterms:W3CDTF">2023-07-06T19:33:26Z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1325600</vt:r8>
  </property>
  <property fmtid="{D5CDD505-2E9C-101B-9397-08002B2CF9AE}" pid="4" name="MediaServiceImageTags">
    <vt:lpwstr/>
  </property>
</Properties>
</file>