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4" documentId="13_ncr:1_{B2FC366E-7EC9-43B5-80E9-FF8501DA7CAA}" xr6:coauthVersionLast="47" xr6:coauthVersionMax="47" xr10:uidLastSave="{0A4EEBF2-F847-4523-9DC8-D32C27125715}"/>
  <bookViews>
    <workbookView xWindow="435" yWindow="45" windowWidth="18390" windowHeight="14565" tabRatio="869" firstSheet="13" activeTab="1"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19214" r:id="rId15"/>
    <pivotCache cacheId="19215"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8" i="59" l="1"/>
  <c r="K159" i="59"/>
  <c r="K160" i="59"/>
  <c r="K161" i="59"/>
  <c r="K162" i="59"/>
  <c r="K163" i="59"/>
  <c r="K164" i="59"/>
  <c r="J158" i="59"/>
  <c r="J159" i="59"/>
  <c r="J160" i="59"/>
  <c r="J161" i="59"/>
  <c r="J162" i="59"/>
  <c r="J163" i="59"/>
  <c r="J164" i="59"/>
  <c r="K152" i="59" l="1"/>
  <c r="K153" i="59"/>
  <c r="K154" i="59"/>
  <c r="K155" i="59"/>
  <c r="K156" i="59"/>
  <c r="K157" i="59"/>
  <c r="J152" i="59"/>
  <c r="J153" i="59"/>
  <c r="J154" i="59"/>
  <c r="J155" i="59"/>
  <c r="J156" i="59"/>
  <c r="J157" i="59"/>
  <c r="K121" i="59"/>
  <c r="K122" i="59"/>
  <c r="K123" i="59"/>
  <c r="K124" i="59"/>
  <c r="K125" i="59"/>
  <c r="K126" i="59"/>
  <c r="K127" i="59"/>
  <c r="K128" i="59"/>
  <c r="K129" i="59"/>
  <c r="K130" i="59"/>
  <c r="K131" i="59"/>
  <c r="K132" i="59"/>
  <c r="K133" i="59"/>
  <c r="K134" i="59"/>
  <c r="K135" i="59"/>
  <c r="K136" i="59"/>
  <c r="K137" i="59"/>
  <c r="K138" i="59"/>
  <c r="K139" i="59"/>
  <c r="K140" i="59"/>
  <c r="K141" i="59"/>
  <c r="K142" i="59"/>
  <c r="K143" i="59"/>
  <c r="K144" i="59"/>
  <c r="K145" i="59"/>
  <c r="K146" i="59"/>
  <c r="K147" i="59"/>
  <c r="K148" i="59"/>
  <c r="K149" i="59"/>
  <c r="K150" i="59"/>
  <c r="K151" i="59"/>
  <c r="J121" i="59"/>
  <c r="J122" i="59"/>
  <c r="J123" i="59"/>
  <c r="J124" i="59"/>
  <c r="J125" i="59"/>
  <c r="J126" i="59"/>
  <c r="J127" i="59"/>
  <c r="J128" i="59"/>
  <c r="J129" i="59"/>
  <c r="J130" i="59"/>
  <c r="J131" i="59"/>
  <c r="J132" i="59"/>
  <c r="J133" i="59"/>
  <c r="J134" i="59"/>
  <c r="J135" i="59"/>
  <c r="J136" i="59"/>
  <c r="J137" i="59"/>
  <c r="J138" i="59"/>
  <c r="J139" i="59"/>
  <c r="J140" i="59"/>
  <c r="J141" i="59"/>
  <c r="J142" i="59"/>
  <c r="J143" i="59"/>
  <c r="J144" i="59"/>
  <c r="J145" i="59"/>
  <c r="J146" i="59"/>
  <c r="J147" i="59"/>
  <c r="J148" i="59"/>
  <c r="J149" i="59"/>
  <c r="J150" i="59"/>
  <c r="J151" i="59"/>
  <c r="K120" i="59" l="1"/>
  <c r="J120" i="59" l="1"/>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M76" i="5"/>
  <c r="L80" i="5"/>
  <c r="E13" i="5" s="1"/>
  <c r="M80" i="5"/>
  <c r="M79" i="5"/>
  <c r="L79" i="5"/>
  <c r="G10" i="6"/>
  <c r="G12" i="6"/>
  <c r="G9" i="6"/>
  <c r="G13" i="6"/>
  <c r="G8" i="6"/>
  <c r="G11" i="6"/>
  <c r="G14" i="6"/>
  <c r="H13" i="6"/>
  <c r="G7" i="6"/>
  <c r="I13" i="6"/>
  <c r="J12" i="64"/>
  <c r="H12" i="64"/>
  <c r="I12" i="64"/>
  <c r="J12" i="61"/>
  <c r="K12" i="61"/>
  <c r="I12" i="61"/>
  <c r="I10" i="63"/>
  <c r="H10" i="63"/>
  <c r="H5" i="63"/>
  <c r="J10" i="63"/>
  <c r="J81" i="5" l="1"/>
  <c r="I81" i="5"/>
  <c r="G81" i="5"/>
  <c r="F81" i="5"/>
  <c r="C81" i="5"/>
  <c r="D81" i="5"/>
  <c r="H7" i="64"/>
  <c r="H9" i="64"/>
  <c r="H10" i="64"/>
  <c r="H6" i="64"/>
  <c r="H8" i="64"/>
  <c r="H11" i="64"/>
  <c r="J8" i="61"/>
  <c r="J9" i="61"/>
  <c r="I11" i="61"/>
  <c r="I10" i="61"/>
  <c r="I9" i="61"/>
  <c r="J6" i="61"/>
  <c r="I7" i="61"/>
  <c r="J10" i="61"/>
  <c r="J11" i="61"/>
  <c r="J7" i="61"/>
  <c r="I6" i="61"/>
  <c r="I8" i="61"/>
  <c r="H11" i="63"/>
  <c r="I11" i="63"/>
  <c r="J11" i="63"/>
  <c r="C48" i="5" l="1"/>
  <c r="H81" i="5"/>
  <c r="E81" i="5"/>
  <c r="E48" i="5"/>
  <c r="I48" i="5" s="1"/>
  <c r="G48" i="5"/>
  <c r="C14" i="5" s="1"/>
  <c r="D48" i="5"/>
  <c r="H48" i="5" s="1"/>
  <c r="D14" i="5" s="1"/>
  <c r="C73" i="5"/>
  <c r="L73" i="5" l="1"/>
  <c r="M73" i="5"/>
  <c r="L74" i="5"/>
  <c r="M74" i="5"/>
  <c r="L75" i="5"/>
  <c r="M75" i="5"/>
  <c r="L76" i="5"/>
  <c r="L77" i="5"/>
  <c r="M77" i="5"/>
  <c r="L81" i="5"/>
  <c r="M81" i="5"/>
  <c r="F14" i="5" s="1"/>
  <c r="H14" i="5" s="1"/>
  <c r="I14" i="5" s="1"/>
  <c r="F44" i="5" l="1"/>
  <c r="H14" i="6"/>
  <c r="H11" i="6"/>
  <c r="H9" i="6"/>
  <c r="H10" i="6"/>
  <c r="H8" i="6"/>
  <c r="H7" i="6"/>
  <c r="H12" i="6"/>
  <c r="I14" i="6"/>
  <c r="I10" i="64"/>
  <c r="I9" i="64"/>
  <c r="I6" i="64"/>
  <c r="J6" i="64"/>
  <c r="I11" i="64"/>
  <c r="I8" i="64"/>
  <c r="J7" i="64"/>
  <c r="I7" i="64"/>
  <c r="J8" i="64"/>
  <c r="J9"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I11" i="6"/>
  <c r="J10" i="64"/>
  <c r="K10" i="61"/>
  <c r="J5" i="63"/>
  <c r="I5" i="63"/>
  <c r="D76" i="5" l="1"/>
  <c r="E76" i="5" s="1"/>
  <c r="D13" i="5"/>
  <c r="H13" i="5" s="1"/>
  <c r="G47" i="5"/>
  <c r="C13" i="5" s="1"/>
  <c r="G13" i="5" s="1"/>
  <c r="I13" i="5" l="1"/>
  <c r="F12" i="5"/>
  <c r="E12" i="5"/>
  <c r="E10" i="5"/>
  <c r="F10" i="5"/>
  <c r="F9" i="5"/>
  <c r="F8" i="5"/>
  <c r="F7" i="5"/>
  <c r="F6" i="5"/>
  <c r="E9" i="5"/>
  <c r="E8" i="5"/>
  <c r="E7" i="5"/>
  <c r="E6" i="5"/>
  <c r="I8" i="6"/>
  <c r="I9" i="6"/>
  <c r="I10" i="6"/>
  <c r="I7" i="6"/>
  <c r="K8" i="61"/>
  <c r="K7" i="61"/>
  <c r="K9" i="61"/>
  <c r="K6" i="61"/>
  <c r="I7" i="63"/>
  <c r="I9" i="63"/>
  <c r="I8" i="63"/>
  <c r="J6" i="63"/>
  <c r="H9" i="63"/>
  <c r="J9" i="63"/>
  <c r="H7" i="63"/>
  <c r="J7" i="63"/>
  <c r="H6" i="63"/>
  <c r="J8" i="63"/>
  <c r="H8" i="63"/>
  <c r="I6"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<sst xmlns="http://schemas.openxmlformats.org/spreadsheetml/2006/main" count="3337" uniqueCount="515">
  <si>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</si>
  <si>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</si>
  <si>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</si>
  <si>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</si>
  <si>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</si>
  <si>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</si>
  <si>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</si>
  <si>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</si>
  <si>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</si>
  <si>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</si>
  <si>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</si>
  <si>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</si>
  <si>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</si>
  <si>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</si>
  <si>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</si>
  <si>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</si>
  <si>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</si>
  <si>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</si>
  <si>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</si>
  <si>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</si>
  <si>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</si>
  <si>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</si>
  <si>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</si>
  <si>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</si>
  <si>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</si>
  <si>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</si>
  <si>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</si>
  <si>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</si>
  <si>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</si>
  <si>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</si>
  <si>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</si>
  <si>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CSU-20987</t>
  </si>
  <si>
    <t>LC</t>
  </si>
  <si>
    <t>LV</t>
  </si>
  <si>
    <t>LV-069</t>
  </si>
  <si>
    <t>L</t>
  </si>
  <si>
    <t>Cx.</t>
  </si>
  <si>
    <t>Tarsalis</t>
  </si>
  <si>
    <t>F</t>
  </si>
  <si>
    <t>Negative</t>
  </si>
  <si>
    <t>LV-Tar</t>
  </si>
  <si>
    <t>CSU-20988</t>
  </si>
  <si>
    <t>CSU-20989</t>
  </si>
  <si>
    <t>CSU-20990</t>
  </si>
  <si>
    <t>LV-095</t>
  </si>
  <si>
    <t>CSU-20991</t>
  </si>
  <si>
    <t>Positive</t>
  </si>
  <si>
    <t>CSU-20992</t>
  </si>
  <si>
    <t>CSU-20993</t>
  </si>
  <si>
    <t>Pipiens</t>
  </si>
  <si>
    <t>LV-Pip</t>
  </si>
  <si>
    <t>.</t>
  </si>
  <si>
    <t>CSU-20994</t>
  </si>
  <si>
    <t>FC</t>
  </si>
  <si>
    <t>FC-064</t>
  </si>
  <si>
    <t>SE</t>
  </si>
  <si>
    <t>FC-Tar</t>
  </si>
  <si>
    <t>SE-Tar</t>
  </si>
  <si>
    <t>CSU-20995</t>
  </si>
  <si>
    <t>CSU-20996</t>
  </si>
  <si>
    <t>CSU-20997</t>
  </si>
  <si>
    <t>CSU-20998</t>
  </si>
  <si>
    <t>FC-Pip</t>
  </si>
  <si>
    <t>SE-Pip</t>
  </si>
  <si>
    <t>CSU-20999</t>
  </si>
  <si>
    <t>FC-053</t>
  </si>
  <si>
    <t>CSU-21000</t>
  </si>
  <si>
    <t>CSU-21001</t>
  </si>
  <si>
    <t>CSU-21002</t>
  </si>
  <si>
    <t>CSU-21003</t>
  </si>
  <si>
    <t>FC-075gr</t>
  </si>
  <si>
    <t>G</t>
  </si>
  <si>
    <t>CSU-21004</t>
  </si>
  <si>
    <t>FC-074</t>
  </si>
  <si>
    <t>CSU-21005</t>
  </si>
  <si>
    <t>CSU-21006</t>
  </si>
  <si>
    <t>CSU-21007</t>
  </si>
  <si>
    <t>FC-075</t>
  </si>
  <si>
    <t>CSU-21008</t>
  </si>
  <si>
    <t>CSU-21009</t>
  </si>
  <si>
    <t>CSU-21010</t>
  </si>
  <si>
    <t>FC-039</t>
  </si>
  <si>
    <t>CSU-21011</t>
  </si>
  <si>
    <t>CSU-21012</t>
  </si>
  <si>
    <t>CSU-21013</t>
  </si>
  <si>
    <t>CSU-21014</t>
  </si>
  <si>
    <t>CSU-21015</t>
  </si>
  <si>
    <t>CSU-21016</t>
  </si>
  <si>
    <t>FC-088gr</t>
  </si>
  <si>
    <t>CSU-21017</t>
  </si>
  <si>
    <t>CSU-21018</t>
  </si>
  <si>
    <t>CSU-21019</t>
  </si>
  <si>
    <t>FC-027</t>
  </si>
  <si>
    <t>CSU-21020</t>
  </si>
  <si>
    <t>FC-023</t>
  </si>
  <si>
    <t>CSU-21021</t>
  </si>
  <si>
    <t>CSU-21022</t>
  </si>
  <si>
    <t>CSU-21023</t>
  </si>
  <si>
    <t>FC-059</t>
  </si>
  <si>
    <t>CSU-21024</t>
  </si>
  <si>
    <t>CSU-21025</t>
  </si>
  <si>
    <t>FC-050</t>
  </si>
  <si>
    <t>CSU-21026</t>
  </si>
  <si>
    <t>CSU-21027</t>
  </si>
  <si>
    <t>CSU-21028</t>
  </si>
  <si>
    <t>FC-004</t>
  </si>
  <si>
    <t>CSU-21029</t>
  </si>
  <si>
    <t>CSU-21030</t>
  </si>
  <si>
    <t>CSU-21031</t>
  </si>
  <si>
    <t>CSU-21032</t>
  </si>
  <si>
    <t>CSU-21033</t>
  </si>
  <si>
    <t>CSU-21034</t>
  </si>
  <si>
    <t>CSU-21035</t>
  </si>
  <si>
    <t>FC-046</t>
  </si>
  <si>
    <t>CSU-21036</t>
  </si>
  <si>
    <t>CSU-21037</t>
  </si>
  <si>
    <t>CSU-21038</t>
  </si>
  <si>
    <t>FC-047</t>
  </si>
  <si>
    <t>CSU-21039</t>
  </si>
  <si>
    <t>CSU-21040</t>
  </si>
  <si>
    <t>CSU-21041</t>
  </si>
  <si>
    <t>FC-031</t>
  </si>
  <si>
    <t>CSU-21042</t>
  </si>
  <si>
    <t>CSU-21043</t>
  </si>
  <si>
    <t>CSU-21044</t>
  </si>
  <si>
    <t>CSU-21045</t>
  </si>
  <si>
    <t>CSU-21046</t>
  </si>
  <si>
    <t>CSU-21047</t>
  </si>
  <si>
    <t>CSU-21048</t>
  </si>
  <si>
    <t>CSU-21049</t>
  </si>
  <si>
    <t>CSU-21050</t>
  </si>
  <si>
    <t>CSU-21051</t>
  </si>
  <si>
    <t>CSU-21052</t>
  </si>
  <si>
    <t>CSU-21053</t>
  </si>
  <si>
    <t>CSU-21054</t>
  </si>
  <si>
    <t>CSU-21055</t>
  </si>
  <si>
    <t>LV-089</t>
  </si>
  <si>
    <t>CSU-21056</t>
  </si>
  <si>
    <t>CSU-21057</t>
  </si>
  <si>
    <t>CSU-21058</t>
  </si>
  <si>
    <t>LV-104</t>
  </si>
  <si>
    <t>CSU-21059</t>
  </si>
  <si>
    <t>CSU-21060</t>
  </si>
  <si>
    <t>CSU-21061</t>
  </si>
  <si>
    <t>CSU-21062</t>
  </si>
  <si>
    <t>FC-006</t>
  </si>
  <si>
    <t>NE</t>
  </si>
  <si>
    <t>NE-Tar</t>
  </si>
  <si>
    <t>CSU-21063</t>
  </si>
  <si>
    <t>LV-110</t>
  </si>
  <si>
    <t>CSU-21064</t>
  </si>
  <si>
    <t>FC-072</t>
  </si>
  <si>
    <t>CSU-21065</t>
  </si>
  <si>
    <t>FC-019</t>
  </si>
  <si>
    <t>CSU-21066</t>
  </si>
  <si>
    <t>NE-Pip</t>
  </si>
  <si>
    <t>CSU-21067</t>
  </si>
  <si>
    <t>FC-067</t>
  </si>
  <si>
    <t>CSU-21068</t>
  </si>
  <si>
    <t>CSU-21069</t>
  </si>
  <si>
    <t>FC-014</t>
  </si>
  <si>
    <t>CSU-21070</t>
  </si>
  <si>
    <t>CSU-21071</t>
  </si>
  <si>
    <t>FC-036</t>
  </si>
  <si>
    <t>NW</t>
  </si>
  <si>
    <t>NW-Tar</t>
  </si>
  <si>
    <t>CSU-21072</t>
  </si>
  <si>
    <t>NW-Pip</t>
  </si>
  <si>
    <t>CSU-21073</t>
  </si>
  <si>
    <t>FC-066gr</t>
  </si>
  <si>
    <t>CSU-21074</t>
  </si>
  <si>
    <t>FC-069</t>
  </si>
  <si>
    <t>CSU-21075</t>
  </si>
  <si>
    <t>FC-034</t>
  </si>
  <si>
    <t>CSU-21076</t>
  </si>
  <si>
    <t>FC-038</t>
  </si>
  <si>
    <t>CSU-21077</t>
  </si>
  <si>
    <t>FC-040</t>
  </si>
  <si>
    <t>CSU-21078</t>
  </si>
  <si>
    <t>CSU-21079</t>
  </si>
  <si>
    <t>FC-066</t>
  </si>
  <si>
    <t>CSU-21080</t>
  </si>
  <si>
    <t>CSU-21081</t>
  </si>
  <si>
    <t>CSU-21082</t>
  </si>
  <si>
    <t>CSU-21083</t>
  </si>
  <si>
    <t>FC-049</t>
  </si>
  <si>
    <t>SW</t>
  </si>
  <si>
    <t>SW-Tar</t>
  </si>
  <si>
    <t>CSU-21084</t>
  </si>
  <si>
    <t>FC-058</t>
  </si>
  <si>
    <t>CSU-21085</t>
  </si>
  <si>
    <t>SW-Pip</t>
  </si>
  <si>
    <t>CSU-21086</t>
  </si>
  <si>
    <t>FC-015</t>
  </si>
  <si>
    <t>CSU-21087</t>
  </si>
  <si>
    <t>CSU-21088</t>
  </si>
  <si>
    <t>FC-060</t>
  </si>
  <si>
    <t>CSU-21089</t>
  </si>
  <si>
    <t>CSU-21090</t>
  </si>
  <si>
    <t>FC-063gr</t>
  </si>
  <si>
    <t>CSU-21091</t>
  </si>
  <si>
    <t>CSU-21092</t>
  </si>
  <si>
    <t>CSU-21093</t>
  </si>
  <si>
    <t>LV-020</t>
  </si>
  <si>
    <t>CSU-21094</t>
  </si>
  <si>
    <t>CSU-21095</t>
  </si>
  <si>
    <t>BE</t>
  </si>
  <si>
    <t>LC-054</t>
  </si>
  <si>
    <t>BE-Tar</t>
  </si>
  <si>
    <t>CSU-21096</t>
  </si>
  <si>
    <t>BE-Pip</t>
  </si>
  <si>
    <t>CSU-21097</t>
  </si>
  <si>
    <t>LC-053</t>
  </si>
  <si>
    <t>CSU-21098</t>
  </si>
  <si>
    <t>CSU-21099</t>
  </si>
  <si>
    <t>WC-055</t>
  </si>
  <si>
    <t>CSU-21100</t>
  </si>
  <si>
    <t>CSU-21101</t>
  </si>
  <si>
    <t>LC-049</t>
  </si>
  <si>
    <t>CSU-21102</t>
  </si>
  <si>
    <t>LC-001</t>
  </si>
  <si>
    <t>CSU-21103</t>
  </si>
  <si>
    <t>CSU-21104</t>
  </si>
  <si>
    <t>CSU-21105</t>
  </si>
  <si>
    <t>CSU-21106</t>
  </si>
  <si>
    <t>FC-011</t>
  </si>
  <si>
    <t>CSU-21107</t>
  </si>
  <si>
    <t>CSU-21108</t>
  </si>
  <si>
    <t>FC-041</t>
  </si>
  <si>
    <t>CSU-21109</t>
  </si>
  <si>
    <t>CSU-21110</t>
  </si>
  <si>
    <t>FC-090gr</t>
  </si>
  <si>
    <t>CSU-21111</t>
  </si>
  <si>
    <t>FC-073</t>
  </si>
  <si>
    <t>CSU-21112</t>
  </si>
  <si>
    <t>CSU-21113</t>
  </si>
  <si>
    <t>FC-061</t>
  </si>
  <si>
    <t>CSU-21114</t>
  </si>
  <si>
    <t>CSU-21115</t>
  </si>
  <si>
    <t>CSU-21116</t>
  </si>
  <si>
    <t>FC-052</t>
  </si>
  <si>
    <t>CSU-21117</t>
  </si>
  <si>
    <t>CSU-21118</t>
  </si>
  <si>
    <t>FC-001</t>
  </si>
  <si>
    <t>CSU-21119</t>
  </si>
  <si>
    <t>CSU-21120</t>
  </si>
  <si>
    <t>FC-029</t>
  </si>
  <si>
    <t>CSU-21121</t>
  </si>
  <si>
    <t>CSU-21122</t>
  </si>
  <si>
    <t>CSU-21123</t>
  </si>
  <si>
    <t>FC-068</t>
  </si>
  <si>
    <t>CSU-21124</t>
  </si>
  <si>
    <t>CSU-21125</t>
  </si>
  <si>
    <t>FC-093</t>
  </si>
  <si>
    <t>CSU-21126</t>
  </si>
  <si>
    <t>FC-029gr</t>
  </si>
  <si>
    <t>CSU-21127</t>
  </si>
  <si>
    <t>FC-062</t>
  </si>
  <si>
    <t>CSU-21128</t>
  </si>
  <si>
    <t>CSU-21129</t>
  </si>
  <si>
    <t>FC-057</t>
  </si>
  <si>
    <t>CSU-21130</t>
  </si>
  <si>
    <t>CSU-21131</t>
  </si>
  <si>
    <t>CSU-21132</t>
  </si>
  <si>
    <t>FC-037</t>
  </si>
  <si>
    <t>CSU-21133</t>
  </si>
  <si>
    <t>CSU-21134</t>
  </si>
  <si>
    <t>FC-071</t>
  </si>
  <si>
    <t>CSU-21135</t>
  </si>
  <si>
    <t>CSU-21136</t>
  </si>
  <si>
    <t>FC-089gr</t>
  </si>
  <si>
    <t>BOU-00175</t>
  </si>
  <si>
    <t>N/A</t>
  </si>
  <si>
    <t>BC</t>
  </si>
  <si>
    <t>BC-25</t>
  </si>
  <si>
    <t>BC-Tar</t>
  </si>
  <si>
    <t>BOU-00176</t>
  </si>
  <si>
    <t>BC-11</t>
  </si>
  <si>
    <t>BOU-00177</t>
  </si>
  <si>
    <t>BC-27</t>
  </si>
  <si>
    <t>BOU-00178</t>
  </si>
  <si>
    <t>BC-22</t>
  </si>
  <si>
    <t>BOU-00179</t>
  </si>
  <si>
    <t>BC-04</t>
  </si>
  <si>
    <t>BOU-00180</t>
  </si>
  <si>
    <t>BC-26</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</si>
  <si>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</si>
  <si>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</si>
  <si>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</si>
  <si>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</si>
  <si>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</si>
  <si>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</si>
  <si>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</si>
  <si>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</si>
  <si>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</si>
  <si>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</si>
  <si>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</si>
  <si>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</si>
  <si>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</si>
  <si>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</si>
  <si>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</si>
  <si>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</si>
  <si>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</si>
  <si>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</si>
  <si>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</si>
  <si>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</si>
  <si>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</si>
  <si>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</si>
  <si>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</si>
  <si>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</si>
  <si>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</si>
  <si>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</si>
  <si>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</si>
  <si>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</si>
  <si>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</si>
  <si>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</si>
  <si>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</si>
  <si>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</si>
  <si>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</si>
  <si>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</si>
  <si>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</si>
  <si>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</si>
  <si>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</si>
  <si>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</si>
  <si>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</si>
  <si>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</si>
  <si>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</si>
  <si>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</si>
  <si>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</si>
  <si>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</si>
  <si>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</si>
  <si>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</si>
  <si>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</si>
  <si>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</si>
  <si>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N. Linden</t>
  </si>
  <si>
    <t>FC Visitor Center</t>
  </si>
  <si>
    <t>Edora Park</t>
  </si>
  <si>
    <t>Country Club</t>
  </si>
  <si>
    <t>Hemlock</t>
  </si>
  <si>
    <t xml:space="preserve">FC-036 </t>
  </si>
  <si>
    <t>Lochside Lane</t>
  </si>
  <si>
    <t>Redwood</t>
  </si>
  <si>
    <t>Prospect Ponds</t>
  </si>
  <si>
    <t>Poudre River Trail</t>
  </si>
  <si>
    <t>Linden Lake Rd</t>
  </si>
  <si>
    <t>422 Lake Dr</t>
  </si>
  <si>
    <t>Golden Current</t>
  </si>
  <si>
    <t>Stuart and Dorset</t>
  </si>
  <si>
    <t>Fishback</t>
  </si>
  <si>
    <t>Casa Grande and Downing</t>
  </si>
  <si>
    <t>603 Gilgalad Way</t>
  </si>
  <si>
    <t>Spring Creek Trail-- Michener Dr</t>
  </si>
  <si>
    <t>808 Ponderosa</t>
  </si>
  <si>
    <t>Holley Plant Research Center</t>
  </si>
  <si>
    <t xml:space="preserve">118 S Grant </t>
  </si>
  <si>
    <t>Magic Carpet</t>
  </si>
  <si>
    <t>Ben's Park</t>
  </si>
  <si>
    <t>Chelsea Ridge</t>
  </si>
  <si>
    <t>Registry Ridge</t>
  </si>
  <si>
    <t>Water's Edge at Blue Mesa</t>
  </si>
  <si>
    <t>5029 Crest Dr</t>
  </si>
  <si>
    <t>Silvergate Rd</t>
  </si>
  <si>
    <t>Lopez Elementary</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</si>
  <si>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</si>
  <si>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</si>
  <si>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</si>
  <si>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</si>
  <si>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</si>
  <si>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</si>
  <si>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</si>
  <si>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</si>
  <si>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</si>
  <si>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</si>
  <si>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</si>
  <si>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</si>
  <si>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</si>
  <si>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</si>
  <si>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</si>
  <si>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</si>
  <si>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</si>
  <si>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</si>
  <si>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</si>
  <si>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</si>
  <si>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</si>
  <si>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</si>
  <si>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</si>
  <si>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</si>
  <si>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</si>
  <si>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</si>
  <si>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</si>
  <si>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</si>
  <si>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</si>
  <si>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</si>
  <si>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</si>
  <si>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</si>
  <si>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</si>
  <si>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</si>
  <si>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</si>
  <si>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</si>
  <si>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</si>
  <si>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</si>
  <si>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</si>
  <si>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</si>
  <si>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</si>
  <si>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</si>
  <si>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</si>
  <si>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</si>
  <si>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</si>
  <si>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</si>
  <si>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</si>
  <si>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</si>
  <si>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</si>
  <si>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</si>
  <si>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</si>
  <si>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</si>
  <si>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</si>
  <si>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</si>
  <si>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</si>
  <si>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</si>
  <si>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</si>
  <si>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</si>
  <si>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</si>
  <si>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</si>
  <si>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</si>
  <si>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</si>
  <si>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</si>
  <si>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</si>
  <si>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</si>
  <si>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</si>
  <si>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</si>
  <si>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</si>
  <si>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</si>
  <si>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</si>
  <si>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</si>
  <si>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</si>
  <si>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</si>
  <si>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</si>
  <si>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</si>
  <si>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</si>
  <si>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</si>
  <si>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</si>
  <si>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</si>
  <si>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</si>
  <si>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</si>
  <si>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</si>
  <si>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</si>
  <si>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</si>
  <si>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</si>
  <si>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</si>
  <si>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</si>
  <si>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Stazio Ballfields</t>
  </si>
  <si>
    <t>Goose Creek</t>
  </si>
  <si>
    <t>Sombrero Marsh</t>
  </si>
  <si>
    <t xml:space="preserve">South Boulder Rec </t>
  </si>
  <si>
    <t>Sawhill Ponds</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</si>
  <si>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</si>
  <si>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</si>
  <si>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</si>
  <si>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</si>
  <si>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</si>
  <si>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</si>
  <si>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</si>
  <si>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</si>
  <si>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</si>
  <si>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</si>
  <si>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</si>
  <si>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</si>
  <si>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</si>
  <si>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</si>
  <si>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</si>
  <si>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</si>
  <si>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</si>
  <si>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</si>
  <si>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</si>
  <si>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</si>
  <si>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</si>
  <si>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</si>
  <si>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</si>
  <si>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</si>
  <si>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</si>
  <si>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</si>
  <si>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</si>
  <si>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31</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</si>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</sst>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2">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0"/>
      <color rgb="FF000000"/>
      <name val="Helvetica Neue"/>
      <family val="2"/>
    </font>
    <font>
      <sz val="11"/>
      <color rgb="FF000000"/>
      <name val="Calibri"/>
      <family val="2"/>
      <scheme val="minor"/>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0">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0" xfId="0" applyFont="1"/>
    <xf numFmtId="2" fontId="2" fillId="0" borderId="8" xfId="0" applyNumberFormat="1" applyFont="1" applyBorder="1" applyAlignment="1">
      <alignment horizontal="right" vertical="center" wrapText="1"/>
    </xf>
    <xf numFmtId="14" fontId="19" fillId="0" borderId="0" xfId="0" applyNumberFormat="1" applyFont="1"/>
    <xf numFmtId="0" fontId="17" fillId="0" borderId="13" xfId="0" applyFont="1" applyBorder="1" applyAlignment="1">
      <alignment horizontal="right"/>
    </xf>
    <xf numFmtId="14" fontId="20" fillId="0" borderId="0" xfId="0" applyNumberFormat="1" applyFont="1"/>
    <xf numFmtId="0" fontId="20" fillId="0" borderId="0" xfId="0" applyFont="1"/>
    <xf numFmtId="0" fontId="21" fillId="0" borderId="13" xfId="0" applyFont="1" applyBorder="1" applyAlignment="1">
      <alignment horizontal="center" wrapText="1"/>
    </xf>
    <xf numFmtId="0" fontId="21" fillId="0" borderId="13" xfId="0" applyFont="1" applyBorder="1" applyAlignment="1">
      <alignment vertical="top"/>
    </xf>
    <xf numFmtId="0" fontId="21" fillId="0" borderId="13" xfId="0" applyFont="1" applyBorder="1" applyAlignment="1">
      <alignment horizontal="center" vertical="top"/>
    </xf>
    <xf numFmtId="14" fontId="21" fillId="0" borderId="13" xfId="0" applyNumberFormat="1" applyFont="1" applyBorder="1" applyAlignment="1">
      <alignment horizontal="center" vertical="top"/>
    </xf>
    <xf numFmtId="0" fontId="21" fillId="3" borderId="13" xfId="0" applyFont="1" applyFill="1" applyBorder="1" applyAlignment="1">
      <alignment horizontal="center" wrapText="1"/>
    </xf>
    <xf numFmtId="0" fontId="21" fillId="3" borderId="13" xfId="0" applyFont="1" applyFill="1" applyBorder="1" applyAlignment="1">
      <alignment vertical="top"/>
    </xf>
    <xf numFmtId="0" fontId="21" fillId="3" borderId="13" xfId="0" applyFont="1" applyFill="1" applyBorder="1" applyAlignment="1">
      <alignment horizontal="center" vertical="top"/>
    </xf>
    <xf numFmtId="14" fontId="21" fillId="3" borderId="13" xfId="0" applyNumberFormat="1" applyFont="1" applyFill="1" applyBorder="1" applyAlignment="1">
      <alignment horizontal="center" vertical="top"/>
    </xf>
    <xf numFmtId="0" fontId="14" fillId="3" borderId="13" xfId="0" applyFont="1" applyFill="1" applyBorder="1" applyAlignment="1">
      <alignment horizontal="right" vertical="center"/>
    </xf>
    <xf numFmtId="0" fontId="14" fillId="3" borderId="13" xfId="0"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42.415707638887" createdVersion="6" refreshedVersion="6" minRefreshableVersion="3" recordCount="163" xr:uid="{7CD08F2A-B170-409E-8086-6B565356544C}">
  <cacheSource type="worksheet">
    <worksheetSource ref="A1:K164" sheet="Weekly 009 input"/>
  </cacheSource>
  <cacheFields count="11">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23-07-30T00:00:00" maxDate="2023-08-03T00:00:00"/>
    </cacheField>
    <cacheField name="Contract" numFmtId="0">
      <sharedItems/>
    </cacheField>
    <cacheField name="Location" numFmtId="0">
      <sharedItems/>
    </cacheField>
    <cacheField name="Zone" numFmtId="0">
      <sharedItems count="8">
        <s v="BE"/>
        <s v="SE"/>
        <s v="NE"/>
        <s v="NW"/>
        <s v="SW"/>
        <s v="LV"/>
        <s v="TT"/>
        <s v="BC"/>
      </sharedItems>
    </cacheField>
    <cacheField name="Species" numFmtId="0">
      <sharedItems/>
    </cacheField>
    <cacheField name="Total CX" numFmtId="0">
      <sharedItems containsSemiMixedTypes="0" containsString="0" containsNumber="1" containsInteger="1" minValue="1" maxValue="1616"/>
    </cacheField>
    <cacheField name="Type" numFmtId="0">
      <sharedItems/>
    </cacheField>
    <cacheField name="Trap Number" numFmtId="0">
      <sharedItems/>
    </cacheField>
    <cacheField name="Cx tarsalis" numFmtId="0">
      <sharedItems containsSemiMixedTypes="0" containsString="0" containsNumber="1" containsInteger="1" minValue="0" maxValue="1616"/>
    </cacheField>
    <cacheField name="Cx pipiens" numFmtId="0">
      <sharedItems containsSemiMixedTypes="0" containsString="0" containsNumber="1" containsInteger="1" minValue="0" maxValue="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42.420140624999" createdVersion="6" refreshedVersion="6" minRefreshableVersion="3" recordCount="156" xr:uid="{9399FEDE-B135-4DBB-9FA0-AC0A37F625FF}">
  <cacheSource type="worksheet">
    <worksheetSource ref="A1:R157"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0693" maxValue="30842"/>
    </cacheField>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23-07-31T00:00:00" maxDate="2023-08-04T00:00:00" count="4">
        <d v="2023-07-31T00:00:00"/>
        <d v="2023-08-01T00:00:00"/>
        <d v="2023-08-02T00:00:00"/>
        <d v="2023-08-03T00:00:00"/>
      </sharedItems>
    </cacheField>
    <cacheField name="County" numFmtId="0">
      <sharedItems/>
    </cacheField>
    <cacheField name="Account" numFmtId="0">
      <sharedItems/>
    </cacheField>
    <cacheField name="Collection Site (Trap ID)" numFmtId="0">
      <sharedItems/>
    </cacheField>
    <cacheField name="Zone" numFmtId="0">
      <sharedItems count="7">
        <s v="LV"/>
        <s v="SE"/>
        <s v="NE"/>
        <s v="NW"/>
        <s v="SW"/>
        <s v="BE"/>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d v="2023-08-01T00:00:00"/>
    <s v="Berthoud"/>
    <s v="Berthoud Park"/>
    <x v="0"/>
    <s v="Culex pipiens"/>
    <n v="30"/>
    <s v="CDC Light Trap"/>
    <s v="LC-001 "/>
    <n v="0"/>
    <n v="30"/>
  </r>
  <r>
    <x v="0"/>
    <d v="2023-08-01T00:00:00"/>
    <s v="Berthoud"/>
    <s v="Berthoud Park"/>
    <x v="0"/>
    <s v="Culex tarsalis"/>
    <n v="137"/>
    <s v="CDC Light Trap"/>
    <s v="LC-001 "/>
    <n v="137"/>
    <n v="0"/>
  </r>
  <r>
    <x v="0"/>
    <d v="2023-08-01T00:00:00"/>
    <s v="Berthoud"/>
    <s v="Berthoud North"/>
    <x v="0"/>
    <s v="Culex tarsalis"/>
    <n v="9"/>
    <s v="CDC Light Trap"/>
    <s v="LC-049 "/>
    <n v="9"/>
    <n v="0"/>
  </r>
  <r>
    <x v="0"/>
    <d v="2023-08-01T00:00:00"/>
    <s v="Berthoud"/>
    <s v="Berthoud West"/>
    <x v="0"/>
    <s v="Culex pipiens"/>
    <n v="8"/>
    <s v="CDC Light Trap"/>
    <s v="LC-053 "/>
    <n v="0"/>
    <n v="8"/>
  </r>
  <r>
    <x v="0"/>
    <d v="2023-08-01T00:00:00"/>
    <s v="Berthoud"/>
    <s v="Berthoud West"/>
    <x v="0"/>
    <s v="Culex tarsalis"/>
    <n v="15"/>
    <s v="CDC Light Trap"/>
    <s v="LC-053 "/>
    <n v="15"/>
    <n v="0"/>
  </r>
  <r>
    <x v="0"/>
    <d v="2023-08-01T00:00:00"/>
    <s v="Berthoud"/>
    <s v="Berthoud Point"/>
    <x v="0"/>
    <s v="Culex pipiens"/>
    <n v="2"/>
    <s v="CDC Light Trap"/>
    <s v="LC-054 "/>
    <n v="0"/>
    <n v="2"/>
  </r>
  <r>
    <x v="0"/>
    <d v="2023-08-01T00:00:00"/>
    <s v="Berthoud"/>
    <s v="Berthoud Point"/>
    <x v="0"/>
    <s v="Culex tarsalis"/>
    <n v="28"/>
    <s v="CDC Light Trap"/>
    <s v="LC-054 "/>
    <n v="28"/>
    <n v="0"/>
  </r>
  <r>
    <x v="0"/>
    <d v="2023-08-01T00:00:00"/>
    <s v="Berthoud"/>
    <s v="Berthoud East"/>
    <x v="0"/>
    <s v="Culex pipiens"/>
    <n v="9"/>
    <s v="CDC Light Trap"/>
    <s v="WC-055"/>
    <n v="0"/>
    <n v="9"/>
  </r>
  <r>
    <x v="0"/>
    <d v="2023-08-01T00:00:00"/>
    <s v="Berthoud"/>
    <s v="Berthoud East"/>
    <x v="0"/>
    <s v="Culex tarsalis"/>
    <n v="21"/>
    <s v="CDC Light Trap"/>
    <s v="WC-055"/>
    <n v="21"/>
    <n v="0"/>
  </r>
  <r>
    <x v="0"/>
    <d v="2023-07-30T00:00:00"/>
    <s v="Fort Collins"/>
    <s v="Big Horn"/>
    <x v="1"/>
    <s v="Culex pipiens"/>
    <n v="24"/>
    <s v="CDC Light Trap"/>
    <s v="FC-004"/>
    <n v="0"/>
    <n v="24"/>
  </r>
  <r>
    <x v="0"/>
    <d v="2023-07-30T00:00:00"/>
    <s v="Fort Collins"/>
    <s v="Big Horn"/>
    <x v="1"/>
    <s v="Culex tarsalis"/>
    <n v="271"/>
    <s v="CDC Light Trap"/>
    <s v="FC-004"/>
    <n v="271"/>
    <n v="0"/>
  </r>
  <r>
    <x v="0"/>
    <d v="2023-07-30T00:00:00"/>
    <s v="Fort Collins"/>
    <s v="Boltz"/>
    <x v="1"/>
    <s v="Culex pipiens"/>
    <n v="8"/>
    <s v="CDC Light Trap"/>
    <s v="FC-023"/>
    <n v="0"/>
    <n v="8"/>
  </r>
  <r>
    <x v="0"/>
    <d v="2023-07-30T00:00:00"/>
    <s v="Fort Collins"/>
    <s v="Boltz"/>
    <x v="1"/>
    <s v="Culex tarsalis"/>
    <n v="79"/>
    <s v="CDC Light Trap"/>
    <s v="FC-023"/>
    <n v="79"/>
    <n v="0"/>
  </r>
  <r>
    <x v="0"/>
    <d v="2023-07-30T00:00:00"/>
    <s v="Fort Collins"/>
    <s v="3001 San Luis"/>
    <x v="1"/>
    <s v="Culex tarsalis"/>
    <n v="26"/>
    <s v="CDC Light Trap"/>
    <s v="FC-027"/>
    <n v="26"/>
    <n v="0"/>
  </r>
  <r>
    <x v="0"/>
    <d v="2023-07-30T00:00:00"/>
    <s v="Fort Collins"/>
    <s v="Willow Springs"/>
    <x v="1"/>
    <s v="Culex tarsalis"/>
    <n v="627"/>
    <s v="CDC Light Trap"/>
    <s v="FC-031"/>
    <n v="627"/>
    <n v="0"/>
  </r>
  <r>
    <x v="0"/>
    <d v="2023-07-30T00:00:00"/>
    <s v="Fort Collins"/>
    <s v="Willow Springs"/>
    <x v="1"/>
    <s v="Culex pipiens"/>
    <n v="44"/>
    <s v="CDC Light Trap"/>
    <s v="FC-031"/>
    <n v="0"/>
    <n v="44"/>
  </r>
  <r>
    <x v="0"/>
    <d v="2023-07-30T00:00:00"/>
    <s v="Fort Collins"/>
    <s v="Fossil Creek South"/>
    <x v="1"/>
    <s v="Culex tarsalis"/>
    <n v="229"/>
    <s v="CDC Light Trap"/>
    <s v="FC-039"/>
    <n v="229"/>
    <n v="0"/>
  </r>
  <r>
    <x v="0"/>
    <d v="2023-07-30T00:00:00"/>
    <s v="Fort Collins"/>
    <s v="Fossil Creek South"/>
    <x v="1"/>
    <s v="Culex pipiens"/>
    <n v="6"/>
    <s v="CDC Light Trap"/>
    <s v="FC-039"/>
    <n v="0"/>
    <n v="6"/>
  </r>
  <r>
    <x v="0"/>
    <d v="2023-07-30T00:00:00"/>
    <s v="Fort Collins"/>
    <s v="Westshore Ct"/>
    <x v="1"/>
    <s v="Culex pipiens"/>
    <n v="6"/>
    <s v="CDC Light Trap"/>
    <s v="FC-046"/>
    <n v="0"/>
    <n v="6"/>
  </r>
  <r>
    <x v="0"/>
    <d v="2023-07-30T00:00:00"/>
    <s v="Fort Collins"/>
    <s v="Westshore Ct"/>
    <x v="1"/>
    <s v="Culex tarsalis"/>
    <n v="80"/>
    <s v="CDC Light Trap"/>
    <s v="FC-046"/>
    <n v="80"/>
    <n v="0"/>
  </r>
  <r>
    <x v="0"/>
    <d v="2023-07-30T00:00:00"/>
    <s v="Fort Collins"/>
    <s v="Keeneland And Twin Oak"/>
    <x v="1"/>
    <s v="Culex tarsalis"/>
    <n v="79"/>
    <s v="CDC Light Trap"/>
    <s v="FC-047"/>
    <n v="79"/>
    <n v="0"/>
  </r>
  <r>
    <x v="0"/>
    <d v="2023-07-30T00:00:00"/>
    <s v="Fort Collins"/>
    <s v="Keeneland And Twin Oak"/>
    <x v="1"/>
    <s v="Culex pipiens"/>
    <n v="7"/>
    <s v="CDC Light Trap"/>
    <s v="FC-047"/>
    <n v="0"/>
    <n v="7"/>
  </r>
  <r>
    <x v="0"/>
    <d v="2023-07-30T00:00:00"/>
    <s v="Fort Collins"/>
    <s v="Golden Meadows Ditch"/>
    <x v="1"/>
    <s v="Culex pipiens"/>
    <n v="4"/>
    <s v="CDC Light Trap"/>
    <s v="FC-050"/>
    <n v="0"/>
    <n v="4"/>
  </r>
  <r>
    <x v="0"/>
    <d v="2023-07-30T00:00:00"/>
    <s v="Fort Collins"/>
    <s v="Golden Meadows Ditch"/>
    <x v="1"/>
    <s v="Culex tarsalis"/>
    <n v="82"/>
    <s v="CDC Light Trap"/>
    <s v="FC-050"/>
    <n v="82"/>
    <n v="0"/>
  </r>
  <r>
    <x v="0"/>
    <d v="2023-07-30T00:00:00"/>
    <s v="Fort Collins"/>
    <s v="Egret and Rookery"/>
    <x v="1"/>
    <s v="Culex tarsalis"/>
    <n v="140"/>
    <s v="CDC Light Trap"/>
    <s v="FC-053"/>
    <n v="140"/>
    <n v="0"/>
  </r>
  <r>
    <x v="0"/>
    <d v="2023-07-30T00:00:00"/>
    <s v="Fort Collins"/>
    <s v="Egret and Rookery"/>
    <x v="1"/>
    <s v="Culex pipiens"/>
    <n v="1"/>
    <s v="CDC Light Trap"/>
    <s v="FC-053"/>
    <n v="0"/>
    <n v="1"/>
  </r>
  <r>
    <x v="0"/>
    <d v="2023-07-30T00:00:00"/>
    <s v="Fort Collins"/>
    <s v="Springwood and Lochwood"/>
    <x v="1"/>
    <s v="Culex pipiens"/>
    <n v="1"/>
    <s v="CDC Light Trap"/>
    <s v="FC-059"/>
    <n v="0"/>
    <n v="1"/>
  </r>
  <r>
    <x v="0"/>
    <d v="2023-07-30T00:00:00"/>
    <s v="Fort Collins"/>
    <s v="Springwood and Lochwood"/>
    <x v="1"/>
    <s v="Culex tarsalis"/>
    <n v="14"/>
    <s v="CDC Light Trap"/>
    <s v="FC-059"/>
    <n v="14"/>
    <n v="0"/>
  </r>
  <r>
    <x v="0"/>
    <d v="2023-07-30T00:00:00"/>
    <s v="Fort Collins"/>
    <s v="West Chase"/>
    <x v="1"/>
    <s v="Culex tarsalis"/>
    <n v="181"/>
    <s v="CDC Light Trap"/>
    <s v="FC-064"/>
    <n v="181"/>
    <n v="0"/>
  </r>
  <r>
    <x v="0"/>
    <d v="2023-07-30T00:00:00"/>
    <s v="Fort Collins"/>
    <s v="West Chase"/>
    <x v="1"/>
    <s v="Culex pipiens"/>
    <n v="45"/>
    <s v="CDC Light Trap"/>
    <s v="FC-064"/>
    <n v="0"/>
    <n v="45"/>
  </r>
  <r>
    <x v="0"/>
    <d v="2023-07-30T00:00:00"/>
    <s v="Fort Collins"/>
    <s v="Rock Creek"/>
    <x v="1"/>
    <s v="Culex tarsalis"/>
    <n v="62"/>
    <s v="CDC Light Trap"/>
    <s v="FC-074"/>
    <n v="62"/>
    <n v="0"/>
  </r>
  <r>
    <x v="0"/>
    <d v="2023-07-30T00:00:00"/>
    <s v="Fort Collins"/>
    <s v="Rock Creek"/>
    <x v="1"/>
    <s v="Culex pipiens"/>
    <n v="2"/>
    <s v="CDC Light Trap"/>
    <s v="FC-074"/>
    <n v="0"/>
    <n v="2"/>
  </r>
  <r>
    <x v="0"/>
    <d v="2023-07-30T00:00:00"/>
    <s v="Fort Collins"/>
    <s v="Sage Creek North"/>
    <x v="1"/>
    <s v="Culex pipiens"/>
    <n v="20"/>
    <s v="CDC Light Trap"/>
    <s v="FC-075"/>
    <n v="0"/>
    <n v="20"/>
  </r>
  <r>
    <x v="0"/>
    <d v="2023-07-30T00:00:00"/>
    <s v="Fort Collins"/>
    <s v="Sage Creek North"/>
    <x v="1"/>
    <s v="Culex tarsalis"/>
    <n v="79"/>
    <s v="CDC Light Trap"/>
    <s v="FC-075"/>
    <n v="79"/>
    <n v="0"/>
  </r>
  <r>
    <x v="0"/>
    <d v="2023-07-31T00:00:00"/>
    <s v="Fort Collins"/>
    <s v="N. Linden"/>
    <x v="2"/>
    <s v="Culex tarsalis"/>
    <n v="2"/>
    <s v="CDC Light Trap"/>
    <s v="FC-006"/>
    <n v="2"/>
    <n v="0"/>
  </r>
  <r>
    <x v="0"/>
    <d v="2023-07-31T00:00:00"/>
    <s v="Fort Collins"/>
    <s v="FC Visitor Center"/>
    <x v="2"/>
    <s v="Culex pipiens"/>
    <n v="11"/>
    <s v="CDC Light Trap"/>
    <s v="FC-014"/>
    <n v="0"/>
    <n v="11"/>
  </r>
  <r>
    <x v="0"/>
    <d v="2023-07-31T00:00:00"/>
    <s v="Fort Collins"/>
    <s v="FC Visitor Center"/>
    <x v="2"/>
    <s v="Culex tarsalis"/>
    <n v="26"/>
    <s v="CDC Light Trap"/>
    <s v="FC-014"/>
    <n v="26"/>
    <n v="0"/>
  </r>
  <r>
    <x v="0"/>
    <d v="2023-07-31T00:00:00"/>
    <s v="Fort Collins"/>
    <s v="Edora Park"/>
    <x v="2"/>
    <s v="Culex tarsalis"/>
    <n v="20"/>
    <s v="CDC Light Trap"/>
    <s v="FC-019"/>
    <n v="20"/>
    <n v="0"/>
  </r>
  <r>
    <x v="0"/>
    <d v="2023-07-31T00:00:00"/>
    <s v="Fort Collins"/>
    <s v="Edora Park"/>
    <x v="2"/>
    <s v="Culex pipiens"/>
    <n v="6"/>
    <s v="CDC Light Trap"/>
    <s v="FC-019"/>
    <n v="0"/>
    <n v="6"/>
  </r>
  <r>
    <x v="0"/>
    <d v="2023-07-31T00:00:00"/>
    <s v="Fort Collins"/>
    <s v="Country Club"/>
    <x v="2"/>
    <s v="Culex tarsalis"/>
    <n v="6"/>
    <s v="CDC Light Trap"/>
    <s v="FC-034"/>
    <n v="6"/>
    <n v="0"/>
  </r>
  <r>
    <x v="0"/>
    <d v="2023-07-31T00:00:00"/>
    <s v="Fort Collins"/>
    <s v="Hemlock"/>
    <x v="3"/>
    <s v="Culex pipiens"/>
    <n v="6"/>
    <s v="CDC Light Trap"/>
    <s v="FC-036 "/>
    <n v="0"/>
    <n v="6"/>
  </r>
  <r>
    <x v="0"/>
    <d v="2023-07-31T00:00:00"/>
    <s v="Fort Collins"/>
    <s v="Hemlock"/>
    <x v="3"/>
    <s v="Culex tarsalis"/>
    <n v="20"/>
    <s v="CDC Light Trap"/>
    <s v="FC-036 "/>
    <n v="20"/>
    <n v="0"/>
  </r>
  <r>
    <x v="0"/>
    <d v="2023-07-31T00:00:00"/>
    <s v="Fort Collins"/>
    <s v="Lochside Lane"/>
    <x v="2"/>
    <s v="Culex tarsalis"/>
    <n v="24"/>
    <s v="CDC Light Trap"/>
    <s v="FC-038"/>
    <n v="24"/>
    <n v="0"/>
  </r>
  <r>
    <x v="0"/>
    <d v="2023-07-31T00:00:00"/>
    <s v="Fort Collins"/>
    <s v="Redwood"/>
    <x v="2"/>
    <s v="Culex pipiens"/>
    <n v="8"/>
    <s v="CDC Light Trap"/>
    <s v="FC-040"/>
    <n v="0"/>
    <n v="8"/>
  </r>
  <r>
    <x v="0"/>
    <d v="2023-07-31T00:00:00"/>
    <s v="Fort Collins"/>
    <s v="Redwood"/>
    <x v="2"/>
    <s v="Culex tarsalis"/>
    <n v="22"/>
    <s v="CDC Light Trap"/>
    <s v="FC-040"/>
    <n v="22"/>
    <n v="0"/>
  </r>
  <r>
    <x v="0"/>
    <d v="2023-07-31T00:00:00"/>
    <s v="Fort Collins"/>
    <s v="Prospect Ponds"/>
    <x v="2"/>
    <s v="Culex pipiens"/>
    <n v="65"/>
    <s v="CDC Light Trap"/>
    <s v="FC-066"/>
    <n v="0"/>
    <n v="65"/>
  </r>
  <r>
    <x v="0"/>
    <d v="2023-07-31T00:00:00"/>
    <s v="Fort Collins"/>
    <s v="Prospect Ponds"/>
    <x v="2"/>
    <s v="Culex tarsalis"/>
    <n v="51"/>
    <s v="CDC Light Trap"/>
    <s v="FC-066"/>
    <n v="51"/>
    <n v="0"/>
  </r>
  <r>
    <x v="0"/>
    <d v="2023-07-31T00:00:00"/>
    <s v="Fort Collins"/>
    <s v="Poudre River Trail"/>
    <x v="2"/>
    <s v="Culex tarsalis"/>
    <n v="12"/>
    <s v="CDC Light Trap"/>
    <s v="FC-067"/>
    <n v="12"/>
    <n v="0"/>
  </r>
  <r>
    <x v="0"/>
    <d v="2023-07-31T00:00:00"/>
    <s v="Fort Collins"/>
    <s v="Poudre River Trail"/>
    <x v="2"/>
    <s v="Culex pipiens"/>
    <n v="1"/>
    <s v="CDC Light Trap"/>
    <s v="FC-067"/>
    <n v="0"/>
    <n v="1"/>
  </r>
  <r>
    <x v="0"/>
    <d v="2023-07-31T00:00:00"/>
    <s v="Fort Collins"/>
    <s v="Linden Lake Rd"/>
    <x v="2"/>
    <s v="Culex tarsalis"/>
    <n v="14"/>
    <s v="CDC Light Trap"/>
    <s v="FC-069"/>
    <n v="14"/>
    <n v="0"/>
  </r>
  <r>
    <x v="0"/>
    <d v="2023-07-31T00:00:00"/>
    <s v="Fort Collins"/>
    <s v="422 Lake Dr"/>
    <x v="2"/>
    <s v="Culex tarsalis"/>
    <n v="2"/>
    <s v="CDC Light Trap"/>
    <s v="FC-072"/>
    <n v="2"/>
    <n v="0"/>
  </r>
  <r>
    <x v="0"/>
    <d v="2023-08-01T00:00:00"/>
    <s v="Fort Collins"/>
    <s v="Golden Current"/>
    <x v="3"/>
    <s v="Culex pipiens"/>
    <n v="2"/>
    <s v="CDC Light Trap"/>
    <s v="FC-011"/>
    <n v="0"/>
    <n v="2"/>
  </r>
  <r>
    <x v="0"/>
    <d v="2023-08-01T00:00:00"/>
    <s v="Fort Collins"/>
    <s v="Golden Current"/>
    <x v="3"/>
    <s v="Culex tarsalis"/>
    <n v="11"/>
    <s v="CDC Light Trap"/>
    <s v="FC-011"/>
    <n v="11"/>
    <n v="0"/>
  </r>
  <r>
    <x v="0"/>
    <d v="2023-08-01T00:00:00"/>
    <s v="Fort Collins"/>
    <s v="Stuart and Dorset"/>
    <x v="3"/>
    <s v="Culex tarsalis"/>
    <n v="29"/>
    <s v="CDC Light Trap"/>
    <s v="FC-015"/>
    <n v="29"/>
    <n v="0"/>
  </r>
  <r>
    <x v="0"/>
    <d v="2023-08-01T00:00:00"/>
    <s v="Fort Collins"/>
    <s v="Stuart and Dorset"/>
    <x v="3"/>
    <s v="Culex pipiens"/>
    <n v="2"/>
    <s v="CDC Light Trap"/>
    <s v="FC-015"/>
    <n v="0"/>
    <n v="2"/>
  </r>
  <r>
    <x v="0"/>
    <d v="2023-08-01T00:00:00"/>
    <s v="Fort Collins"/>
    <s v="Fishback"/>
    <x v="3"/>
    <s v="Culex tarsalis"/>
    <n v="25"/>
    <s v="CDC Light Trap"/>
    <s v="FC-041"/>
    <n v="25"/>
    <n v="0"/>
  </r>
  <r>
    <x v="0"/>
    <d v="2023-08-01T00:00:00"/>
    <s v="Fort Collins"/>
    <s v="Fishback"/>
    <x v="3"/>
    <s v="Culex pipiens"/>
    <n v="7"/>
    <s v="CDC Light Trap"/>
    <s v="FC-041"/>
    <n v="0"/>
    <n v="7"/>
  </r>
  <r>
    <x v="0"/>
    <d v="2023-08-01T00:00:00"/>
    <s v="Fort Collins"/>
    <s v="Casa Grande and Downing"/>
    <x v="4"/>
    <s v="Culex tarsalis"/>
    <n v="12"/>
    <s v="CDC Light Trap"/>
    <s v="FC-049"/>
    <n v="12"/>
    <n v="0"/>
  </r>
  <r>
    <x v="0"/>
    <d v="2023-08-01T00:00:00"/>
    <s v="Fort Collins"/>
    <s v="603 Gilgalad Way"/>
    <x v="3"/>
    <s v="Culex pipiens"/>
    <n v="4"/>
    <s v="CDC Light Trap"/>
    <s v="FC-052"/>
    <n v="0"/>
    <n v="4"/>
  </r>
  <r>
    <x v="0"/>
    <d v="2023-08-01T00:00:00"/>
    <s v="Fort Collins"/>
    <s v="603 Gilgalad Way"/>
    <x v="3"/>
    <s v="Culex tarsalis"/>
    <n v="17"/>
    <s v="CDC Light Trap"/>
    <s v="FC-052"/>
    <n v="17"/>
    <n v="0"/>
  </r>
  <r>
    <x v="0"/>
    <d v="2023-08-01T00:00:00"/>
    <s v="Fort Collins"/>
    <s v="Spring Creek Trail-- Michener Dr"/>
    <x v="4"/>
    <s v="Culex pipiens"/>
    <n v="10"/>
    <s v="CDC Light Trap"/>
    <s v="FC-058"/>
    <n v="0"/>
    <n v="10"/>
  </r>
  <r>
    <x v="0"/>
    <d v="2023-08-01T00:00:00"/>
    <s v="Fort Collins"/>
    <s v="Spring Creek Trail-- Michener Dr"/>
    <x v="4"/>
    <s v="Culex tarsalis"/>
    <n v="12"/>
    <s v="CDC Light Trap"/>
    <s v="FC-058"/>
    <n v="12"/>
    <n v="0"/>
  </r>
  <r>
    <x v="0"/>
    <d v="2023-08-01T00:00:00"/>
    <s v="Fort Collins"/>
    <s v="808 Ponderosa"/>
    <x v="3"/>
    <s v="Culex pipiens"/>
    <n v="2"/>
    <s v="CDC Light Trap"/>
    <s v="FC-060"/>
    <n v="0"/>
    <n v="2"/>
  </r>
  <r>
    <x v="0"/>
    <d v="2023-08-01T00:00:00"/>
    <s v="Fort Collins"/>
    <s v="808 Ponderosa"/>
    <x v="3"/>
    <s v="Culex tarsalis"/>
    <n v="15"/>
    <s v="CDC Light Trap"/>
    <s v="FC-060"/>
    <n v="15"/>
    <n v="0"/>
  </r>
  <r>
    <x v="0"/>
    <d v="2023-08-01T00:00:00"/>
    <s v="Fort Collins"/>
    <s v="Holley Plant Research Center"/>
    <x v="3"/>
    <s v="Culex pipiens"/>
    <n v="9"/>
    <s v="CDC Light Trap"/>
    <s v="FC-061"/>
    <n v="0"/>
    <n v="9"/>
  </r>
  <r>
    <x v="0"/>
    <d v="2023-08-01T00:00:00"/>
    <s v="Fort Collins"/>
    <s v="Holley Plant Research Center"/>
    <x v="3"/>
    <s v="Culex tarsalis"/>
    <n v="74"/>
    <s v="CDC Light Trap"/>
    <s v="FC-061"/>
    <n v="74"/>
    <n v="0"/>
  </r>
  <r>
    <x v="0"/>
    <d v="2023-08-01T00:00:00"/>
    <s v="Fort Collins"/>
    <s v="118 S Grant "/>
    <x v="3"/>
    <s v="Culex pipiens"/>
    <n v="1"/>
    <s v="CDC Light Trap"/>
    <s v="FC-073"/>
    <n v="0"/>
    <n v="1"/>
  </r>
  <r>
    <x v="0"/>
    <d v="2023-08-01T00:00:00"/>
    <s v="Fort Collins"/>
    <s v="118 S Grant "/>
    <x v="3"/>
    <s v="Culex tarsalis"/>
    <n v="45"/>
    <s v="CDC Light Trap"/>
    <s v="FC-073"/>
    <n v="45"/>
    <n v="0"/>
  </r>
  <r>
    <x v="0"/>
    <d v="2023-08-02T00:00:00"/>
    <s v="Fort Collins"/>
    <s v="Magic Carpet"/>
    <x v="4"/>
    <s v="Culex tarsalis"/>
    <n v="32"/>
    <s v="CDC Light Trap"/>
    <s v="FC-001"/>
    <n v="32"/>
    <n v="0"/>
  </r>
  <r>
    <x v="0"/>
    <d v="2023-08-02T00:00:00"/>
    <s v="Fort Collins"/>
    <s v="Magic Carpet"/>
    <x v="4"/>
    <s v="Culex pipiens"/>
    <n v="3"/>
    <s v="CDC Light Trap"/>
    <s v="FC-001"/>
    <n v="0"/>
    <n v="3"/>
  </r>
  <r>
    <x v="0"/>
    <d v="2023-08-02T00:00:00"/>
    <s v="Fort Collins"/>
    <s v="Ben's Park"/>
    <x v="1"/>
    <s v="Culex pipiens"/>
    <n v="8"/>
    <s v="CDC Light Trap"/>
    <s v="FC-029"/>
    <n v="0"/>
    <n v="8"/>
  </r>
  <r>
    <x v="0"/>
    <d v="2023-08-02T00:00:00"/>
    <s v="Fort Collins"/>
    <s v="Ben's Park"/>
    <x v="1"/>
    <s v="Culex tarsalis"/>
    <n v="83"/>
    <s v="CDC Light Trap"/>
    <s v="FC-029"/>
    <n v="83"/>
    <n v="0"/>
  </r>
  <r>
    <x v="0"/>
    <d v="2023-08-02T00:00:00"/>
    <s v="Fort Collins"/>
    <s v="Chelsea Ridge"/>
    <x v="4"/>
    <s v="Culex tarsalis"/>
    <n v="5"/>
    <s v="CDC Light Trap"/>
    <s v="FC-037"/>
    <n v="5"/>
    <n v="0"/>
  </r>
  <r>
    <x v="0"/>
    <d v="2023-08-02T00:00:00"/>
    <s v="Fort Collins"/>
    <s v="Chelsea Ridge"/>
    <x v="4"/>
    <s v="Culex pipiens"/>
    <n v="1"/>
    <s v="CDC Light Trap"/>
    <s v="FC-037"/>
    <n v="0"/>
    <n v="1"/>
  </r>
  <r>
    <x v="0"/>
    <d v="2023-08-02T00:00:00"/>
    <s v="Fort Collins"/>
    <s v="Registry Ridge"/>
    <x v="4"/>
    <s v="Culex pipiens"/>
    <n v="4"/>
    <s v="CDC Light Trap"/>
    <s v="FC-057"/>
    <n v="0"/>
    <n v="4"/>
  </r>
  <r>
    <x v="0"/>
    <d v="2023-08-02T00:00:00"/>
    <s v="Fort Collins"/>
    <s v="Registry Ridge"/>
    <x v="4"/>
    <s v="Culex tarsalis"/>
    <n v="68"/>
    <s v="CDC Light Trap"/>
    <s v="FC-057"/>
    <n v="68"/>
    <n v="0"/>
  </r>
  <r>
    <x v="0"/>
    <d v="2023-08-02T00:00:00"/>
    <s v="Fort Collins"/>
    <s v="Water's Edge at Blue Mesa"/>
    <x v="4"/>
    <s v="Culex tarsalis"/>
    <n v="11"/>
    <s v="CDC Light Trap"/>
    <s v="FC-062"/>
    <n v="11"/>
    <n v="0"/>
  </r>
  <r>
    <x v="0"/>
    <d v="2023-08-02T00:00:00"/>
    <s v="Fort Collins"/>
    <s v="Water's Edge at Blue Mesa"/>
    <x v="4"/>
    <s v="Culex pipiens"/>
    <n v="6"/>
    <s v="CDC Light Trap"/>
    <s v="FC-062"/>
    <n v="0"/>
    <n v="6"/>
  </r>
  <r>
    <x v="0"/>
    <d v="2023-08-02T00:00:00"/>
    <s v="Fort Collins"/>
    <s v="5029 Crest Dr"/>
    <x v="4"/>
    <s v="Culex pipiens"/>
    <n v="4"/>
    <s v="CDC Light Trap"/>
    <s v="FC-068"/>
    <n v="0"/>
    <n v="4"/>
  </r>
  <r>
    <x v="0"/>
    <d v="2023-08-02T00:00:00"/>
    <s v="Fort Collins"/>
    <s v="5029 Crest Dr"/>
    <x v="4"/>
    <s v="Culex tarsalis"/>
    <n v="19"/>
    <s v="CDC Light Trap"/>
    <s v="FC-068"/>
    <n v="19"/>
    <n v="0"/>
  </r>
  <r>
    <x v="0"/>
    <d v="2023-08-02T00:00:00"/>
    <s v="Fort Collins"/>
    <s v="Silvergate Rd"/>
    <x v="4"/>
    <s v="Culex tarsalis"/>
    <n v="18"/>
    <s v="CDC Light Trap"/>
    <s v="FC-071"/>
    <n v="18"/>
    <n v="0"/>
  </r>
  <r>
    <x v="0"/>
    <d v="2023-08-02T00:00:00"/>
    <s v="Fort Collins"/>
    <s v="Silvergate Rd"/>
    <x v="4"/>
    <s v="Culex pipiens"/>
    <n v="4"/>
    <s v="CDC Light Trap"/>
    <s v="FC-071"/>
    <n v="0"/>
    <n v="4"/>
  </r>
  <r>
    <x v="0"/>
    <d v="2023-08-02T00:00:00"/>
    <s v="Fort Collins"/>
    <s v="Lopez Elementary"/>
    <x v="4"/>
    <s v="Culex tarsalis"/>
    <n v="5"/>
    <s v="CDC Light Trap"/>
    <s v="FC-093"/>
    <n v="5"/>
    <n v="0"/>
  </r>
  <r>
    <x v="0"/>
    <d v="2023-07-30T00:00:00"/>
    <s v="Loveland"/>
    <s v="29th and Madison"/>
    <x v="5"/>
    <s v="Culex tarsalis"/>
    <n v="576"/>
    <s v="CDC Light Trap"/>
    <s v="LV-004"/>
    <n v="576"/>
    <n v="0"/>
  </r>
  <r>
    <x v="0"/>
    <d v="2023-07-30T00:00:00"/>
    <s v="Loveland"/>
    <s v="29th and Madison"/>
    <x v="5"/>
    <s v="Culex pipiens"/>
    <n v="28"/>
    <s v="CDC Light Trap"/>
    <s v="LV-004"/>
    <n v="0"/>
    <n v="28"/>
  </r>
  <r>
    <x v="0"/>
    <d v="2023-07-30T00:00:00"/>
    <s v="Loveland"/>
    <s v="Outlet Mall Apartments"/>
    <x v="5"/>
    <s v="Culex tarsalis"/>
    <n v="480"/>
    <s v="CDC Light Trap"/>
    <s v="LV-066"/>
    <n v="480"/>
    <n v="0"/>
  </r>
  <r>
    <x v="0"/>
    <d v="2023-07-30T00:00:00"/>
    <s v="Loveland"/>
    <s v="Outlet Mall Apartments"/>
    <x v="5"/>
    <s v="Culex pipiens"/>
    <n v="16"/>
    <s v="CDC Light Trap"/>
    <s v="LV-066"/>
    <n v="0"/>
    <n v="16"/>
  </r>
  <r>
    <x v="0"/>
    <d v="2023-07-30T00:00:00"/>
    <s v="Loveland"/>
    <s v="Horseshoe Pennninsula"/>
    <x v="5"/>
    <s v="Culex tarsalis"/>
    <n v="120"/>
    <s v="CDC Light Trap"/>
    <s v="LV-069"/>
    <n v="120"/>
    <n v="0"/>
  </r>
  <r>
    <x v="0"/>
    <d v="2023-07-30T00:00:00"/>
    <s v="Loveland"/>
    <s v="7 Lakes Park"/>
    <x v="5"/>
    <s v="Culex tarsalis"/>
    <n v="156"/>
    <s v="CDC Light Trap"/>
    <s v="LV-078"/>
    <n v="156"/>
    <n v="0"/>
  </r>
  <r>
    <x v="0"/>
    <d v="2023-07-30T00:00:00"/>
    <s v="Loveland"/>
    <s v="Harding and Reagan"/>
    <x v="5"/>
    <s v="Culex tarsalis"/>
    <n v="204"/>
    <s v="CDC Light Trap"/>
    <s v="LV-080"/>
    <n v="204"/>
    <n v="0"/>
  </r>
  <r>
    <x v="0"/>
    <d v="2023-07-30T00:00:00"/>
    <s v="Loveland"/>
    <s v="2229 Arikaree"/>
    <x v="5"/>
    <s v="Culex tarsalis"/>
    <n v="560"/>
    <s v="CDC Light Trap"/>
    <s v="LV-088"/>
    <n v="560"/>
    <n v="0"/>
  </r>
  <r>
    <x v="0"/>
    <d v="2023-07-30T00:00:00"/>
    <s v="Loveland"/>
    <s v="Pond at Silver Lake"/>
    <x v="5"/>
    <s v="Culex tarsalis"/>
    <n v="164"/>
    <s v="CDC Light Trap"/>
    <s v="LV-093"/>
    <n v="164"/>
    <n v="0"/>
  </r>
  <r>
    <x v="0"/>
    <d v="2023-07-30T00:00:00"/>
    <s v="Loveland"/>
    <s v="Boyd Lake"/>
    <x v="5"/>
    <s v="Culex tarsalis"/>
    <n v="1616"/>
    <s v="CDC Light Trap"/>
    <s v="LV-095"/>
    <n v="1616"/>
    <n v="0"/>
  </r>
  <r>
    <x v="0"/>
    <d v="2023-07-30T00:00:00"/>
    <s v="Loveland"/>
    <s v="Boyd Lake"/>
    <x v="5"/>
    <s v="Culex pipiens"/>
    <n v="4"/>
    <s v="CDC Light Trap"/>
    <s v="LV-095"/>
    <n v="0"/>
    <n v="4"/>
  </r>
  <r>
    <x v="0"/>
    <d v="2023-07-30T00:00:00"/>
    <s v="Loveland"/>
    <s v="Sundisk and 13E"/>
    <x v="5"/>
    <s v="Culex tarsalis"/>
    <n v="244"/>
    <s v="CDC Light Trap"/>
    <s v="LV-116"/>
    <n v="244"/>
    <n v="0"/>
  </r>
  <r>
    <x v="0"/>
    <d v="2023-07-30T00:00:00"/>
    <s v="Loveland"/>
    <s v="Sundisk and 13E"/>
    <x v="5"/>
    <s v="Culex pipiens"/>
    <n v="52"/>
    <s v="CDC Light Trap"/>
    <s v="LV-116"/>
    <n v="0"/>
    <n v="52"/>
  </r>
  <r>
    <x v="0"/>
    <d v="2023-07-30T00:00:00"/>
    <s v="Loveland"/>
    <s v="Centerra"/>
    <x v="5"/>
    <s v="Culex tarsalis"/>
    <n v="17"/>
    <s v="CDC Light Trap"/>
    <s v="LV-117"/>
    <n v="17"/>
    <n v="0"/>
  </r>
  <r>
    <x v="0"/>
    <d v="2023-07-31T00:00:00"/>
    <s v="Loveland"/>
    <s v="Jefferson and 11th"/>
    <x v="5"/>
    <s v="Culex tarsalis"/>
    <n v="63"/>
    <s v="CDC Light Trap"/>
    <s v="LV-074"/>
    <n v="63"/>
    <n v="0"/>
  </r>
  <r>
    <x v="0"/>
    <d v="2023-07-31T00:00:00"/>
    <s v="Loveland"/>
    <s v="Jefferson and 11th"/>
    <x v="5"/>
    <s v="Culex pipiens"/>
    <n v="8"/>
    <s v="CDC Light Trap"/>
    <s v="LV-074"/>
    <n v="0"/>
    <n v="8"/>
  </r>
  <r>
    <x v="0"/>
    <d v="2023-07-31T00:00:00"/>
    <s v="Loveland"/>
    <s v="1105 East 1st Street"/>
    <x v="5"/>
    <s v="Culex tarsalis"/>
    <n v="30"/>
    <s v="CDC Light Trap"/>
    <s v="LV-077"/>
    <n v="30"/>
    <n v="0"/>
  </r>
  <r>
    <x v="0"/>
    <d v="2023-07-31T00:00:00"/>
    <s v="Loveland"/>
    <s v="1105 East 1st Street"/>
    <x v="5"/>
    <s v="Culex pipiens"/>
    <n v="11"/>
    <s v="CDC Light Trap"/>
    <s v="LV-077"/>
    <n v="0"/>
    <n v="11"/>
  </r>
  <r>
    <x v="0"/>
    <d v="2023-07-31T00:00:00"/>
    <s v="Loveland"/>
    <s v="9th and DesMoines"/>
    <x v="5"/>
    <s v="Culex tarsalis"/>
    <n v="392"/>
    <s v="CDC Light Trap"/>
    <s v="LV-089"/>
    <n v="392"/>
    <n v="0"/>
  </r>
  <r>
    <x v="0"/>
    <d v="2023-07-31T00:00:00"/>
    <s v="Loveland"/>
    <s v="Blue Tree Realty"/>
    <x v="5"/>
    <s v="Culex pipiens"/>
    <n v="1"/>
    <s v="CDC Light Trap"/>
    <s v="LV-100"/>
    <n v="0"/>
    <n v="1"/>
  </r>
  <r>
    <x v="0"/>
    <d v="2023-07-31T00:00:00"/>
    <s v="Loveland"/>
    <s v="Blue Tree Realty"/>
    <x v="5"/>
    <s v="Culex tarsalis"/>
    <n v="3"/>
    <s v="CDC Light Trap"/>
    <s v="LV-100"/>
    <n v="3"/>
    <n v="0"/>
  </r>
  <r>
    <x v="0"/>
    <d v="2023-07-31T00:00:00"/>
    <s v="Loveland"/>
    <s v="Cr 20 and 9"/>
    <x v="5"/>
    <s v="Culex pipiens"/>
    <n v="19"/>
    <s v="CDC Light Trap"/>
    <s v="LV-104"/>
    <n v="0"/>
    <n v="19"/>
  </r>
  <r>
    <x v="0"/>
    <d v="2023-07-31T00:00:00"/>
    <s v="Loveland"/>
    <s v="Cr 20 and 9"/>
    <x v="5"/>
    <s v="Culex tarsalis"/>
    <n v="118"/>
    <s v="CDC Light Trap"/>
    <s v="LV-104"/>
    <n v="118"/>
    <n v="0"/>
  </r>
  <r>
    <x v="0"/>
    <d v="2023-07-31T00:00:00"/>
    <s v="Loveland"/>
    <s v="Big Thompson "/>
    <x v="5"/>
    <s v="Culex tarsalis"/>
    <n v="9"/>
    <s v="CDC Light Trap"/>
    <s v="LV-110"/>
    <n v="9"/>
    <n v="0"/>
  </r>
  <r>
    <x v="0"/>
    <d v="2023-07-31T00:00:00"/>
    <s v="Loveland"/>
    <s v="915 S Boise"/>
    <x v="5"/>
    <s v="Culex tarsalis"/>
    <n v="176"/>
    <s v="CDC Light Trap"/>
    <s v="LV-112"/>
    <n v="176"/>
    <n v="0"/>
  </r>
  <r>
    <x v="0"/>
    <d v="2023-07-31T00:00:00"/>
    <s v="Loveland"/>
    <s v="915 S Boise"/>
    <x v="5"/>
    <s v="Culex pipiens"/>
    <n v="56"/>
    <s v="CDC Light Trap"/>
    <s v="LV-112"/>
    <n v="0"/>
    <n v="56"/>
  </r>
  <r>
    <x v="0"/>
    <d v="2023-07-31T00:00:00"/>
    <s v="Loveland"/>
    <s v="Springs at Marianna"/>
    <x v="5"/>
    <s v="Culex tarsalis"/>
    <n v="15"/>
    <s v="CDC Light Trap"/>
    <s v="LV-113"/>
    <n v="15"/>
    <n v="0"/>
  </r>
  <r>
    <x v="0"/>
    <d v="2023-07-31T00:00:00"/>
    <s v="Loveland"/>
    <s v="Golf Vista"/>
    <x v="5"/>
    <s v="Culex pipiens"/>
    <n v="3"/>
    <s v="CDC Light Trap"/>
    <s v="LV-118"/>
    <n v="0"/>
    <n v="3"/>
  </r>
  <r>
    <x v="0"/>
    <d v="2023-07-31T00:00:00"/>
    <s v="Loveland"/>
    <s v="Golf Vista"/>
    <x v="5"/>
    <s v="Culex tarsalis"/>
    <n v="21"/>
    <s v="CDC Light Trap"/>
    <s v="LV-118"/>
    <n v="21"/>
    <n v="0"/>
  </r>
  <r>
    <x v="0"/>
    <d v="2023-07-31T00:00:00"/>
    <s v="Loveland"/>
    <s v="Bldg D190, 815 14th Street Southwest, Loveland, CO 80537, USA"/>
    <x v="5"/>
    <s v="Culex tarsalis"/>
    <n v="228"/>
    <s v="CDC Light Trap"/>
    <s v="LV-124"/>
    <n v="228"/>
    <n v="0"/>
  </r>
  <r>
    <x v="0"/>
    <d v="2023-07-31T00:00:00"/>
    <s v="Loveland"/>
    <s v="Bldg D190, 815 14th Street Southwest, Loveland, CO 80537, USA"/>
    <x v="5"/>
    <s v="Culex pipiens"/>
    <n v="12"/>
    <s v="CDC Light Trap"/>
    <s v="LV-124"/>
    <n v="0"/>
    <n v="12"/>
  </r>
  <r>
    <x v="0"/>
    <d v="2023-07-31T00:00:00"/>
    <s v="Loveland"/>
    <s v="8th And No Name"/>
    <x v="5"/>
    <s v="Culex pipiens"/>
    <n v="16"/>
    <s v="CDC Light Trap"/>
    <s v="LV-125"/>
    <n v="0"/>
    <n v="16"/>
  </r>
  <r>
    <x v="0"/>
    <d v="2023-07-31T00:00:00"/>
    <s v="Loveland"/>
    <s v="8th And No Name"/>
    <x v="5"/>
    <s v="Culex tarsalis"/>
    <n v="136"/>
    <s v="CDC Light Trap"/>
    <s v="LV-125"/>
    <n v="136"/>
    <n v="0"/>
  </r>
  <r>
    <x v="0"/>
    <d v="2023-08-01T00:00:00"/>
    <s v="Loveland"/>
    <s v="Jocelyn and Eagle"/>
    <x v="5"/>
    <s v="Culex pipiens"/>
    <n v="6"/>
    <s v="CDC Light Trap"/>
    <s v="LV-019"/>
    <n v="0"/>
    <n v="6"/>
  </r>
  <r>
    <x v="0"/>
    <d v="2023-08-01T00:00:00"/>
    <s v="Loveland"/>
    <s v="Jocelyn and Eagle"/>
    <x v="5"/>
    <s v="Culex tarsalis"/>
    <n v="28"/>
    <s v="CDC Light Trap"/>
    <s v="LV-019"/>
    <n v="28"/>
    <n v="0"/>
  </r>
  <r>
    <x v="0"/>
    <d v="2023-08-01T00:00:00"/>
    <s v="Loveland"/>
    <s v="Cattail Pond"/>
    <x v="5"/>
    <s v="Culex tarsalis"/>
    <n v="38"/>
    <s v="CDC Light Trap"/>
    <s v="LV-020"/>
    <n v="38"/>
    <n v="0"/>
  </r>
  <r>
    <x v="0"/>
    <d v="2023-08-01T00:00:00"/>
    <s v="Loveland"/>
    <s v="Cattail Pond"/>
    <x v="5"/>
    <s v="Culex pipiens"/>
    <n v="2"/>
    <s v="CDC Light Trap"/>
    <s v="LV-020"/>
    <n v="0"/>
    <n v="2"/>
  </r>
  <r>
    <x v="0"/>
    <d v="2023-08-01T00:00:00"/>
    <s v="Loveland"/>
    <s v="Linda and 26th "/>
    <x v="5"/>
    <s v="Culex tarsalis"/>
    <n v="49"/>
    <s v="CDC Light Trap"/>
    <s v="LV-021"/>
    <n v="49"/>
    <n v="0"/>
  </r>
  <r>
    <x v="0"/>
    <d v="2023-08-01T00:00:00"/>
    <s v="Loveland"/>
    <s v="Linda and 26th "/>
    <x v="5"/>
    <s v="Culex pipiens"/>
    <n v="2"/>
    <s v="CDC Light Trap"/>
    <s v="LV-021"/>
    <n v="0"/>
    <n v="2"/>
  </r>
  <r>
    <x v="0"/>
    <d v="2023-08-01T00:00:00"/>
    <s v="Loveland"/>
    <s v="2001 S Douglas"/>
    <x v="5"/>
    <s v="Culex tarsalis"/>
    <n v="45"/>
    <s v="CDC Light Trap"/>
    <s v="LV-042"/>
    <n v="45"/>
    <n v="0"/>
  </r>
  <r>
    <x v="0"/>
    <d v="2023-08-01T00:00:00"/>
    <s v="Loveland"/>
    <s v="2001 S Douglas"/>
    <x v="5"/>
    <s v="Culex pipiens"/>
    <n v="3"/>
    <s v="CDC Light Trap"/>
    <s v="LV-042"/>
    <n v="0"/>
    <n v="3"/>
  </r>
  <r>
    <x v="0"/>
    <d v="2023-08-01T00:00:00"/>
    <s v="Loveland"/>
    <s v="Del Norte Private Park"/>
    <x v="5"/>
    <s v="Culex pipiens"/>
    <n v="6"/>
    <s v="CDC Light Trap"/>
    <s v="LV-067"/>
    <n v="0"/>
    <n v="6"/>
  </r>
  <r>
    <x v="0"/>
    <d v="2023-08-01T00:00:00"/>
    <s v="Loveland"/>
    <s v="Del Norte Private Park"/>
    <x v="5"/>
    <s v="Culex tarsalis"/>
    <n v="61"/>
    <s v="CDC Light Trap"/>
    <s v="LV-067"/>
    <n v="61"/>
    <n v="0"/>
  </r>
  <r>
    <x v="0"/>
    <d v="2023-08-01T00:00:00"/>
    <s v="Loveland"/>
    <s v="Derby Hill"/>
    <x v="5"/>
    <s v="Culex pipiens"/>
    <n v="4"/>
    <s v="CDC Light Trap"/>
    <s v="LV-087"/>
    <n v="0"/>
    <n v="4"/>
  </r>
  <r>
    <x v="0"/>
    <d v="2023-08-01T00:00:00"/>
    <s v="Loveland"/>
    <s v="Derby Hill"/>
    <x v="5"/>
    <s v="Culex tarsalis"/>
    <n v="35"/>
    <s v="CDC Light Trap"/>
    <s v="LV-087"/>
    <n v="35"/>
    <n v="0"/>
  </r>
  <r>
    <x v="0"/>
    <d v="2023-08-01T00:00:00"/>
    <s v="Loveland"/>
    <s v="Jill Drive Pond"/>
    <x v="5"/>
    <s v="Culex pipiens"/>
    <n v="16"/>
    <s v="CDC Light Trap"/>
    <s v="LV-114"/>
    <n v="0"/>
    <n v="16"/>
  </r>
  <r>
    <x v="0"/>
    <d v="2023-08-01T00:00:00"/>
    <s v="Loveland"/>
    <s v="Jill Drive Pond"/>
    <x v="5"/>
    <s v="Culex tarsalis"/>
    <n v="116"/>
    <s v="CDC Light Trap"/>
    <s v="LV-114"/>
    <n v="116"/>
    <n v="0"/>
  </r>
  <r>
    <x v="0"/>
    <d v="2023-08-01T00:00:00"/>
    <s v="Loveland"/>
    <s v="End of City Limits North"/>
    <x v="5"/>
    <s v="Culex pipiens"/>
    <n v="2"/>
    <s v="CDC Light Trap"/>
    <s v="LV-120"/>
    <n v="0"/>
    <n v="2"/>
  </r>
  <r>
    <x v="0"/>
    <d v="2023-08-01T00:00:00"/>
    <s v="Loveland"/>
    <s v="End of City Limits North"/>
    <x v="5"/>
    <s v="Culex tarsalis"/>
    <n v="40"/>
    <s v="CDC Light Trap"/>
    <s v="LV-120"/>
    <n v="40"/>
    <n v="0"/>
  </r>
  <r>
    <x v="0"/>
    <d v="2023-08-02T00:00:00"/>
    <s v="Loveland"/>
    <s v="Estrella Park"/>
    <x v="5"/>
    <s v="Culex tarsalis"/>
    <n v="47"/>
    <s v="CDC Light Trap"/>
    <s v="LV-014"/>
    <n v="47"/>
    <n v="0"/>
  </r>
  <r>
    <x v="0"/>
    <d v="2023-08-02T00:00:00"/>
    <s v="Loveland"/>
    <s v="Estrella Park"/>
    <x v="5"/>
    <s v="Culex pipiens"/>
    <n v="3"/>
    <s v="CDC Light Trap"/>
    <s v="LV-014"/>
    <n v="0"/>
    <n v="3"/>
  </r>
  <r>
    <x v="0"/>
    <d v="2023-08-02T00:00:00"/>
    <s v="Loveland"/>
    <s v="Farasita at Rist Benson"/>
    <x v="5"/>
    <s v="Culex tarsalis"/>
    <n v="112"/>
    <s v="CDC Light Trap"/>
    <s v="LV-097"/>
    <n v="112"/>
    <n v="0"/>
  </r>
  <r>
    <x v="0"/>
    <d v="2023-08-02T00:00:00"/>
    <s v="Loveland"/>
    <s v="Farasita at Rist Benson"/>
    <x v="5"/>
    <s v="Culex pipiens"/>
    <n v="16"/>
    <s v="CDC Light Trap"/>
    <s v="LV-097"/>
    <n v="0"/>
    <n v="16"/>
  </r>
  <r>
    <x v="0"/>
    <d v="2023-08-02T00:00:00"/>
    <s v="Loveland"/>
    <s v="Benson Sculpture Park"/>
    <x v="5"/>
    <s v="Culex tarsalis"/>
    <n v="32"/>
    <s v="CDC Light Trap"/>
    <s v="LV-098"/>
    <n v="32"/>
    <n v="0"/>
  </r>
  <r>
    <x v="0"/>
    <d v="2023-08-02T00:00:00"/>
    <s v="Loveland"/>
    <s v="Benson Sculpture Park"/>
    <x v="5"/>
    <s v="Culex pipiens"/>
    <n v="2"/>
    <s v="CDC Light Trap"/>
    <s v="LV-098"/>
    <n v="0"/>
    <n v="2"/>
  </r>
  <r>
    <x v="0"/>
    <d v="2023-08-02T00:00:00"/>
    <s v="Loveland"/>
    <s v="Cattails Golfcourse"/>
    <x v="5"/>
    <s v="Culex pipiens"/>
    <n v="1"/>
    <s v="CDC Light Trap"/>
    <s v="LV-099"/>
    <n v="0"/>
    <n v="1"/>
  </r>
  <r>
    <x v="0"/>
    <d v="2023-08-02T00:00:00"/>
    <s v="Loveland"/>
    <s v="Cattails Golfcourse"/>
    <x v="5"/>
    <s v="Culex tarsalis"/>
    <n v="7"/>
    <s v="CDC Light Trap"/>
    <s v="LV-099"/>
    <n v="7"/>
    <n v="0"/>
  </r>
  <r>
    <x v="0"/>
    <d v="2023-08-02T00:00:00"/>
    <s v="Loveland"/>
    <s v="Glen Isle Ditch"/>
    <x v="5"/>
    <s v="Culex pipiens"/>
    <n v="12"/>
    <s v="CDC Light Trap"/>
    <s v="LV-102"/>
    <n v="0"/>
    <n v="12"/>
  </r>
  <r>
    <x v="0"/>
    <d v="2023-08-02T00:00:00"/>
    <s v="Loveland"/>
    <s v="Glen Isle Ditch"/>
    <x v="5"/>
    <s v="Culex tarsalis"/>
    <n v="148"/>
    <s v="CDC Light Trap"/>
    <s v="LV-102"/>
    <n v="148"/>
    <n v="0"/>
  </r>
  <r>
    <x v="0"/>
    <d v="2023-08-02T00:00:00"/>
    <s v="Loveland"/>
    <s v="West 43rd Railroad"/>
    <x v="5"/>
    <s v="Culex tarsalis"/>
    <n v="33"/>
    <s v="CDC Light Trap"/>
    <s v="LV-105"/>
    <n v="33"/>
    <n v="0"/>
  </r>
  <r>
    <x v="0"/>
    <d v="2023-08-02T00:00:00"/>
    <s v="Loveland"/>
    <s v="Bayfield and Windsor"/>
    <x v="5"/>
    <s v="Culex tarsalis"/>
    <n v="228"/>
    <s v="CDC Light Trap"/>
    <s v="LV-121"/>
    <n v="228"/>
    <n v="0"/>
  </r>
  <r>
    <x v="0"/>
    <d v="2023-08-02T00:00:00"/>
    <s v="Loveland"/>
    <s v="Bayfield and Windsor"/>
    <x v="5"/>
    <s v="Culex pipiens"/>
    <n v="24"/>
    <s v="CDC Light Trap"/>
    <s v="LV-121"/>
    <n v="0"/>
    <n v="24"/>
  </r>
  <r>
    <x v="0"/>
    <d v="2023-08-02T00:00:00"/>
    <s v="Loveland"/>
    <s v="Fallgold"/>
    <x v="5"/>
    <s v="Culex tarsalis"/>
    <n v="82"/>
    <s v="CDC Light Trap"/>
    <s v="LV-122"/>
    <n v="82"/>
    <n v="0"/>
  </r>
  <r>
    <x v="0"/>
    <d v="2023-08-02T00:00:00"/>
    <s v="Loveland"/>
    <s v="Fallgold"/>
    <x v="5"/>
    <s v="Culex pipiens"/>
    <n v="12"/>
    <s v="CDC Light Trap"/>
    <s v="LV-122"/>
    <n v="0"/>
    <n v="12"/>
  </r>
  <r>
    <x v="0"/>
    <d v="2023-07-30T00:00:00"/>
    <s v="Timnath"/>
    <s v="Timnath - 5th and Kern"/>
    <x v="6"/>
    <s v="Culex tarsalis"/>
    <n v="54"/>
    <s v="CDC Light Trap"/>
    <s v="LC-010 "/>
    <n v="54"/>
    <n v="0"/>
  </r>
  <r>
    <x v="0"/>
    <d v="2023-07-30T00:00:00"/>
    <s v="Timnath"/>
    <s v="Timnath - Golf Course"/>
    <x v="6"/>
    <s v="Culex tarsalis"/>
    <n v="104"/>
    <s v="CDC Light Trap"/>
    <s v="LC-022 "/>
    <n v="104"/>
    <n v="0"/>
  </r>
  <r>
    <x v="0"/>
    <d v="2023-07-30T00:00:00"/>
    <s v="Timnath"/>
    <s v="Timnath - Golf Course"/>
    <x v="6"/>
    <s v="Culex pipiens"/>
    <n v="12"/>
    <s v="CDC Light Trap"/>
    <s v="LC-022 "/>
    <n v="0"/>
    <n v="12"/>
  </r>
  <r>
    <x v="0"/>
    <d v="2023-07-30T00:00:00"/>
    <s v="Timnath"/>
    <s v="Timnath - Summerfields"/>
    <x v="6"/>
    <s v="Culex tarsalis"/>
    <n v="184"/>
    <s v="CDC Light Trap"/>
    <s v="LC-048 "/>
    <n v="184"/>
    <n v="0"/>
  </r>
  <r>
    <x v="0"/>
    <d v="2023-07-30T00:00:00"/>
    <s v="Timnath"/>
    <s v="Timnath - Wildwing"/>
    <x v="6"/>
    <s v="Culex tarsalis"/>
    <n v="100"/>
    <s v="CDC Light Trap"/>
    <s v="LC-050 "/>
    <n v="100"/>
    <n v="0"/>
  </r>
  <r>
    <x v="0"/>
    <d v="2023-07-30T00:00:00"/>
    <s v="Timnath"/>
    <s v="Timnath - Serratoga Falls"/>
    <x v="6"/>
    <s v="Culex tarsalis"/>
    <n v="143"/>
    <s v="CDC Light Trap"/>
    <s v="LC-051 "/>
    <n v="143"/>
    <n v="0"/>
  </r>
  <r>
    <x v="0"/>
    <d v="2023-07-30T00:00:00"/>
    <s v="Timnath"/>
    <s v="Timnath - Serratoga Falls"/>
    <x v="6"/>
    <s v="Culex pipiens"/>
    <n v="5"/>
    <s v="CDC Light Trap"/>
    <s v="LC-051 "/>
    <n v="0"/>
    <n v="5"/>
  </r>
  <r>
    <x v="0"/>
    <d v="2023-07-30T00:00:00"/>
    <s v="Timnath"/>
    <s v="Timnath - Walmart"/>
    <x v="6"/>
    <s v="Culex pipiens"/>
    <n v="16"/>
    <s v="CDC Light Trap"/>
    <s v="LC-052 "/>
    <n v="0"/>
    <n v="16"/>
  </r>
  <r>
    <x v="0"/>
    <d v="2023-07-30T00:00:00"/>
    <s v="Timnath"/>
    <s v="Timnath - Walmart"/>
    <x v="6"/>
    <s v="Culex tarsalis"/>
    <n v="240"/>
    <s v="CDC Light Trap"/>
    <s v="LC-052 "/>
    <n v="240"/>
    <n v="0"/>
  </r>
  <r>
    <x v="0"/>
    <d v="2023-07-30T00:00:00"/>
    <s v="Timnath"/>
    <s v="Timnath - Trailside"/>
    <x v="6"/>
    <s v="Culex tarsalis"/>
    <n v="232"/>
    <s v="CDC Light Trap"/>
    <s v="LC-057"/>
    <n v="232"/>
    <n v="0"/>
  </r>
  <r>
    <x v="0"/>
    <d v="2023-07-31T00:00:00"/>
    <s v="Boulder"/>
    <s v="Tom Watson Park"/>
    <x v="7"/>
    <s v="Culex tarsalis"/>
    <n v="49"/>
    <s v="CDC Light Trap"/>
    <s v="BC-25"/>
    <n v="49"/>
    <n v="0"/>
  </r>
  <r>
    <x v="0"/>
    <d v="2023-07-31T00:00:00"/>
    <s v="Boulder"/>
    <s v="Stazio Ballfields"/>
    <x v="7"/>
    <s v="Culex tarsalis"/>
    <n v="49"/>
    <s v="CDC Light Trap"/>
    <s v="BC-11"/>
    <n v="49"/>
    <n v="0"/>
  </r>
  <r>
    <x v="0"/>
    <d v="2023-07-31T00:00:00"/>
    <s v="Boulder"/>
    <s v="Goose Creek"/>
    <x v="7"/>
    <s v="Culex tarsalis"/>
    <n v="49"/>
    <s v="CDC Light Trap"/>
    <s v="BC-27"/>
    <n v="49"/>
    <n v="0"/>
  </r>
  <r>
    <x v="0"/>
    <d v="2023-07-31T00:00:00"/>
    <s v="Boulder"/>
    <s v="Sombrero Marsh"/>
    <x v="7"/>
    <s v="Culex tarsalis"/>
    <n v="37"/>
    <s v="CDC Light Trap"/>
    <s v="BC-22"/>
    <n v="37"/>
    <n v="0"/>
  </r>
  <r>
    <x v="0"/>
    <d v="2023-07-31T00:00:00"/>
    <s v="Boulder"/>
    <s v="South Boulder Rec "/>
    <x v="7"/>
    <s v="Culex tarsalis"/>
    <n v="49"/>
    <s v="CDC Light Trap"/>
    <s v="BC-04"/>
    <n v="49"/>
    <n v="0"/>
  </r>
  <r>
    <x v="0"/>
    <d v="2023-07-31T00:00:00"/>
    <s v="Boulder"/>
    <s v="Sawhill Ponds"/>
    <x v="7"/>
    <s v="Culex tarsalis"/>
    <n v="49"/>
    <s v="CDC Light Trap"/>
    <s v="BC-26"/>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n v="2023"/>
    <s v="CSU-20987"/>
    <n v="30693"/>
    <x v="0"/>
    <x v="0"/>
    <s v="LC"/>
    <s v="LV"/>
    <s v="LV-069"/>
    <x v="0"/>
    <s v="L"/>
    <s v="Cx."/>
    <x v="0"/>
    <s v="F"/>
    <m/>
    <n v="50"/>
    <n v="50"/>
    <n v="0"/>
    <s v="Negative"/>
  </r>
  <r>
    <n v="2023"/>
    <s v="CSU-20988"/>
    <n v="30694"/>
    <x v="0"/>
    <x v="0"/>
    <s v="LC"/>
    <s v="LV"/>
    <s v="LV-069"/>
    <x v="0"/>
    <s v="L"/>
    <s v="Cx."/>
    <x v="0"/>
    <s v="F"/>
    <m/>
    <n v="50"/>
    <n v="50"/>
    <n v="0"/>
    <s v="Negative"/>
  </r>
  <r>
    <n v="2023"/>
    <s v="CSU-20989"/>
    <n v="30695"/>
    <x v="0"/>
    <x v="0"/>
    <s v="LC"/>
    <s v="LV"/>
    <s v="LV-069"/>
    <x v="0"/>
    <s v="L"/>
    <s v="Cx."/>
    <x v="0"/>
    <s v="F"/>
    <m/>
    <n v="20"/>
    <n v="20"/>
    <n v="0"/>
    <s v="Negative"/>
  </r>
  <r>
    <n v="2023"/>
    <s v="CSU-20990"/>
    <n v="30696"/>
    <x v="0"/>
    <x v="0"/>
    <s v="LC"/>
    <s v="LV"/>
    <s v="LV-095"/>
    <x v="0"/>
    <s v="L"/>
    <s v="Cx."/>
    <x v="0"/>
    <s v="F"/>
    <m/>
    <n v="50"/>
    <n v="50"/>
    <n v="0"/>
    <s v="Negative"/>
  </r>
  <r>
    <n v="2023"/>
    <s v="CSU-20991"/>
    <n v="30697"/>
    <x v="0"/>
    <x v="0"/>
    <s v="LC"/>
    <s v="LV"/>
    <s v="LV-095"/>
    <x v="0"/>
    <s v="L"/>
    <s v="Cx."/>
    <x v="0"/>
    <s v="F"/>
    <m/>
    <n v="50"/>
    <n v="50"/>
    <n v="1"/>
    <s v="Positive"/>
  </r>
  <r>
    <n v="2023"/>
    <s v="CSU-20992"/>
    <n v="30698"/>
    <x v="0"/>
    <x v="0"/>
    <s v="LC"/>
    <s v="LV"/>
    <s v="LV-095"/>
    <x v="0"/>
    <s v="L"/>
    <s v="Cx."/>
    <x v="0"/>
    <s v="F"/>
    <m/>
    <n v="50"/>
    <n v="50"/>
    <n v="0"/>
    <s v="Negative"/>
  </r>
  <r>
    <n v="2023"/>
    <s v="CSU-20993"/>
    <n v="30699"/>
    <x v="0"/>
    <x v="0"/>
    <s v="LC"/>
    <s v="LV"/>
    <s v="LV-095"/>
    <x v="0"/>
    <s v="L"/>
    <s v="Cx."/>
    <x v="1"/>
    <s v="F"/>
    <m/>
    <n v="4"/>
    <n v="4"/>
    <n v="0"/>
    <s v="Negative"/>
  </r>
  <r>
    <n v="2023"/>
    <s v="CSU-20994"/>
    <n v="30700"/>
    <x v="0"/>
    <x v="0"/>
    <s v="LC"/>
    <s v="FC"/>
    <s v="FC-064"/>
    <x v="1"/>
    <s v="L"/>
    <s v="Cx."/>
    <x v="0"/>
    <s v="F"/>
    <m/>
    <n v="50"/>
    <n v="50"/>
    <n v="1"/>
    <s v="Positive"/>
  </r>
  <r>
    <n v="2023"/>
    <s v="CSU-20995"/>
    <n v="30701"/>
    <x v="0"/>
    <x v="0"/>
    <s v="LC"/>
    <s v="FC"/>
    <s v="FC-064"/>
    <x v="1"/>
    <s v="L"/>
    <s v="Cx."/>
    <x v="0"/>
    <s v="F"/>
    <m/>
    <n v="50"/>
    <n v="50"/>
    <n v="0"/>
    <s v="Negative"/>
  </r>
  <r>
    <n v="2023"/>
    <s v="CSU-20996"/>
    <n v="30702"/>
    <x v="0"/>
    <x v="0"/>
    <s v="LC"/>
    <s v="FC"/>
    <s v="FC-064"/>
    <x v="1"/>
    <s v="L"/>
    <s v="Cx."/>
    <x v="0"/>
    <s v="F"/>
    <m/>
    <n v="50"/>
    <n v="50"/>
    <n v="0"/>
    <s v="Negative"/>
  </r>
  <r>
    <n v="2023"/>
    <s v="CSU-20997"/>
    <n v="30703"/>
    <x v="0"/>
    <x v="0"/>
    <s v="LC"/>
    <s v="FC"/>
    <s v="FC-064"/>
    <x v="1"/>
    <s v="L"/>
    <s v="Cx."/>
    <x v="0"/>
    <s v="F"/>
    <m/>
    <n v="31"/>
    <n v="31"/>
    <n v="0"/>
    <s v="Negative"/>
  </r>
  <r>
    <n v="2023"/>
    <s v="CSU-20998"/>
    <n v="30704"/>
    <x v="0"/>
    <x v="0"/>
    <s v="LC"/>
    <s v="FC"/>
    <s v="FC-064"/>
    <x v="1"/>
    <s v="L"/>
    <s v="Cx."/>
    <x v="1"/>
    <s v="F"/>
    <m/>
    <n v="45"/>
    <n v="45"/>
    <n v="0"/>
    <s v="Negative"/>
  </r>
  <r>
    <n v="2023"/>
    <s v="CSU-20999"/>
    <n v="30705"/>
    <x v="0"/>
    <x v="0"/>
    <s v="LC"/>
    <s v="FC"/>
    <s v="FC-053"/>
    <x v="1"/>
    <s v="L"/>
    <s v="Cx."/>
    <x v="0"/>
    <s v="F"/>
    <m/>
    <n v="50"/>
    <n v="50"/>
    <n v="0"/>
    <s v="Negative"/>
  </r>
  <r>
    <n v="2023"/>
    <s v="CSU-21000"/>
    <n v="30706"/>
    <x v="0"/>
    <x v="0"/>
    <s v="LC"/>
    <s v="FC"/>
    <s v="FC-053"/>
    <x v="1"/>
    <s v="L"/>
    <s v="Cx."/>
    <x v="0"/>
    <s v="F"/>
    <m/>
    <n v="50"/>
    <n v="50"/>
    <n v="1"/>
    <s v="Positive"/>
  </r>
  <r>
    <n v="2023"/>
    <s v="CSU-21001"/>
    <n v="30707"/>
    <x v="0"/>
    <x v="0"/>
    <s v="LC"/>
    <s v="FC"/>
    <s v="FC-053"/>
    <x v="1"/>
    <s v="L"/>
    <s v="Cx."/>
    <x v="0"/>
    <s v="F"/>
    <m/>
    <n v="40"/>
    <n v="40"/>
    <n v="0"/>
    <s v="Negative"/>
  </r>
  <r>
    <n v="2023"/>
    <s v="CSU-21002"/>
    <n v="30708"/>
    <x v="0"/>
    <x v="0"/>
    <s v="LC"/>
    <s v="FC"/>
    <s v="FC-053"/>
    <x v="1"/>
    <s v="L"/>
    <s v="Cx."/>
    <x v="1"/>
    <s v="F"/>
    <m/>
    <n v="1"/>
    <n v="1"/>
    <n v="0"/>
    <s v="Negative"/>
  </r>
  <r>
    <n v="2023"/>
    <s v="CSU-21003"/>
    <n v="30709"/>
    <x v="0"/>
    <x v="0"/>
    <s v="LC"/>
    <s v="FC"/>
    <s v="FC-075gr"/>
    <x v="1"/>
    <s v="G"/>
    <s v="Cx."/>
    <x v="1"/>
    <s v="F"/>
    <n v="48"/>
    <m/>
    <n v="48"/>
    <n v="1"/>
    <s v="Positive"/>
  </r>
  <r>
    <n v="2023"/>
    <s v="CSU-21004"/>
    <n v="30710"/>
    <x v="0"/>
    <x v="0"/>
    <s v="LC"/>
    <s v="FC"/>
    <s v="FC-074"/>
    <x v="1"/>
    <s v="L"/>
    <s v="Cx."/>
    <x v="0"/>
    <s v="F"/>
    <m/>
    <n v="50"/>
    <n v="50"/>
    <n v="1"/>
    <s v="Positive"/>
  </r>
  <r>
    <n v="2023"/>
    <s v="CSU-21005"/>
    <n v="30711"/>
    <x v="0"/>
    <x v="0"/>
    <s v="LC"/>
    <s v="FC"/>
    <s v="FC-074"/>
    <x v="1"/>
    <s v="L"/>
    <s v="Cx."/>
    <x v="0"/>
    <s v="F"/>
    <m/>
    <n v="12"/>
    <n v="12"/>
    <n v="0"/>
    <s v="Negative"/>
  </r>
  <r>
    <n v="2023"/>
    <s v="CSU-21006"/>
    <n v="30712"/>
    <x v="0"/>
    <x v="0"/>
    <s v="LC"/>
    <s v="FC"/>
    <s v="FC-074"/>
    <x v="1"/>
    <s v="L"/>
    <s v="Cx."/>
    <x v="1"/>
    <s v="F"/>
    <m/>
    <n v="2"/>
    <n v="2"/>
    <n v="0"/>
    <s v="Negative"/>
  </r>
  <r>
    <n v="2023"/>
    <s v="CSU-21007"/>
    <n v="30713"/>
    <x v="0"/>
    <x v="0"/>
    <s v="LC"/>
    <s v="FC"/>
    <s v="FC-075"/>
    <x v="1"/>
    <s v="L"/>
    <s v="Cx."/>
    <x v="0"/>
    <s v="F"/>
    <m/>
    <n v="50"/>
    <n v="50"/>
    <n v="0"/>
    <s v="Negative"/>
  </r>
  <r>
    <n v="2023"/>
    <s v="CSU-21008"/>
    <n v="30714"/>
    <x v="0"/>
    <x v="0"/>
    <s v="LC"/>
    <s v="FC"/>
    <s v="FC-075"/>
    <x v="1"/>
    <s v="L"/>
    <s v="Cx."/>
    <x v="0"/>
    <s v="F"/>
    <m/>
    <n v="29"/>
    <n v="29"/>
    <n v="0"/>
    <s v="Negative"/>
  </r>
  <r>
    <n v="2023"/>
    <s v="CSU-21009"/>
    <n v="30715"/>
    <x v="0"/>
    <x v="0"/>
    <s v="LC"/>
    <s v="FC"/>
    <s v="FC-075"/>
    <x v="1"/>
    <s v="L"/>
    <s v="Cx."/>
    <x v="1"/>
    <s v="F"/>
    <m/>
    <n v="20"/>
    <n v="20"/>
    <n v="1"/>
    <s v="Positive"/>
  </r>
  <r>
    <n v="2023"/>
    <s v="CSU-21010"/>
    <n v="30716"/>
    <x v="0"/>
    <x v="0"/>
    <s v="LC"/>
    <s v="FC"/>
    <s v="FC-039"/>
    <x v="1"/>
    <s v="L"/>
    <s v="Cx."/>
    <x v="0"/>
    <s v="F"/>
    <m/>
    <n v="50"/>
    <n v="50"/>
    <n v="1"/>
    <s v="Positive"/>
  </r>
  <r>
    <n v="2023"/>
    <s v="CSU-21011"/>
    <n v="30717"/>
    <x v="0"/>
    <x v="0"/>
    <s v="LC"/>
    <s v="FC"/>
    <s v="FC-039"/>
    <x v="1"/>
    <s v="L"/>
    <s v="Cx."/>
    <x v="0"/>
    <s v="F"/>
    <m/>
    <n v="50"/>
    <n v="50"/>
    <n v="1"/>
    <s v="Positive"/>
  </r>
  <r>
    <n v="2023"/>
    <s v="CSU-21012"/>
    <n v="30718"/>
    <x v="0"/>
    <x v="0"/>
    <s v="LC"/>
    <s v="FC"/>
    <s v="FC-039"/>
    <x v="1"/>
    <s v="L"/>
    <s v="Cx."/>
    <x v="0"/>
    <s v="F"/>
    <m/>
    <n v="50"/>
    <n v="50"/>
    <n v="1"/>
    <s v="Positive"/>
  </r>
  <r>
    <n v="2023"/>
    <s v="CSU-21013"/>
    <n v="30719"/>
    <x v="0"/>
    <x v="0"/>
    <s v="LC"/>
    <s v="FC"/>
    <s v="FC-039"/>
    <x v="1"/>
    <s v="L"/>
    <s v="Cx."/>
    <x v="0"/>
    <s v="F"/>
    <m/>
    <n v="50"/>
    <n v="50"/>
    <n v="1"/>
    <s v="Positive"/>
  </r>
  <r>
    <n v="2023"/>
    <s v="CSU-21014"/>
    <n v="30720"/>
    <x v="0"/>
    <x v="0"/>
    <s v="LC"/>
    <s v="FC"/>
    <s v="FC-039"/>
    <x v="1"/>
    <s v="L"/>
    <s v="Cx."/>
    <x v="0"/>
    <s v="F"/>
    <m/>
    <n v="29"/>
    <n v="29"/>
    <n v="1"/>
    <s v="Positive"/>
  </r>
  <r>
    <n v="2023"/>
    <s v="CSU-21015"/>
    <n v="30721"/>
    <x v="0"/>
    <x v="0"/>
    <s v="LC"/>
    <s v="FC"/>
    <s v="FC-039"/>
    <x v="1"/>
    <s v="L"/>
    <s v="Cx."/>
    <x v="1"/>
    <s v="F"/>
    <m/>
    <n v="6"/>
    <n v="6"/>
    <n v="0"/>
    <s v="Negative"/>
  </r>
  <r>
    <n v="2023"/>
    <s v="CSU-21016"/>
    <n v="30722"/>
    <x v="0"/>
    <x v="0"/>
    <s v="LC"/>
    <s v="FC"/>
    <s v="FC-088gr"/>
    <x v="1"/>
    <s v="G"/>
    <s v="Cx."/>
    <x v="1"/>
    <s v="F"/>
    <n v="50"/>
    <m/>
    <n v="50"/>
    <n v="1"/>
    <s v="Positive"/>
  </r>
  <r>
    <n v="2023"/>
    <s v="CSU-21017"/>
    <n v="30723"/>
    <x v="0"/>
    <x v="0"/>
    <s v="LC"/>
    <s v="FC"/>
    <s v="FC-088gr"/>
    <x v="1"/>
    <s v="G"/>
    <s v="Cx."/>
    <x v="1"/>
    <s v="F"/>
    <n v="50"/>
    <m/>
    <n v="50"/>
    <n v="1"/>
    <s v="Positive"/>
  </r>
  <r>
    <n v="2023"/>
    <s v="CSU-21018"/>
    <n v="30724"/>
    <x v="0"/>
    <x v="0"/>
    <s v="LC"/>
    <s v="FC"/>
    <s v="FC-088gr"/>
    <x v="1"/>
    <s v="G"/>
    <s v="Cx."/>
    <x v="1"/>
    <s v="F"/>
    <n v="24"/>
    <m/>
    <n v="24"/>
    <n v="0"/>
    <s v="Negative"/>
  </r>
  <r>
    <n v="2023"/>
    <s v="CSU-21019"/>
    <n v="30725"/>
    <x v="0"/>
    <x v="0"/>
    <s v="LC"/>
    <s v="FC"/>
    <s v="FC-027"/>
    <x v="1"/>
    <s v="L"/>
    <s v="Cx."/>
    <x v="0"/>
    <s v="F"/>
    <m/>
    <n v="26"/>
    <n v="26"/>
    <n v="0"/>
    <s v="Negative"/>
  </r>
  <r>
    <n v="2023"/>
    <s v="CSU-21020"/>
    <n v="30726"/>
    <x v="0"/>
    <x v="0"/>
    <s v="LC"/>
    <s v="FC"/>
    <s v="FC-023"/>
    <x v="1"/>
    <s v="L"/>
    <s v="Cx."/>
    <x v="0"/>
    <s v="F"/>
    <m/>
    <n v="50"/>
    <n v="50"/>
    <n v="0"/>
    <s v="Negative"/>
  </r>
  <r>
    <n v="2023"/>
    <s v="CSU-21021"/>
    <n v="30727"/>
    <x v="0"/>
    <x v="0"/>
    <s v="LC"/>
    <s v="FC"/>
    <s v="FC-023"/>
    <x v="1"/>
    <s v="L"/>
    <s v="Cx."/>
    <x v="0"/>
    <s v="F"/>
    <m/>
    <n v="29"/>
    <n v="29"/>
    <n v="0"/>
    <s v="Negative"/>
  </r>
  <r>
    <n v="2023"/>
    <s v="CSU-21022"/>
    <n v="30728"/>
    <x v="0"/>
    <x v="0"/>
    <s v="LC"/>
    <s v="FC"/>
    <s v="FC-023"/>
    <x v="1"/>
    <s v="L"/>
    <s v="Cx."/>
    <x v="1"/>
    <s v="F"/>
    <m/>
    <n v="8"/>
    <n v="8"/>
    <n v="0"/>
    <s v="Negative"/>
  </r>
  <r>
    <n v="2023"/>
    <s v="CSU-21023"/>
    <n v="30729"/>
    <x v="0"/>
    <x v="0"/>
    <s v="LC"/>
    <s v="FC"/>
    <s v="FC-059"/>
    <x v="1"/>
    <s v="L"/>
    <s v="Cx."/>
    <x v="0"/>
    <s v="F"/>
    <m/>
    <n v="14"/>
    <n v="14"/>
    <n v="0"/>
    <s v="Negative"/>
  </r>
  <r>
    <n v="2023"/>
    <s v="CSU-21024"/>
    <n v="30730"/>
    <x v="0"/>
    <x v="0"/>
    <s v="LC"/>
    <s v="FC"/>
    <s v="FC-059"/>
    <x v="1"/>
    <s v="L"/>
    <s v="Cx."/>
    <x v="1"/>
    <s v="F"/>
    <m/>
    <n v="1"/>
    <n v="1"/>
    <n v="0"/>
    <s v="Negative"/>
  </r>
  <r>
    <n v="2023"/>
    <s v="CSU-21025"/>
    <n v="30731"/>
    <x v="0"/>
    <x v="0"/>
    <s v="LC"/>
    <s v="FC"/>
    <s v="FC-050"/>
    <x v="1"/>
    <s v="L"/>
    <s v="Cx."/>
    <x v="0"/>
    <s v="F"/>
    <m/>
    <n v="50"/>
    <n v="50"/>
    <n v="0"/>
    <s v="Negative"/>
  </r>
  <r>
    <n v="2023"/>
    <s v="CSU-21026"/>
    <n v="30732"/>
    <x v="0"/>
    <x v="0"/>
    <s v="LC"/>
    <s v="FC"/>
    <s v="FC-050"/>
    <x v="1"/>
    <s v="L"/>
    <s v="Cx."/>
    <x v="0"/>
    <s v="F"/>
    <m/>
    <n v="32"/>
    <n v="32"/>
    <n v="0"/>
    <s v="Negative"/>
  </r>
  <r>
    <n v="2023"/>
    <s v="CSU-21027"/>
    <n v="30733"/>
    <x v="0"/>
    <x v="0"/>
    <s v="LC"/>
    <s v="FC"/>
    <s v="FC-050"/>
    <x v="1"/>
    <s v="L"/>
    <s v="Cx."/>
    <x v="1"/>
    <s v="F"/>
    <m/>
    <n v="4"/>
    <n v="4"/>
    <n v="0"/>
    <s v="Negative"/>
  </r>
  <r>
    <n v="2023"/>
    <s v="CSU-21028"/>
    <n v="30734"/>
    <x v="0"/>
    <x v="0"/>
    <s v="LC"/>
    <s v="FC"/>
    <s v="FC-004"/>
    <x v="1"/>
    <s v="L"/>
    <s v="Cx."/>
    <x v="0"/>
    <s v="F"/>
    <m/>
    <n v="50"/>
    <n v="50"/>
    <n v="0"/>
    <s v="Negative"/>
  </r>
  <r>
    <n v="2023"/>
    <s v="CSU-21029"/>
    <n v="30735"/>
    <x v="0"/>
    <x v="0"/>
    <s v="LC"/>
    <s v="FC"/>
    <s v="FC-004"/>
    <x v="1"/>
    <s v="L"/>
    <s v="Cx."/>
    <x v="0"/>
    <s v="F"/>
    <m/>
    <n v="50"/>
    <n v="50"/>
    <n v="1"/>
    <s v="Positive"/>
  </r>
  <r>
    <n v="2023"/>
    <s v="CSU-21030"/>
    <n v="30736"/>
    <x v="0"/>
    <x v="0"/>
    <s v="LC"/>
    <s v="FC"/>
    <s v="FC-004"/>
    <x v="1"/>
    <s v="L"/>
    <s v="Cx."/>
    <x v="0"/>
    <s v="F"/>
    <m/>
    <n v="50"/>
    <n v="50"/>
    <n v="0"/>
    <s v="Negative"/>
  </r>
  <r>
    <n v="2023"/>
    <s v="CSU-21031"/>
    <n v="30737"/>
    <x v="0"/>
    <x v="0"/>
    <s v="LC"/>
    <s v="FC"/>
    <s v="FC-004"/>
    <x v="1"/>
    <s v="L"/>
    <s v="Cx."/>
    <x v="0"/>
    <s v="F"/>
    <m/>
    <n v="50"/>
    <n v="50"/>
    <n v="0"/>
    <s v="Negative"/>
  </r>
  <r>
    <n v="2023"/>
    <s v="CSU-21032"/>
    <n v="30738"/>
    <x v="0"/>
    <x v="0"/>
    <s v="LC"/>
    <s v="FC"/>
    <s v="FC-004"/>
    <x v="1"/>
    <s v="L"/>
    <s v="Cx."/>
    <x v="0"/>
    <s v="F"/>
    <m/>
    <n v="50"/>
    <n v="50"/>
    <n v="0"/>
    <s v="Negative"/>
  </r>
  <r>
    <n v="2023"/>
    <s v="CSU-21033"/>
    <n v="30739"/>
    <x v="0"/>
    <x v="0"/>
    <s v="LC"/>
    <s v="FC"/>
    <s v="FC-004"/>
    <x v="1"/>
    <s v="L"/>
    <s v="Cx."/>
    <x v="0"/>
    <s v="F"/>
    <m/>
    <n v="21"/>
    <n v="21"/>
    <n v="0"/>
    <s v="Negative"/>
  </r>
  <r>
    <n v="2023"/>
    <s v="CSU-21034"/>
    <n v="30740"/>
    <x v="0"/>
    <x v="0"/>
    <s v="LC"/>
    <s v="FC"/>
    <s v="FC-004"/>
    <x v="1"/>
    <s v="L"/>
    <s v="Cx."/>
    <x v="1"/>
    <s v="F"/>
    <m/>
    <n v="24"/>
    <n v="24"/>
    <n v="0"/>
    <s v="Negative"/>
  </r>
  <r>
    <n v="2023"/>
    <s v="CSU-21035"/>
    <n v="30741"/>
    <x v="0"/>
    <x v="0"/>
    <s v="LC"/>
    <s v="FC"/>
    <s v="FC-046"/>
    <x v="1"/>
    <s v="L"/>
    <s v="Cx."/>
    <x v="0"/>
    <s v="F"/>
    <m/>
    <n v="50"/>
    <n v="50"/>
    <n v="0"/>
    <s v="Negative"/>
  </r>
  <r>
    <n v="2023"/>
    <s v="CSU-21036"/>
    <n v="30742"/>
    <x v="0"/>
    <x v="0"/>
    <s v="LC"/>
    <s v="FC"/>
    <s v="FC-046"/>
    <x v="1"/>
    <s v="L"/>
    <s v="Cx."/>
    <x v="0"/>
    <s v="F"/>
    <m/>
    <n v="30"/>
    <n v="30"/>
    <n v="0"/>
    <s v="Negative"/>
  </r>
  <r>
    <n v="2023"/>
    <s v="CSU-21037"/>
    <n v="30743"/>
    <x v="0"/>
    <x v="0"/>
    <s v="LC"/>
    <s v="FC"/>
    <s v="FC-046"/>
    <x v="1"/>
    <s v="L"/>
    <s v="Cx."/>
    <x v="1"/>
    <s v="F"/>
    <m/>
    <n v="6"/>
    <n v="6"/>
    <n v="0"/>
    <s v="Negative"/>
  </r>
  <r>
    <n v="2023"/>
    <s v="CSU-21038"/>
    <n v="30744"/>
    <x v="0"/>
    <x v="0"/>
    <s v="LC"/>
    <s v="FC"/>
    <s v="FC-047"/>
    <x v="1"/>
    <s v="L"/>
    <s v="Cx."/>
    <x v="0"/>
    <s v="F"/>
    <m/>
    <n v="50"/>
    <n v="50"/>
    <n v="0"/>
    <s v="Negative"/>
  </r>
  <r>
    <n v="2023"/>
    <s v="CSU-21039"/>
    <n v="30745"/>
    <x v="0"/>
    <x v="0"/>
    <s v="LC"/>
    <s v="FC"/>
    <s v="FC-047"/>
    <x v="1"/>
    <s v="L"/>
    <s v="Cx."/>
    <x v="0"/>
    <s v="F"/>
    <m/>
    <n v="29"/>
    <n v="29"/>
    <n v="0"/>
    <s v="Negative"/>
  </r>
  <r>
    <n v="2023"/>
    <s v="CSU-21040"/>
    <n v="30746"/>
    <x v="0"/>
    <x v="0"/>
    <s v="LC"/>
    <s v="FC"/>
    <s v="FC-047"/>
    <x v="1"/>
    <s v="L"/>
    <s v="Cx."/>
    <x v="1"/>
    <s v="F"/>
    <m/>
    <n v="7"/>
    <n v="7"/>
    <n v="0"/>
    <s v="Negative"/>
  </r>
  <r>
    <n v="2023"/>
    <s v="CSU-21041"/>
    <n v="30747"/>
    <x v="0"/>
    <x v="0"/>
    <s v="LC"/>
    <s v="FC"/>
    <s v="FC-031"/>
    <x v="1"/>
    <s v="L"/>
    <s v="Cx."/>
    <x v="0"/>
    <s v="F"/>
    <m/>
    <n v="50"/>
    <n v="50"/>
    <n v="1"/>
    <s v="Positive"/>
  </r>
  <r>
    <n v="2023"/>
    <s v="CSU-21042"/>
    <n v="30748"/>
    <x v="0"/>
    <x v="0"/>
    <s v="LC"/>
    <s v="FC"/>
    <s v="FC-031"/>
    <x v="1"/>
    <s v="L"/>
    <s v="Cx."/>
    <x v="0"/>
    <s v="F"/>
    <m/>
    <n v="50"/>
    <n v="50"/>
    <n v="0"/>
    <s v="Negative"/>
  </r>
  <r>
    <n v="2023"/>
    <s v="CSU-21043"/>
    <n v="30749"/>
    <x v="0"/>
    <x v="0"/>
    <s v="LC"/>
    <s v="FC"/>
    <s v="FC-031"/>
    <x v="1"/>
    <s v="L"/>
    <s v="Cx."/>
    <x v="0"/>
    <s v="F"/>
    <m/>
    <n v="50"/>
    <n v="50"/>
    <n v="0"/>
    <s v="Negative"/>
  </r>
  <r>
    <n v="2023"/>
    <s v="CSU-21044"/>
    <n v="30750"/>
    <x v="0"/>
    <x v="0"/>
    <s v="LC"/>
    <s v="FC"/>
    <s v="FC-031"/>
    <x v="1"/>
    <s v="L"/>
    <s v="Cx."/>
    <x v="0"/>
    <s v="F"/>
    <m/>
    <n v="50"/>
    <n v="50"/>
    <n v="0"/>
    <s v="Negative"/>
  </r>
  <r>
    <n v="2023"/>
    <s v="CSU-21045"/>
    <n v="30751"/>
    <x v="0"/>
    <x v="0"/>
    <s v="LC"/>
    <s v="FC"/>
    <s v="FC-031"/>
    <x v="1"/>
    <s v="L"/>
    <s v="Cx."/>
    <x v="0"/>
    <s v="F"/>
    <m/>
    <n v="50"/>
    <n v="50"/>
    <n v="0"/>
    <s v="Negative"/>
  </r>
  <r>
    <n v="2023"/>
    <s v="CSU-21046"/>
    <n v="30752"/>
    <x v="0"/>
    <x v="0"/>
    <s v="LC"/>
    <s v="FC"/>
    <s v="FC-031"/>
    <x v="1"/>
    <s v="L"/>
    <s v="Cx."/>
    <x v="0"/>
    <s v="F"/>
    <m/>
    <n v="50"/>
    <n v="50"/>
    <n v="1"/>
    <s v="Positive"/>
  </r>
  <r>
    <n v="2023"/>
    <s v="CSU-21047"/>
    <n v="30753"/>
    <x v="0"/>
    <x v="0"/>
    <s v="LC"/>
    <s v="FC"/>
    <s v="FC-031"/>
    <x v="1"/>
    <s v="L"/>
    <s v="Cx."/>
    <x v="0"/>
    <s v="F"/>
    <m/>
    <n v="50"/>
    <n v="50"/>
    <n v="0"/>
    <s v="Negative"/>
  </r>
  <r>
    <n v="2023"/>
    <s v="CSU-21048"/>
    <n v="30754"/>
    <x v="0"/>
    <x v="0"/>
    <s v="LC"/>
    <s v="FC"/>
    <s v="FC-031"/>
    <x v="1"/>
    <s v="L"/>
    <s v="Cx."/>
    <x v="0"/>
    <s v="F"/>
    <m/>
    <n v="50"/>
    <n v="50"/>
    <n v="0"/>
    <s v="Negative"/>
  </r>
  <r>
    <n v="2023"/>
    <s v="CSU-21049"/>
    <n v="30755"/>
    <x v="0"/>
    <x v="0"/>
    <s v="LC"/>
    <s v="FC"/>
    <s v="FC-031"/>
    <x v="1"/>
    <s v="L"/>
    <s v="Cx."/>
    <x v="0"/>
    <s v="F"/>
    <m/>
    <n v="50"/>
    <n v="50"/>
    <n v="0"/>
    <s v="Negative"/>
  </r>
  <r>
    <n v="2023"/>
    <s v="CSU-21050"/>
    <n v="30756"/>
    <x v="0"/>
    <x v="0"/>
    <s v="LC"/>
    <s v="FC"/>
    <s v="FC-031"/>
    <x v="1"/>
    <s v="L"/>
    <s v="Cx."/>
    <x v="0"/>
    <s v="F"/>
    <m/>
    <n v="50"/>
    <n v="50"/>
    <n v="0"/>
    <s v="Negative"/>
  </r>
  <r>
    <n v="2023"/>
    <s v="CSU-21051"/>
    <n v="30757"/>
    <x v="0"/>
    <x v="0"/>
    <s v="LC"/>
    <s v="FC"/>
    <s v="FC-031"/>
    <x v="1"/>
    <s v="L"/>
    <s v="Cx."/>
    <x v="0"/>
    <s v="F"/>
    <m/>
    <n v="50"/>
    <n v="50"/>
    <n v="0"/>
    <s v="Negative"/>
  </r>
  <r>
    <n v="2023"/>
    <s v="CSU-21052"/>
    <n v="30758"/>
    <x v="0"/>
    <x v="0"/>
    <s v="LC"/>
    <s v="FC"/>
    <s v="FC-031"/>
    <x v="1"/>
    <s v="L"/>
    <s v="Cx."/>
    <x v="0"/>
    <s v="F"/>
    <m/>
    <n v="50"/>
    <n v="50"/>
    <n v="1"/>
    <s v="Positive"/>
  </r>
  <r>
    <n v="2023"/>
    <s v="CSU-21053"/>
    <n v="30759"/>
    <x v="0"/>
    <x v="0"/>
    <s v="LC"/>
    <s v="FC"/>
    <s v="FC-031"/>
    <x v="1"/>
    <s v="L"/>
    <s v="Cx."/>
    <x v="0"/>
    <s v="F"/>
    <m/>
    <n v="27"/>
    <n v="27"/>
    <n v="0"/>
    <s v="Negative"/>
  </r>
  <r>
    <n v="2023"/>
    <s v="CSU-21054"/>
    <n v="30760"/>
    <x v="0"/>
    <x v="0"/>
    <s v="LC"/>
    <s v="FC"/>
    <s v="FC-031"/>
    <x v="1"/>
    <s v="L"/>
    <s v="Cx."/>
    <x v="1"/>
    <s v="F"/>
    <m/>
    <n v="44"/>
    <n v="44"/>
    <n v="1"/>
    <s v="Positive"/>
  </r>
  <r>
    <n v="2023"/>
    <s v="CSU-21055"/>
    <n v="30761"/>
    <x v="0"/>
    <x v="1"/>
    <s v="LC"/>
    <s v="LV"/>
    <s v="LV-089"/>
    <x v="0"/>
    <s v="L"/>
    <s v="Cx."/>
    <x v="0"/>
    <s v="F"/>
    <m/>
    <n v="50"/>
    <n v="50"/>
    <n v="0"/>
    <s v="Negative"/>
  </r>
  <r>
    <n v="2023"/>
    <s v="CSU-21056"/>
    <n v="30762"/>
    <x v="0"/>
    <x v="1"/>
    <s v="LC"/>
    <s v="LV"/>
    <s v="LV-089"/>
    <x v="0"/>
    <s v="L"/>
    <s v="Cx."/>
    <x v="0"/>
    <s v="F"/>
    <m/>
    <n v="50"/>
    <n v="50"/>
    <n v="0"/>
    <s v="Negative"/>
  </r>
  <r>
    <n v="2023"/>
    <s v="CSU-21057"/>
    <n v="30763"/>
    <x v="0"/>
    <x v="1"/>
    <s v="LC"/>
    <s v="LV"/>
    <s v="LV-089"/>
    <x v="0"/>
    <s v="L"/>
    <s v="Cx."/>
    <x v="0"/>
    <s v="F"/>
    <m/>
    <n v="50"/>
    <n v="50"/>
    <n v="0"/>
    <s v="Negative"/>
  </r>
  <r>
    <n v="2023"/>
    <s v="CSU-21058"/>
    <n v="30764"/>
    <x v="0"/>
    <x v="1"/>
    <s v="LC"/>
    <s v="LV"/>
    <s v="LV-104"/>
    <x v="0"/>
    <s v="L"/>
    <s v="Cx."/>
    <x v="0"/>
    <s v="F"/>
    <m/>
    <n v="50"/>
    <n v="50"/>
    <n v="0"/>
    <s v="Negative"/>
  </r>
  <r>
    <n v="2023"/>
    <s v="CSU-21059"/>
    <n v="30765"/>
    <x v="0"/>
    <x v="1"/>
    <s v="LC"/>
    <s v="LV"/>
    <s v="LV-104"/>
    <x v="0"/>
    <s v="L"/>
    <s v="Cx."/>
    <x v="0"/>
    <s v="F"/>
    <m/>
    <n v="50"/>
    <n v="50"/>
    <n v="0"/>
    <s v="Negative"/>
  </r>
  <r>
    <n v="2023"/>
    <s v="CSU-21060"/>
    <n v="30766"/>
    <x v="0"/>
    <x v="1"/>
    <s v="LC"/>
    <s v="LV"/>
    <s v="LV-104"/>
    <x v="0"/>
    <s v="L"/>
    <s v="Cx."/>
    <x v="0"/>
    <s v="F"/>
    <m/>
    <n v="18"/>
    <n v="18"/>
    <n v="0"/>
    <s v="Negative"/>
  </r>
  <r>
    <n v="2023"/>
    <s v="CSU-21061"/>
    <n v="30767"/>
    <x v="0"/>
    <x v="1"/>
    <s v="LC"/>
    <s v="LV"/>
    <s v="LV-104"/>
    <x v="0"/>
    <s v="L"/>
    <s v="Cx."/>
    <x v="1"/>
    <s v="F"/>
    <m/>
    <n v="19"/>
    <n v="19"/>
    <n v="0"/>
    <s v="Negative"/>
  </r>
  <r>
    <n v="2023"/>
    <s v="CSU-21062"/>
    <n v="30768"/>
    <x v="0"/>
    <x v="1"/>
    <s v="LC"/>
    <s v="FC"/>
    <s v="FC-006"/>
    <x v="2"/>
    <s v="L"/>
    <s v="Cx."/>
    <x v="0"/>
    <s v="F"/>
    <m/>
    <n v="2"/>
    <n v="2"/>
    <n v="0"/>
    <s v="Negative"/>
  </r>
  <r>
    <n v="2023"/>
    <s v="CSU-21063"/>
    <n v="30769"/>
    <x v="0"/>
    <x v="1"/>
    <s v="LC"/>
    <s v="LV"/>
    <s v="LV-110"/>
    <x v="0"/>
    <s v="L"/>
    <s v="Cx."/>
    <x v="0"/>
    <s v="F"/>
    <m/>
    <n v="9"/>
    <n v="9"/>
    <n v="0"/>
    <s v="Negative"/>
  </r>
  <r>
    <n v="2023"/>
    <s v="CSU-21064"/>
    <n v="30770"/>
    <x v="0"/>
    <x v="1"/>
    <s v="LC"/>
    <s v="FC"/>
    <s v="FC-072"/>
    <x v="2"/>
    <s v="L"/>
    <s v="Cx."/>
    <x v="0"/>
    <s v="F"/>
    <m/>
    <n v="2"/>
    <n v="2"/>
    <n v="0"/>
    <s v="Negative"/>
  </r>
  <r>
    <n v="2023"/>
    <s v="CSU-21065"/>
    <n v="30771"/>
    <x v="0"/>
    <x v="1"/>
    <s v="LC"/>
    <s v="FC"/>
    <s v="FC-019"/>
    <x v="2"/>
    <s v="L"/>
    <s v="Cx."/>
    <x v="0"/>
    <s v="F"/>
    <m/>
    <n v="20"/>
    <n v="20"/>
    <n v="0"/>
    <s v="Negative"/>
  </r>
  <r>
    <n v="2023"/>
    <s v="CSU-21066"/>
    <n v="30772"/>
    <x v="0"/>
    <x v="1"/>
    <s v="LC"/>
    <s v="FC"/>
    <s v="FC-019"/>
    <x v="2"/>
    <s v="L"/>
    <s v="Cx."/>
    <x v="1"/>
    <s v="F"/>
    <m/>
    <n v="6"/>
    <n v="6"/>
    <n v="0"/>
    <s v="Negative"/>
  </r>
  <r>
    <n v="2023"/>
    <s v="CSU-21067"/>
    <n v="30773"/>
    <x v="0"/>
    <x v="1"/>
    <s v="LC"/>
    <s v="FC"/>
    <s v="FC-067"/>
    <x v="2"/>
    <s v="L"/>
    <s v="Cx."/>
    <x v="0"/>
    <s v="F"/>
    <m/>
    <n v="12"/>
    <n v="12"/>
    <n v="1"/>
    <s v="Positive"/>
  </r>
  <r>
    <n v="2023"/>
    <s v="CSU-21068"/>
    <n v="30774"/>
    <x v="0"/>
    <x v="1"/>
    <s v="LC"/>
    <s v="FC"/>
    <s v="FC-067"/>
    <x v="2"/>
    <s v="L"/>
    <s v="Cx."/>
    <x v="1"/>
    <s v="F"/>
    <m/>
    <n v="1"/>
    <n v="1"/>
    <n v="0"/>
    <s v="Negative"/>
  </r>
  <r>
    <n v="2023"/>
    <s v="CSU-21069"/>
    <n v="30775"/>
    <x v="0"/>
    <x v="1"/>
    <s v="LC"/>
    <s v="FC"/>
    <s v="FC-014"/>
    <x v="2"/>
    <s v="L"/>
    <s v="Cx."/>
    <x v="0"/>
    <s v="F"/>
    <m/>
    <n v="26"/>
    <n v="26"/>
    <n v="0"/>
    <s v="Negative"/>
  </r>
  <r>
    <n v="2023"/>
    <s v="CSU-21070"/>
    <n v="30776"/>
    <x v="0"/>
    <x v="1"/>
    <s v="LC"/>
    <s v="FC"/>
    <s v="FC-014"/>
    <x v="2"/>
    <s v="L"/>
    <s v="Cx."/>
    <x v="1"/>
    <s v="F"/>
    <m/>
    <n v="11"/>
    <n v="11"/>
    <n v="0"/>
    <s v="Negative"/>
  </r>
  <r>
    <n v="2023"/>
    <s v="CSU-21071"/>
    <n v="30777"/>
    <x v="0"/>
    <x v="1"/>
    <s v="LC"/>
    <s v="FC"/>
    <s v="FC-036"/>
    <x v="3"/>
    <s v="L"/>
    <s v="Cx."/>
    <x v="0"/>
    <s v="F"/>
    <m/>
    <n v="20"/>
    <n v="20"/>
    <n v="0"/>
    <s v="Negative"/>
  </r>
  <r>
    <n v="2023"/>
    <s v="CSU-21072"/>
    <n v="30778"/>
    <x v="0"/>
    <x v="1"/>
    <s v="LC"/>
    <s v="FC"/>
    <s v="FC-036"/>
    <x v="3"/>
    <s v="L"/>
    <s v="Cx."/>
    <x v="1"/>
    <s v="F"/>
    <m/>
    <n v="6"/>
    <n v="6"/>
    <n v="0"/>
    <s v="Negative"/>
  </r>
  <r>
    <n v="2023"/>
    <s v="CSU-21073"/>
    <n v="30779"/>
    <x v="0"/>
    <x v="1"/>
    <s v="LC"/>
    <s v="FC"/>
    <s v="FC-066gr"/>
    <x v="2"/>
    <s v="G"/>
    <s v="Cx."/>
    <x v="1"/>
    <s v="F"/>
    <n v="1"/>
    <m/>
    <n v="1"/>
    <n v="0"/>
    <s v="Negative"/>
  </r>
  <r>
    <n v="2023"/>
    <s v="CSU-21074"/>
    <n v="30780"/>
    <x v="0"/>
    <x v="1"/>
    <s v="LC"/>
    <s v="FC"/>
    <s v="FC-069"/>
    <x v="2"/>
    <s v="L"/>
    <s v="Cx."/>
    <x v="0"/>
    <s v="F"/>
    <m/>
    <n v="14"/>
    <n v="14"/>
    <n v="0"/>
    <s v="Negative"/>
  </r>
  <r>
    <n v="2023"/>
    <s v="CSU-21075"/>
    <n v="30781"/>
    <x v="0"/>
    <x v="1"/>
    <s v="LC"/>
    <s v="FC"/>
    <s v="FC-034"/>
    <x v="2"/>
    <s v="L"/>
    <s v="Cx."/>
    <x v="0"/>
    <s v="F"/>
    <m/>
    <n v="6"/>
    <n v="6"/>
    <n v="0"/>
    <s v="Negative"/>
  </r>
  <r>
    <n v="2023"/>
    <s v="CSU-21076"/>
    <n v="30782"/>
    <x v="0"/>
    <x v="1"/>
    <s v="LC"/>
    <s v="FC"/>
    <s v="FC-038"/>
    <x v="2"/>
    <s v="L"/>
    <s v="Cx."/>
    <x v="0"/>
    <s v="F"/>
    <m/>
    <n v="24"/>
    <n v="24"/>
    <n v="0"/>
    <s v="Negative"/>
  </r>
  <r>
    <n v="2023"/>
    <s v="CSU-21077"/>
    <n v="30783"/>
    <x v="0"/>
    <x v="1"/>
    <s v="LC"/>
    <s v="FC"/>
    <s v="FC-040"/>
    <x v="2"/>
    <s v="L"/>
    <s v="Cx."/>
    <x v="0"/>
    <s v="F"/>
    <m/>
    <n v="22"/>
    <n v="22"/>
    <n v="0"/>
    <s v="Negative"/>
  </r>
  <r>
    <n v="2023"/>
    <s v="CSU-21078"/>
    <n v="30784"/>
    <x v="0"/>
    <x v="1"/>
    <s v="LC"/>
    <s v="FC"/>
    <s v="FC-040"/>
    <x v="2"/>
    <s v="L"/>
    <s v="Cx."/>
    <x v="1"/>
    <s v="F"/>
    <m/>
    <n v="8"/>
    <n v="8"/>
    <n v="0"/>
    <s v="Negative"/>
  </r>
  <r>
    <n v="2023"/>
    <s v="CSU-21079"/>
    <n v="30785"/>
    <x v="0"/>
    <x v="1"/>
    <s v="LC"/>
    <s v="FC"/>
    <s v="FC-066"/>
    <x v="2"/>
    <s v="L"/>
    <s v="Cx."/>
    <x v="0"/>
    <s v="F"/>
    <m/>
    <n v="50"/>
    <n v="50"/>
    <n v="0"/>
    <s v="Negative"/>
  </r>
  <r>
    <n v="2023"/>
    <s v="CSU-21080"/>
    <n v="30786"/>
    <x v="0"/>
    <x v="1"/>
    <s v="LC"/>
    <s v="FC"/>
    <s v="FC-066"/>
    <x v="2"/>
    <s v="L"/>
    <s v="Cx."/>
    <x v="0"/>
    <s v="F"/>
    <m/>
    <n v="1"/>
    <n v="1"/>
    <n v="0"/>
    <s v="Negative"/>
  </r>
  <r>
    <n v="2023"/>
    <s v="CSU-21081"/>
    <n v="30787"/>
    <x v="0"/>
    <x v="1"/>
    <s v="LC"/>
    <s v="FC"/>
    <s v="FC-066"/>
    <x v="2"/>
    <s v="L"/>
    <s v="Cx."/>
    <x v="1"/>
    <s v="F"/>
    <m/>
    <n v="50"/>
    <n v="50"/>
    <n v="0"/>
    <s v="Negative"/>
  </r>
  <r>
    <n v="2023"/>
    <s v="CSU-21082"/>
    <n v="30788"/>
    <x v="0"/>
    <x v="1"/>
    <s v="LC"/>
    <s v="FC"/>
    <s v="FC-066"/>
    <x v="2"/>
    <s v="L"/>
    <s v="Cx."/>
    <x v="1"/>
    <s v="F"/>
    <m/>
    <n v="15"/>
    <n v="15"/>
    <n v="0"/>
    <s v="Negative"/>
  </r>
  <r>
    <n v="2023"/>
    <s v="CSU-21083"/>
    <n v="30789"/>
    <x v="0"/>
    <x v="2"/>
    <s v="LC"/>
    <s v="FC"/>
    <s v="FC-049"/>
    <x v="4"/>
    <s v="L"/>
    <s v="Cx."/>
    <x v="0"/>
    <s v="F"/>
    <m/>
    <n v="12"/>
    <n v="12"/>
    <n v="0"/>
    <s v="Negative"/>
  </r>
  <r>
    <n v="2023"/>
    <s v="CSU-21084"/>
    <n v="30790"/>
    <x v="0"/>
    <x v="2"/>
    <s v="LC"/>
    <s v="FC"/>
    <s v="FC-058"/>
    <x v="4"/>
    <s v="L"/>
    <s v="Cx."/>
    <x v="0"/>
    <s v="F"/>
    <m/>
    <n v="12"/>
    <n v="12"/>
    <n v="0"/>
    <s v="Negative"/>
  </r>
  <r>
    <n v="2023"/>
    <s v="CSU-21085"/>
    <n v="30791"/>
    <x v="0"/>
    <x v="2"/>
    <s v="LC"/>
    <s v="FC"/>
    <s v="FC-058"/>
    <x v="4"/>
    <s v="L"/>
    <s v="Cx."/>
    <x v="1"/>
    <s v="F"/>
    <m/>
    <n v="10"/>
    <n v="10"/>
    <n v="0"/>
    <s v="Negative"/>
  </r>
  <r>
    <n v="2023"/>
    <s v="CSU-21086"/>
    <n v="30792"/>
    <x v="0"/>
    <x v="2"/>
    <s v="LC"/>
    <s v="FC"/>
    <s v="FC-015"/>
    <x v="3"/>
    <s v="L"/>
    <s v="Cx."/>
    <x v="0"/>
    <s v="F"/>
    <m/>
    <n v="29"/>
    <n v="29"/>
    <n v="0"/>
    <s v="Negative"/>
  </r>
  <r>
    <n v="2023"/>
    <s v="CSU-21087"/>
    <n v="30793"/>
    <x v="0"/>
    <x v="2"/>
    <s v="LC"/>
    <s v="FC"/>
    <s v="FC-015"/>
    <x v="3"/>
    <s v="L"/>
    <s v="Cx."/>
    <x v="1"/>
    <s v="F"/>
    <m/>
    <n v="2"/>
    <n v="2"/>
    <n v="0"/>
    <s v="Negative"/>
  </r>
  <r>
    <n v="2023"/>
    <s v="CSU-21088"/>
    <n v="30794"/>
    <x v="0"/>
    <x v="2"/>
    <s v="LC"/>
    <s v="FC"/>
    <s v="FC-060"/>
    <x v="3"/>
    <s v="L"/>
    <s v="Cx."/>
    <x v="0"/>
    <s v="F"/>
    <m/>
    <n v="15"/>
    <n v="15"/>
    <n v="0"/>
    <s v="Negative"/>
  </r>
  <r>
    <n v="2023"/>
    <s v="CSU-21089"/>
    <n v="30795"/>
    <x v="0"/>
    <x v="2"/>
    <s v="LC"/>
    <s v="FC"/>
    <s v="FC-060"/>
    <x v="3"/>
    <s v="L"/>
    <s v="Cx."/>
    <x v="1"/>
    <s v="F"/>
    <m/>
    <n v="2"/>
    <n v="2"/>
    <n v="0"/>
    <s v="Negative"/>
  </r>
  <r>
    <n v="2023"/>
    <s v="CSU-21090"/>
    <n v="30796"/>
    <x v="0"/>
    <x v="2"/>
    <s v="LC"/>
    <s v="FC"/>
    <s v="FC-063gr"/>
    <x v="3"/>
    <s v="G"/>
    <s v="Cx."/>
    <x v="0"/>
    <s v="F"/>
    <n v="1"/>
    <m/>
    <n v="1"/>
    <n v="1"/>
    <s v="Positive"/>
  </r>
  <r>
    <n v="2023"/>
    <s v="CSU-21091"/>
    <n v="30797"/>
    <x v="0"/>
    <x v="2"/>
    <s v="LC"/>
    <s v="FC"/>
    <s v="FC-063gr"/>
    <x v="3"/>
    <s v="G"/>
    <s v="Cx."/>
    <x v="1"/>
    <s v="F"/>
    <n v="50"/>
    <m/>
    <n v="50"/>
    <n v="1"/>
    <s v="Positive"/>
  </r>
  <r>
    <n v="2023"/>
    <s v="CSU-21092"/>
    <n v="30798"/>
    <x v="0"/>
    <x v="2"/>
    <s v="LC"/>
    <s v="FC"/>
    <s v="FC-063gr"/>
    <x v="3"/>
    <s v="G"/>
    <s v="Cx."/>
    <x v="1"/>
    <s v="F"/>
    <n v="36"/>
    <m/>
    <n v="36"/>
    <n v="0"/>
    <s v="Negative"/>
  </r>
  <r>
    <n v="2023"/>
    <s v="CSU-21093"/>
    <n v="30799"/>
    <x v="0"/>
    <x v="2"/>
    <s v="LC"/>
    <s v="LV"/>
    <s v="LV-020"/>
    <x v="0"/>
    <s v="L"/>
    <s v="Cx."/>
    <x v="0"/>
    <s v="F"/>
    <m/>
    <n v="38"/>
    <n v="38"/>
    <n v="0"/>
    <s v="Negative"/>
  </r>
  <r>
    <n v="2023"/>
    <s v="CSU-21094"/>
    <n v="30800"/>
    <x v="0"/>
    <x v="2"/>
    <s v="LC"/>
    <s v="LV"/>
    <s v="LV-020"/>
    <x v="0"/>
    <s v="L"/>
    <s v="Cx."/>
    <x v="1"/>
    <s v="F"/>
    <m/>
    <n v="2"/>
    <n v="2"/>
    <n v="0"/>
    <s v="Negative"/>
  </r>
  <r>
    <n v="2023"/>
    <s v="CSU-21095"/>
    <n v="30801"/>
    <x v="0"/>
    <x v="2"/>
    <s v="LC"/>
    <s v="BE"/>
    <s v="LC-054"/>
    <x v="5"/>
    <s v="L"/>
    <s v="Cx."/>
    <x v="0"/>
    <s v="F"/>
    <m/>
    <n v="28"/>
    <n v="28"/>
    <n v="0"/>
    <s v="Negative"/>
  </r>
  <r>
    <n v="2023"/>
    <s v="CSU-21096"/>
    <n v="30802"/>
    <x v="0"/>
    <x v="2"/>
    <s v="LC"/>
    <s v="BE"/>
    <s v="LC-054"/>
    <x v="5"/>
    <s v="L"/>
    <s v="Cx."/>
    <x v="1"/>
    <s v="F"/>
    <m/>
    <n v="2"/>
    <n v="2"/>
    <n v="0"/>
    <s v="Negative"/>
  </r>
  <r>
    <n v="2023"/>
    <s v="CSU-21097"/>
    <n v="30803"/>
    <x v="0"/>
    <x v="2"/>
    <s v="LC"/>
    <s v="BE"/>
    <s v="LC-053"/>
    <x v="5"/>
    <s v="L"/>
    <s v="Cx."/>
    <x v="0"/>
    <s v="F"/>
    <m/>
    <n v="15"/>
    <n v="15"/>
    <n v="0"/>
    <s v="Negative"/>
  </r>
  <r>
    <n v="2023"/>
    <s v="CSU-21098"/>
    <n v="30804"/>
    <x v="0"/>
    <x v="2"/>
    <s v="LC"/>
    <s v="BE"/>
    <s v="LC-053"/>
    <x v="5"/>
    <s v="L"/>
    <s v="Cx."/>
    <x v="1"/>
    <s v="F"/>
    <m/>
    <n v="8"/>
    <n v="8"/>
    <n v="0"/>
    <s v="Negative"/>
  </r>
  <r>
    <n v="2023"/>
    <s v="CSU-21099"/>
    <n v="30805"/>
    <x v="0"/>
    <x v="2"/>
    <s v="LC"/>
    <s v="BE"/>
    <s v="WC-055"/>
    <x v="5"/>
    <s v="L"/>
    <s v="Cx."/>
    <x v="0"/>
    <s v="F"/>
    <m/>
    <n v="21"/>
    <n v="21"/>
    <n v="0"/>
    <s v="Negative"/>
  </r>
  <r>
    <n v="2023"/>
    <s v="CSU-21100"/>
    <n v="30806"/>
    <x v="0"/>
    <x v="2"/>
    <s v="LC"/>
    <s v="BE"/>
    <s v="WC-055"/>
    <x v="5"/>
    <s v="L"/>
    <s v="Cx."/>
    <x v="1"/>
    <s v="F"/>
    <m/>
    <n v="9"/>
    <n v="9"/>
    <n v="0"/>
    <s v="Negative"/>
  </r>
  <r>
    <n v="2023"/>
    <s v="CSU-21101"/>
    <n v="30807"/>
    <x v="0"/>
    <x v="2"/>
    <s v="LC"/>
    <s v="BE"/>
    <s v="LC-049"/>
    <x v="5"/>
    <s v="L"/>
    <s v="Cx."/>
    <x v="0"/>
    <s v="F"/>
    <m/>
    <n v="9"/>
    <n v="9"/>
    <n v="0"/>
    <s v="Negative"/>
  </r>
  <r>
    <n v="2023"/>
    <s v="CSU-21102"/>
    <n v="30808"/>
    <x v="0"/>
    <x v="2"/>
    <s v="LC"/>
    <s v="BE"/>
    <s v="LC-001"/>
    <x v="5"/>
    <s v="L"/>
    <s v="Cx."/>
    <x v="0"/>
    <s v="F"/>
    <m/>
    <n v="50"/>
    <n v="50"/>
    <n v="0"/>
    <s v="Negative"/>
  </r>
  <r>
    <n v="2023"/>
    <s v="CSU-21103"/>
    <n v="30809"/>
    <x v="0"/>
    <x v="2"/>
    <s v="LC"/>
    <s v="BE"/>
    <s v="LC-001"/>
    <x v="5"/>
    <s v="L"/>
    <s v="Cx."/>
    <x v="0"/>
    <s v="F"/>
    <m/>
    <n v="50"/>
    <n v="50"/>
    <n v="0"/>
    <s v="Negative"/>
  </r>
  <r>
    <n v="2023"/>
    <s v="CSU-21104"/>
    <n v="30810"/>
    <x v="0"/>
    <x v="2"/>
    <s v="LC"/>
    <s v="BE"/>
    <s v="LC-001"/>
    <x v="5"/>
    <s v="L"/>
    <s v="Cx."/>
    <x v="0"/>
    <s v="F"/>
    <m/>
    <n v="37"/>
    <n v="37"/>
    <n v="0"/>
    <s v="Negative"/>
  </r>
  <r>
    <n v="2023"/>
    <s v="CSU-21105"/>
    <n v="30811"/>
    <x v="0"/>
    <x v="2"/>
    <s v="LC"/>
    <s v="BE"/>
    <s v="LC-001"/>
    <x v="5"/>
    <s v="L"/>
    <s v="Cx."/>
    <x v="1"/>
    <s v="F"/>
    <m/>
    <n v="30"/>
    <n v="30"/>
    <n v="0"/>
    <s v="Negative"/>
  </r>
  <r>
    <n v="2023"/>
    <s v="CSU-21106"/>
    <n v="30812"/>
    <x v="0"/>
    <x v="2"/>
    <s v="LC"/>
    <s v="FC"/>
    <s v="FC-011"/>
    <x v="3"/>
    <s v="L"/>
    <s v="Cx."/>
    <x v="0"/>
    <s v="F"/>
    <m/>
    <n v="11"/>
    <n v="11"/>
    <n v="0"/>
    <s v="Negative"/>
  </r>
  <r>
    <n v="2023"/>
    <s v="CSU-21107"/>
    <n v="30813"/>
    <x v="0"/>
    <x v="2"/>
    <s v="LC"/>
    <s v="FC"/>
    <s v="FC-011"/>
    <x v="3"/>
    <s v="L"/>
    <s v="Cx."/>
    <x v="1"/>
    <s v="F"/>
    <m/>
    <n v="2"/>
    <n v="2"/>
    <n v="1"/>
    <s v="Positive"/>
  </r>
  <r>
    <n v="2023"/>
    <s v="CSU-21108"/>
    <n v="30814"/>
    <x v="0"/>
    <x v="2"/>
    <s v="LC"/>
    <s v="FC"/>
    <s v="FC-041"/>
    <x v="3"/>
    <s v="L"/>
    <s v="Cx."/>
    <x v="0"/>
    <s v="F"/>
    <m/>
    <n v="25"/>
    <n v="25"/>
    <n v="0"/>
    <s v="Negative"/>
  </r>
  <r>
    <n v="2023"/>
    <s v="CSU-21109"/>
    <n v="30815"/>
    <x v="0"/>
    <x v="2"/>
    <s v="LC"/>
    <s v="FC"/>
    <s v="FC-041"/>
    <x v="3"/>
    <s v="L"/>
    <s v="Cx."/>
    <x v="1"/>
    <s v="F"/>
    <m/>
    <n v="7"/>
    <n v="7"/>
    <n v="1"/>
    <s v="Positive"/>
  </r>
  <r>
    <n v="2023"/>
    <s v="CSU-21110"/>
    <n v="30816"/>
    <x v="0"/>
    <x v="2"/>
    <s v="LC"/>
    <s v="FC"/>
    <s v="FC-090gr"/>
    <x v="3"/>
    <s v="G"/>
    <s v="Cx."/>
    <x v="1"/>
    <s v="F"/>
    <n v="28"/>
    <m/>
    <n v="28"/>
    <n v="0"/>
    <s v="Negative"/>
  </r>
  <r>
    <n v="2023"/>
    <s v="CSU-21111"/>
    <n v="30817"/>
    <x v="0"/>
    <x v="2"/>
    <s v="LC"/>
    <s v="FC"/>
    <s v="FC-073"/>
    <x v="3"/>
    <s v="L"/>
    <s v="Cx."/>
    <x v="0"/>
    <s v="F"/>
    <m/>
    <n v="45"/>
    <n v="45"/>
    <n v="1"/>
    <s v="Positive"/>
  </r>
  <r>
    <n v="2023"/>
    <s v="CSU-21112"/>
    <n v="30818"/>
    <x v="0"/>
    <x v="2"/>
    <s v="LC"/>
    <s v="FC"/>
    <s v="FC-073"/>
    <x v="3"/>
    <s v="L"/>
    <s v="Cx."/>
    <x v="1"/>
    <s v="F"/>
    <m/>
    <n v="1"/>
    <n v="1"/>
    <n v="0"/>
    <s v="Negative"/>
  </r>
  <r>
    <n v="2023"/>
    <s v="CSU-21113"/>
    <n v="30819"/>
    <x v="0"/>
    <x v="2"/>
    <s v="LC"/>
    <s v="FC"/>
    <s v="FC-061"/>
    <x v="3"/>
    <s v="L"/>
    <s v="Cx."/>
    <x v="0"/>
    <s v="F"/>
    <m/>
    <n v="50"/>
    <n v="50"/>
    <n v="1"/>
    <s v="Positive"/>
  </r>
  <r>
    <n v="2023"/>
    <s v="CSU-21114"/>
    <n v="30820"/>
    <x v="0"/>
    <x v="2"/>
    <s v="LC"/>
    <s v="FC"/>
    <s v="FC-061"/>
    <x v="3"/>
    <s v="L"/>
    <s v="Cx."/>
    <x v="0"/>
    <s v="F"/>
    <m/>
    <n v="24"/>
    <n v="24"/>
    <n v="0"/>
    <s v="Negative"/>
  </r>
  <r>
    <n v="2023"/>
    <s v="CSU-21115"/>
    <n v="30821"/>
    <x v="0"/>
    <x v="2"/>
    <s v="LC"/>
    <s v="FC"/>
    <s v="FC-061"/>
    <x v="3"/>
    <s v="L"/>
    <s v="Cx."/>
    <x v="1"/>
    <s v="F"/>
    <m/>
    <n v="9"/>
    <n v="9"/>
    <n v="0"/>
    <s v="Negative"/>
  </r>
  <r>
    <n v="2023"/>
    <s v="CSU-21116"/>
    <n v="30822"/>
    <x v="0"/>
    <x v="2"/>
    <s v="LC"/>
    <s v="FC"/>
    <s v="FC-052"/>
    <x v="3"/>
    <s v="L"/>
    <s v="Cx."/>
    <x v="0"/>
    <s v="F"/>
    <m/>
    <n v="17"/>
    <n v="17"/>
    <n v="1"/>
    <s v="Positive"/>
  </r>
  <r>
    <n v="2023"/>
    <s v="CSU-21117"/>
    <n v="30823"/>
    <x v="0"/>
    <x v="2"/>
    <s v="LC"/>
    <s v="FC"/>
    <s v="FC-052"/>
    <x v="3"/>
    <s v="L"/>
    <s v="Cx."/>
    <x v="1"/>
    <s v="F"/>
    <m/>
    <n v="4"/>
    <n v="4"/>
    <n v="0"/>
    <s v="Negative"/>
  </r>
  <r>
    <n v="2023"/>
    <s v="CSU-21118"/>
    <n v="30824"/>
    <x v="0"/>
    <x v="3"/>
    <s v="LC"/>
    <s v="FC"/>
    <s v="FC-001"/>
    <x v="4"/>
    <s v="L"/>
    <s v="Cx."/>
    <x v="0"/>
    <s v="F"/>
    <m/>
    <n v="32"/>
    <n v="32"/>
    <n v="0"/>
    <s v="Negative"/>
  </r>
  <r>
    <n v="2023"/>
    <s v="CSU-21119"/>
    <n v="30825"/>
    <x v="0"/>
    <x v="3"/>
    <s v="LC"/>
    <s v="FC"/>
    <s v="FC-001"/>
    <x v="4"/>
    <s v="L"/>
    <s v="Cx."/>
    <x v="1"/>
    <s v="F"/>
    <m/>
    <n v="3"/>
    <n v="3"/>
    <n v="0"/>
    <s v="Negative"/>
  </r>
  <r>
    <n v="2023"/>
    <s v="CSU-21120"/>
    <n v="30826"/>
    <x v="0"/>
    <x v="3"/>
    <s v="LC"/>
    <s v="FC"/>
    <s v="FC-029"/>
    <x v="1"/>
    <s v="L"/>
    <s v="Cx."/>
    <x v="0"/>
    <s v="F"/>
    <m/>
    <n v="50"/>
    <n v="50"/>
    <n v="0"/>
    <s v="Negative"/>
  </r>
  <r>
    <n v="2023"/>
    <s v="CSU-21121"/>
    <n v="30827"/>
    <x v="0"/>
    <x v="3"/>
    <s v="LC"/>
    <s v="FC"/>
    <s v="FC-029"/>
    <x v="1"/>
    <s v="L"/>
    <s v="Cx."/>
    <x v="0"/>
    <s v="F"/>
    <m/>
    <n v="33"/>
    <n v="33"/>
    <n v="0"/>
    <s v="Negative"/>
  </r>
  <r>
    <n v="2023"/>
    <s v="CSU-21122"/>
    <n v="30828"/>
    <x v="0"/>
    <x v="3"/>
    <s v="LC"/>
    <s v="FC"/>
    <s v="FC-029"/>
    <x v="1"/>
    <s v="L"/>
    <s v="Cx."/>
    <x v="1"/>
    <s v="F"/>
    <m/>
    <n v="8"/>
    <n v="8"/>
    <n v="1"/>
    <s v="Positive"/>
  </r>
  <r>
    <n v="2023"/>
    <s v="CSU-21123"/>
    <n v="30829"/>
    <x v="0"/>
    <x v="3"/>
    <s v="LC"/>
    <s v="FC"/>
    <s v="FC-068"/>
    <x v="4"/>
    <s v="L"/>
    <s v="Cx."/>
    <x v="0"/>
    <s v="F"/>
    <m/>
    <n v="19"/>
    <n v="19"/>
    <n v="0"/>
    <s v="Negative"/>
  </r>
  <r>
    <n v="2023"/>
    <s v="CSU-21124"/>
    <n v="30830"/>
    <x v="0"/>
    <x v="3"/>
    <s v="LC"/>
    <s v="FC"/>
    <s v="FC-068"/>
    <x v="4"/>
    <s v="L"/>
    <s v="Cx."/>
    <x v="1"/>
    <s v="F"/>
    <m/>
    <n v="4"/>
    <n v="4"/>
    <n v="0"/>
    <s v="Negative"/>
  </r>
  <r>
    <n v="2023"/>
    <s v="CSU-21125"/>
    <n v="30831"/>
    <x v="0"/>
    <x v="3"/>
    <s v="LC"/>
    <s v="FC"/>
    <s v="FC-093"/>
    <x v="4"/>
    <s v="L"/>
    <s v="Cx."/>
    <x v="0"/>
    <s v="F"/>
    <m/>
    <n v="5"/>
    <n v="5"/>
    <n v="0"/>
    <s v="Negative"/>
  </r>
  <r>
    <n v="2023"/>
    <s v="CSU-21126"/>
    <n v="30832"/>
    <x v="0"/>
    <x v="3"/>
    <s v="LC"/>
    <s v="FC"/>
    <s v="FC-029gr"/>
    <x v="1"/>
    <s v="G"/>
    <s v="Cx."/>
    <x v="1"/>
    <s v="F"/>
    <n v="46"/>
    <m/>
    <n v="46"/>
    <n v="1"/>
    <s v="Positive"/>
  </r>
  <r>
    <n v="2023"/>
    <s v="CSU-21127"/>
    <n v="30833"/>
    <x v="0"/>
    <x v="3"/>
    <s v="LC"/>
    <s v="FC"/>
    <s v="FC-062"/>
    <x v="4"/>
    <s v="L"/>
    <s v="Cx."/>
    <x v="0"/>
    <s v="F"/>
    <m/>
    <n v="11"/>
    <n v="11"/>
    <n v="0"/>
    <s v="Negative"/>
  </r>
  <r>
    <n v="2023"/>
    <s v="CSU-21128"/>
    <n v="30834"/>
    <x v="0"/>
    <x v="3"/>
    <s v="LC"/>
    <s v="FC"/>
    <s v="FC-062"/>
    <x v="4"/>
    <s v="L"/>
    <s v="Cx."/>
    <x v="1"/>
    <s v="F"/>
    <m/>
    <n v="6"/>
    <n v="6"/>
    <n v="0"/>
    <s v="Negative"/>
  </r>
  <r>
    <n v="2023"/>
    <s v="CSU-21129"/>
    <n v="30835"/>
    <x v="0"/>
    <x v="3"/>
    <s v="LC"/>
    <s v="FC"/>
    <s v="FC-057"/>
    <x v="4"/>
    <s v="L"/>
    <s v="Cx."/>
    <x v="0"/>
    <s v="F"/>
    <m/>
    <n v="50"/>
    <n v="50"/>
    <n v="1"/>
    <s v="Positive"/>
  </r>
  <r>
    <n v="2023"/>
    <s v="CSU-21130"/>
    <n v="30836"/>
    <x v="0"/>
    <x v="3"/>
    <s v="LC"/>
    <s v="FC"/>
    <s v="FC-057"/>
    <x v="4"/>
    <s v="L"/>
    <s v="Cx."/>
    <x v="0"/>
    <s v="F"/>
    <m/>
    <n v="18"/>
    <n v="18"/>
    <n v="0"/>
    <s v="Negative"/>
  </r>
  <r>
    <n v="2023"/>
    <s v="CSU-21131"/>
    <n v="30837"/>
    <x v="0"/>
    <x v="3"/>
    <s v="LC"/>
    <s v="FC"/>
    <s v="FC-057"/>
    <x v="4"/>
    <s v="L"/>
    <s v="Cx."/>
    <x v="1"/>
    <s v="F"/>
    <m/>
    <n v="4"/>
    <n v="4"/>
    <n v="0"/>
    <s v="Negative"/>
  </r>
  <r>
    <n v="2023"/>
    <s v="CSU-21132"/>
    <n v="30838"/>
    <x v="0"/>
    <x v="3"/>
    <s v="LC"/>
    <s v="FC"/>
    <s v="FC-037"/>
    <x v="4"/>
    <s v="L"/>
    <s v="Cx."/>
    <x v="0"/>
    <s v="F"/>
    <m/>
    <n v="5"/>
    <n v="5"/>
    <n v="1"/>
    <s v="Positive"/>
  </r>
  <r>
    <n v="2023"/>
    <s v="CSU-21133"/>
    <n v="30839"/>
    <x v="0"/>
    <x v="3"/>
    <s v="LC"/>
    <s v="FC"/>
    <s v="FC-037"/>
    <x v="4"/>
    <s v="L"/>
    <s v="Cx."/>
    <x v="1"/>
    <s v="F"/>
    <m/>
    <n v="1"/>
    <n v="1"/>
    <n v="0"/>
    <s v="Negative"/>
  </r>
  <r>
    <n v="2023"/>
    <s v="CSU-21134"/>
    <n v="30840"/>
    <x v="0"/>
    <x v="3"/>
    <s v="LC"/>
    <s v="FC"/>
    <s v="FC-071"/>
    <x v="4"/>
    <s v="L"/>
    <s v="Cx."/>
    <x v="0"/>
    <s v="F"/>
    <m/>
    <n v="18"/>
    <n v="18"/>
    <n v="0"/>
    <s v="Negative"/>
  </r>
  <r>
    <n v="2023"/>
    <s v="CSU-21135"/>
    <n v="30841"/>
    <x v="0"/>
    <x v="3"/>
    <s v="LC"/>
    <s v="FC"/>
    <s v="FC-071"/>
    <x v="4"/>
    <s v="L"/>
    <s v="Cx."/>
    <x v="1"/>
    <s v="F"/>
    <m/>
    <n v="4"/>
    <n v="4"/>
    <n v="0"/>
    <s v="Negative"/>
  </r>
  <r>
    <n v="2023"/>
    <s v="CSU-21136"/>
    <n v="30842"/>
    <x v="0"/>
    <x v="3"/>
    <s v="LC"/>
    <s v="FC"/>
    <s v="FC-089gr"/>
    <x v="4"/>
    <s v="G"/>
    <s v="Cx."/>
    <x v="1"/>
    <s v="F"/>
    <n v="33"/>
    <m/>
    <n v="33"/>
    <n v="1"/>
    <s v="Positive"/>
  </r>
  <r>
    <n v="2023"/>
    <s v="BOU-00175"/>
    <s v="N/A"/>
    <x v="0"/>
    <x v="0"/>
    <s v="BC"/>
    <s v="BC"/>
    <s v="BC-25"/>
    <x v="6"/>
    <s v="L"/>
    <s v="Cx."/>
    <x v="0"/>
    <s v="F"/>
    <m/>
    <n v="49"/>
    <n v="49"/>
    <n v="0"/>
    <s v="Negative"/>
  </r>
  <r>
    <n v="2023"/>
    <s v="BOU-00176"/>
    <s v="N/A"/>
    <x v="0"/>
    <x v="0"/>
    <s v="BC"/>
    <s v="BC"/>
    <s v="BC-11"/>
    <x v="6"/>
    <s v="L"/>
    <s v="Cx."/>
    <x v="0"/>
    <s v="F"/>
    <m/>
    <n v="49"/>
    <n v="49"/>
    <n v="0"/>
    <s v="Negative"/>
  </r>
  <r>
    <n v="2023"/>
    <s v="BOU-00177"/>
    <s v="N/A"/>
    <x v="0"/>
    <x v="0"/>
    <s v="BC"/>
    <s v="BC"/>
    <s v="BC-27"/>
    <x v="6"/>
    <s v="L"/>
    <s v="Cx."/>
    <x v="0"/>
    <s v="F"/>
    <m/>
    <n v="49"/>
    <n v="49"/>
    <n v="0"/>
    <s v="Negative"/>
  </r>
  <r>
    <n v="2023"/>
    <s v="BOU-00178"/>
    <s v="N/A"/>
    <x v="0"/>
    <x v="0"/>
    <s v="BC"/>
    <s v="BC"/>
    <s v="BC-22"/>
    <x v="6"/>
    <s v="L"/>
    <s v="Cx."/>
    <x v="0"/>
    <s v="F"/>
    <m/>
    <n v="37"/>
    <n v="37"/>
    <n v="0"/>
    <s v="Negative"/>
  </r>
  <r>
    <n v="2023"/>
    <s v="BOU-00179"/>
    <s v="N/A"/>
    <x v="0"/>
    <x v="0"/>
    <s v="BC"/>
    <s v="BC"/>
    <s v="BC-04"/>
    <x v="6"/>
    <s v="L"/>
    <s v="Cx."/>
    <x v="0"/>
    <s v="F"/>
    <m/>
    <n v="49"/>
    <n v="49"/>
    <n v="0"/>
    <s v="Negative"/>
  </r>
  <r>
    <n v="2023"/>
    <s v="BOU-00180"/>
    <s v="N/A"/>
    <x v="0"/>
    <x v="0"/>
    <s v="BC"/>
    <s v="BC"/>
    <s v="BC-26"/>
    <x v="6"/>
    <s v="L"/>
    <s v="Cx."/>
    <x v="0"/>
    <s v="F"/>
    <m/>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3EAAE-C921-42E3-AFDF-205E680D19C4}" name="PivotTable3" cacheId="1921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2"/>
        <item x="3"/>
        <item x="1"/>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3D99D-A9EA-4D46-A776-E766C7569BAB}" name="PivotTable1" cacheId="192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2"/>
        <item x="3"/>
        <item x="1"/>
        <item x="4"/>
        <item x="5"/>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84C41-282D-4A76-B2A0-2C67ABAE8157}" name="PivotTable4" cacheId="192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2"/>
        <item x="3"/>
        <item x="1"/>
        <item x="4"/>
        <item x="0"/>
        <item x="5"/>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078F1-6C9D-4994-8F87-AB0C4986F464}" name="PivotTable1" cacheId="1921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2"/>
        <item x="3"/>
        <item x="1"/>
        <item x="4"/>
        <item x="5"/>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ColWidth="8.85546875" defaultRowHeight="15"/>
  <cols>
    <col min="1" max="1" width="39.5703125" bestFit="1" customWidth="1"/>
    <col min="2" max="2" width="16.28515625" bestFit="1" customWidth="1"/>
    <col min="3" max="3" width="7.5703125" bestFit="1" customWidth="1"/>
    <col min="4" max="6" width="11.28515625" bestFit="1" customWidth="1"/>
    <col min="7" max="7" width="12.42578125" customWidth="1"/>
    <col min="8" max="8" width="9.140625" customWidth="1"/>
  </cols>
  <sheetData>
    <row r="1" spans="1:10">
      <c r="A1" s="32" t="s">
        <v>463</v>
      </c>
      <c r="G1" s="84" t="s">
        <v>464</v>
      </c>
      <c r="H1" s="84"/>
    </row>
    <row r="2" spans="1:10">
      <c r="A2" s="2" t="s">
        <v>13</v>
      </c>
      <c r="B2" t="s">
        <v>457</v>
      </c>
    </row>
    <row r="4" spans="1:10">
      <c r="A4" s="2" t="s">
        <v>469</v>
      </c>
      <c r="B4" s="2" t="s">
        <v>466</v>
      </c>
      <c r="G4" s="23" t="s">
        <v>469</v>
      </c>
      <c r="H4" s="23" t="s">
        <v>466</v>
      </c>
      <c r="I4" s="23"/>
      <c r="J4" s="23"/>
    </row>
    <row r="5" spans="1:10">
      <c r="A5" s="2" t="s">
        <v>458</v>
      </c>
      <c r="B5" t="s">
        <v>37</v>
      </c>
      <c r="C5" t="s">
        <v>49</v>
      </c>
      <c r="D5" t="s">
        <v>462</v>
      </c>
      <c r="G5" s="24" t="s">
        <v>458</v>
      </c>
      <c r="H5" s="24" t="s">
        <v>467</v>
      </c>
      <c r="I5" s="24" t="s">
        <v>468</v>
      </c>
      <c r="J5" s="24" t="s">
        <v>462</v>
      </c>
    </row>
    <row r="6" spans="1:10">
      <c r="A6" s="1" t="s">
        <v>146</v>
      </c>
      <c r="B6">
        <v>11</v>
      </c>
      <c r="C6">
        <v>7</v>
      </c>
      <c r="D6">
        <v>18</v>
      </c>
      <c r="G6" s="1" t="s">
        <v>33</v>
      </c>
      <c r="H6">
        <f>GETPIVOTDATA("CSU Pool Number     (CMC enters)",$A$4,"Zone","LV","Spp","Pipiens")</f>
        <v>3</v>
      </c>
      <c r="I6">
        <f>GETPIVOTDATA("CSU Pool Number     (CMC enters)",$A$4,"Zone","LV","Spp","Tarsalis")</f>
        <v>14</v>
      </c>
      <c r="J6">
        <f>GETPIVOTDATA("CSU Pool Number     (CMC enters)",$A$4,"Zone","LV")</f>
        <v>17</v>
      </c>
    </row>
    <row r="7" spans="1:10">
      <c r="A7" s="1" t="s">
        <v>164</v>
      </c>
      <c r="B7">
        <v>10</v>
      </c>
      <c r="C7">
        <v>11</v>
      </c>
      <c r="D7">
        <v>21</v>
      </c>
      <c r="G7" s="1" t="s">
        <v>146</v>
      </c>
      <c r="H7">
        <f>GETPIVOTDATA("CSU Pool Number     (CMC enters)",$A$4,"Zone","NE","Spp","Pipiens")</f>
        <v>7</v>
      </c>
      <c r="I7">
        <f>GETPIVOTDATA("CSU Pool Number     (CMC enters)",$A$4,"Zone","NE","Spp","Tarsalis")</f>
        <v>11</v>
      </c>
      <c r="J7">
        <f>GETPIVOTDATA("CSU Pool Number     (CMC enters)",$A$4,"Zone","NE")</f>
        <v>18</v>
      </c>
    </row>
    <row r="8" spans="1:10">
      <c r="A8" s="1" t="s">
        <v>55</v>
      </c>
      <c r="B8">
        <v>47</v>
      </c>
      <c r="C8">
        <v>18</v>
      </c>
      <c r="D8">
        <v>65</v>
      </c>
      <c r="G8" s="1" t="s">
        <v>164</v>
      </c>
      <c r="H8">
        <f>GETPIVOTDATA("CSU Pool Number     (CMC enters)",$A$4,"Zone","NW","Spp","Pipiens")</f>
        <v>11</v>
      </c>
      <c r="I8">
        <f>GETPIVOTDATA("CSU Pool Number     (CMC enters)",$A$4,"Zone","NW","Spp","Tarsalis")</f>
        <v>10</v>
      </c>
      <c r="J8">
        <f>GETPIVOTDATA("CSU Pool Number     (CMC enters)",$A$4,"Zone","NW")</f>
        <v>21</v>
      </c>
    </row>
    <row r="9" spans="1:10">
      <c r="A9" s="1" t="s">
        <v>186</v>
      </c>
      <c r="B9">
        <v>10</v>
      </c>
      <c r="C9">
        <v>8</v>
      </c>
      <c r="D9">
        <v>18</v>
      </c>
      <c r="G9" s="1" t="s">
        <v>55</v>
      </c>
      <c r="H9">
        <f>GETPIVOTDATA("CSU Pool Number     (CMC enters)",$A$4,"Zone","SE","Spp","Pipiens")</f>
        <v>18</v>
      </c>
      <c r="I9">
        <f>GETPIVOTDATA("CSU Pool Number     (CMC enters)",$A$4,"Zone","SE","Spp","Tarsalis")</f>
        <v>47</v>
      </c>
      <c r="J9">
        <f>GETPIVOTDATA("CSU Pool Number     (CMC enters)",$A$4,"Zone","SE")</f>
        <v>65</v>
      </c>
    </row>
    <row r="10" spans="1:10">
      <c r="A10" s="1" t="s">
        <v>33</v>
      </c>
      <c r="B10">
        <v>14</v>
      </c>
      <c r="C10">
        <v>3</v>
      </c>
      <c r="D10">
        <v>17</v>
      </c>
      <c r="G10" s="1" t="s">
        <v>186</v>
      </c>
      <c r="H10">
        <f>GETPIVOTDATA("CSU Pool Number     (CMC enters)",$A$4,"Zone","SW","Spp","Pipiens")</f>
        <v>8</v>
      </c>
      <c r="I10">
        <f>GETPIVOTDATA("CSU Pool Number     (CMC enters)",$A$4,"Zone","SW","Spp","Tarsalis")</f>
        <v>10</v>
      </c>
      <c r="J10">
        <f>GETPIVOTDATA("CSU Pool Number     (CMC enters)",$A$4,"Zone","SW")</f>
        <v>18</v>
      </c>
    </row>
    <row r="11" spans="1:10">
      <c r="A11" s="1" t="s">
        <v>206</v>
      </c>
      <c r="B11">
        <v>7</v>
      </c>
      <c r="C11">
        <v>4</v>
      </c>
      <c r="D11">
        <v>11</v>
      </c>
      <c r="G11" s="1" t="s">
        <v>206</v>
      </c>
      <c r="H11">
        <f>GETPIVOTDATA("CSU Pool Number     (CMC enters)",$A$4,"Zone","BE","Spp","Pipiens")</f>
        <v>4</v>
      </c>
      <c r="I11">
        <f>GETPIVOTDATA("CSU Pool Number     (CMC enters)",$A$4,"Zone","BE","Spp","Tarsalis")</f>
        <v>7</v>
      </c>
      <c r="J11">
        <f>GETPIVOTDATA("CSU Pool Number     (CMC enters)",$A$4,"Zone","BE")</f>
        <v>11</v>
      </c>
    </row>
    <row r="12" spans="1:10">
      <c r="A12" s="1" t="s">
        <v>273</v>
      </c>
      <c r="B12">
        <v>6</v>
      </c>
      <c r="D12">
        <v>6</v>
      </c>
      <c r="G12" s="1" t="s">
        <v>273</v>
      </c>
      <c r="H12">
        <f>GETPIVOTDATA("CSU Pool Number     (CMC enters)",$A$4,"Zone","BC","Spp","Pipiens")</f>
        <v>0</v>
      </c>
      <c r="I12">
        <f>GETPIVOTDATA("CSU Pool Number     (CMC enters)",$A$4,"Zone","BC","Spp","Tarsalis")</f>
        <v>6</v>
      </c>
      <c r="J12">
        <f>GETPIVOTDATA("CSU Pool Number     (CMC enters)",$A$4,"Zone","BC")</f>
        <v>6</v>
      </c>
    </row>
    <row r="13" spans="1:10">
      <c r="A13" s="1" t="s">
        <v>462</v>
      </c>
      <c r="B13">
        <v>105</v>
      </c>
      <c r="C13">
        <v>51</v>
      </c>
      <c r="D13">
        <v>156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1" sqref="B11"/>
    </sheetView>
  </sheetViews>
  <sheetFormatPr defaultColWidth="8.85546875" defaultRowHeight="15"/>
  <cols>
    <col min="1" max="1" width="28.140625" bestFit="1" customWidth="1"/>
    <col min="2" max="2" width="16.28515625" bestFit="1" customWidth="1"/>
    <col min="3" max="3" width="7.5703125" bestFit="1" customWidth="1"/>
    <col min="4" max="5" width="11.28515625" bestFit="1" customWidth="1"/>
    <col min="6" max="123" width="16.28515625" bestFit="1" customWidth="1"/>
    <col min="124" max="124" width="11.28515625" bestFit="1" customWidth="1"/>
  </cols>
  <sheetData>
    <row r="1" spans="1:9">
      <c r="A1" s="84" t="s">
        <v>463</v>
      </c>
      <c r="B1" s="84"/>
      <c r="C1" s="84"/>
      <c r="F1" s="32" t="s">
        <v>464</v>
      </c>
    </row>
    <row r="3" spans="1:9">
      <c r="A3" s="2" t="s">
        <v>14</v>
      </c>
      <c r="B3" t="s">
        <v>457</v>
      </c>
    </row>
    <row r="5" spans="1:9">
      <c r="A5" s="2" t="s">
        <v>470</v>
      </c>
      <c r="B5" s="2" t="s">
        <v>466</v>
      </c>
      <c r="F5" s="23" t="s">
        <v>471</v>
      </c>
      <c r="G5" s="23" t="s">
        <v>466</v>
      </c>
      <c r="H5" s="23"/>
      <c r="I5" s="23"/>
    </row>
    <row r="6" spans="1:9">
      <c r="A6" s="2" t="s">
        <v>458</v>
      </c>
      <c r="B6" t="s">
        <v>37</v>
      </c>
      <c r="C6" t="s">
        <v>49</v>
      </c>
      <c r="D6" t="s">
        <v>462</v>
      </c>
      <c r="F6" s="24" t="s">
        <v>458</v>
      </c>
      <c r="G6" s="24" t="s">
        <v>467</v>
      </c>
      <c r="H6" s="24" t="s">
        <v>468</v>
      </c>
      <c r="I6" s="24" t="s">
        <v>462</v>
      </c>
    </row>
    <row r="7" spans="1:9">
      <c r="A7" s="1" t="s">
        <v>33</v>
      </c>
      <c r="B7">
        <v>1</v>
      </c>
      <c r="C7">
        <v>0</v>
      </c>
      <c r="D7">
        <v>1</v>
      </c>
      <c r="F7" s="1" t="s">
        <v>164</v>
      </c>
      <c r="G7">
        <f>GETPIVOTDATA("Test code (CSU enters)",$A$5,"Zone","NW","Spp","Pipiens")</f>
        <v>3</v>
      </c>
      <c r="H7">
        <f>GETPIVOTDATA("Test code (CSU enters)",$A$5,"Zone","NW","Spp","Tarsalis")</f>
        <v>4</v>
      </c>
      <c r="I7">
        <f>GETPIVOTDATA("Test code (CSU enters)",$A$5,"Zone","NW")</f>
        <v>7</v>
      </c>
    </row>
    <row r="8" spans="1:9">
      <c r="A8" s="1" t="s">
        <v>146</v>
      </c>
      <c r="B8">
        <v>1</v>
      </c>
      <c r="C8">
        <v>0</v>
      </c>
      <c r="D8">
        <v>1</v>
      </c>
      <c r="F8" s="1" t="s">
        <v>146</v>
      </c>
      <c r="G8">
        <f>GETPIVOTDATA("Test code (CSU enters)",$A$5,"Zone","NE","Spp","Pipiens")</f>
        <v>0</v>
      </c>
      <c r="H8">
        <f>GETPIVOTDATA("Test code (CSU enters)",$A$5,"Zone","NE","Spp","Tarsalis")</f>
        <v>1</v>
      </c>
      <c r="I8">
        <f>GETPIVOTDATA("Test code (CSU enters)",$A$5,"Zone","NE")</f>
        <v>1</v>
      </c>
    </row>
    <row r="9" spans="1:9">
      <c r="A9" s="1" t="s">
        <v>164</v>
      </c>
      <c r="B9">
        <v>4</v>
      </c>
      <c r="C9">
        <v>3</v>
      </c>
      <c r="D9">
        <v>7</v>
      </c>
      <c r="F9" s="1" t="s">
        <v>55</v>
      </c>
      <c r="G9">
        <f>GETPIVOTDATA("Test code (CSU enters)",$A$5,"Zone","SE","Spp","Pipiens")</f>
        <v>7</v>
      </c>
      <c r="H9">
        <f>GETPIVOTDATA("Test code (CSU enters)",$A$5,"Zone","SE","Spp","Tarsalis")</f>
        <v>12</v>
      </c>
      <c r="I9">
        <f>GETPIVOTDATA("Test code (CSU enters)",$A$5,"Zone","SE")</f>
        <v>19</v>
      </c>
    </row>
    <row r="10" spans="1:9">
      <c r="A10" s="1" t="s">
        <v>55</v>
      </c>
      <c r="B10">
        <v>12</v>
      </c>
      <c r="C10">
        <v>7</v>
      </c>
      <c r="D10">
        <v>19</v>
      </c>
      <c r="F10" s="1" t="s">
        <v>186</v>
      </c>
      <c r="G10">
        <f>GETPIVOTDATA("Test code (CSU enters)",$A$5,"Zone","SW","Spp","Pipiens")</f>
        <v>1</v>
      </c>
      <c r="H10">
        <f>GETPIVOTDATA("Test code (CSU enters)",$A$5,"Zone","SW","Spp","Tarsalis")</f>
        <v>2</v>
      </c>
      <c r="I10">
        <f>GETPIVOTDATA("Test code (CSU enters)",$A$5,"Zone","SW")</f>
        <v>3</v>
      </c>
    </row>
    <row r="11" spans="1:9">
      <c r="A11" s="1" t="s">
        <v>186</v>
      </c>
      <c r="B11">
        <v>2</v>
      </c>
      <c r="C11">
        <v>1</v>
      </c>
      <c r="D11">
        <v>3</v>
      </c>
      <c r="F11" s="1" t="s">
        <v>33</v>
      </c>
      <c r="G11">
        <f>GETPIVOTDATA("Test code (CSU enters)",$A$5,"Zone","LV","Spp","Pipiens")</f>
        <v>0</v>
      </c>
      <c r="H11">
        <f>GETPIVOTDATA("Test code (CSU enters)",$A$5,"Zone","LV","Spp","Tarsalis")</f>
        <v>1</v>
      </c>
      <c r="I11">
        <f>GETPIVOTDATA("Test code (CSU enters)",$A$5,"Zone","LV")</f>
        <v>1</v>
      </c>
    </row>
    <row r="12" spans="1:9">
      <c r="A12" s="1" t="s">
        <v>206</v>
      </c>
      <c r="B12">
        <v>0</v>
      </c>
      <c r="C12">
        <v>0</v>
      </c>
      <c r="D12">
        <v>0</v>
      </c>
      <c r="F12" s="1" t="s">
        <v>206</v>
      </c>
      <c r="G12">
        <f>GETPIVOTDATA("Test code (CSU enters)",$A$5,"Zone","BE","Spp","Pipiens")</f>
        <v>0</v>
      </c>
      <c r="H12">
        <f>GETPIVOTDATA("Test code (CSU enters)",$A$5,"Zone","BE","Spp","Tarsalis")</f>
        <v>0</v>
      </c>
      <c r="I12">
        <f>GETPIVOTDATA("Test code (CSU enters)",$A$5,"Zone","BE")</f>
        <v>0</v>
      </c>
    </row>
    <row r="13" spans="1:9">
      <c r="A13" s="1" t="s">
        <v>273</v>
      </c>
      <c r="B13">
        <v>0</v>
      </c>
      <c r="D13">
        <v>0</v>
      </c>
      <c r="F13" s="1" t="s">
        <v>273</v>
      </c>
      <c r="G13">
        <f>GETPIVOTDATA("Test code (CSU enters)",$A$5,"Zone","BC","Spp","Pipiens")</f>
        <v>0</v>
      </c>
      <c r="H13">
        <f>GETPIVOTDATA("Test code (CSU enters)",$A$5,"Zone","BC","Spp","Tarsalis")</f>
        <v>0</v>
      </c>
      <c r="I13">
        <f>GETPIVOTDATA("Test code (CSU enters)",$A$5,"Zone","BC")</f>
        <v>0</v>
      </c>
    </row>
    <row r="14" spans="1:9">
      <c r="A14" s="1" t="s">
        <v>462</v>
      </c>
      <c r="B14">
        <v>20</v>
      </c>
      <c r="C14">
        <v>11</v>
      </c>
      <c r="D14">
        <v>31</v>
      </c>
      <c r="F14" s="66" t="s">
        <v>462</v>
      </c>
      <c r="G14" s="67">
        <f>GETPIVOTDATA("Test code (CSU enters)",$A$5,"Spp","Pipiens")</f>
        <v>11</v>
      </c>
      <c r="H14" s="67">
        <f>GETPIVOTDATA("Test code (CSU enters)",$A$5,"Spp","Tarsalis")</f>
        <v>20</v>
      </c>
      <c r="I14" s="67">
        <f>GETPIVOTDATA("Test code (CSU enters)",$A$5)</f>
        <v>31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G6" sqref="G6"/>
    </sheetView>
  </sheetViews>
  <sheetFormatPr defaultColWidth="8.85546875" defaultRowHeight="15"/>
  <cols>
    <col min="1" max="1" width="15.85546875" customWidth="1"/>
    <col min="2" max="2" width="12.140625" customWidth="1"/>
    <col min="3" max="3" width="14.42578125" customWidth="1"/>
  </cols>
  <sheetData>
    <row r="1" spans="1:11">
      <c r="A1" s="33" t="s">
        <v>472</v>
      </c>
      <c r="B1" s="33" t="s">
        <v>473</v>
      </c>
      <c r="C1" s="33" t="s">
        <v>295</v>
      </c>
      <c r="J1" s="47" t="s">
        <v>29</v>
      </c>
      <c r="K1" s="49" t="s">
        <v>286</v>
      </c>
    </row>
    <row r="2" spans="1:11">
      <c r="A2" t="s">
        <v>53</v>
      </c>
      <c r="B2" t="s">
        <v>474</v>
      </c>
      <c r="C2" s="30">
        <v>21.469937270192112</v>
      </c>
      <c r="H2" s="30"/>
      <c r="J2" t="s">
        <v>275</v>
      </c>
      <c r="K2" s="30">
        <v>0</v>
      </c>
    </row>
    <row r="3" spans="1:11">
      <c r="A3" t="s">
        <v>53</v>
      </c>
      <c r="B3" t="s">
        <v>475</v>
      </c>
      <c r="C3" s="30">
        <v>8.42407448382966</v>
      </c>
      <c r="I3" s="30"/>
      <c r="J3" t="s">
        <v>210</v>
      </c>
      <c r="K3" s="30">
        <v>0</v>
      </c>
    </row>
    <row r="4" spans="1:11">
      <c r="A4" t="s">
        <v>33</v>
      </c>
      <c r="B4" t="s">
        <v>474</v>
      </c>
      <c r="C4" s="30">
        <v>0</v>
      </c>
      <c r="I4" s="30"/>
      <c r="J4" t="s">
        <v>208</v>
      </c>
      <c r="K4" s="30">
        <v>0</v>
      </c>
    </row>
    <row r="5" spans="1:11">
      <c r="A5" t="s">
        <v>33</v>
      </c>
      <c r="B5" t="s">
        <v>475</v>
      </c>
      <c r="C5" s="30">
        <v>1.7129655605921617</v>
      </c>
      <c r="H5" s="30"/>
      <c r="J5" t="s">
        <v>62</v>
      </c>
      <c r="K5" s="30">
        <v>21.469937270192112</v>
      </c>
    </row>
    <row r="6" spans="1:11">
      <c r="A6" t="s">
        <v>206</v>
      </c>
      <c r="B6" t="s">
        <v>474</v>
      </c>
      <c r="C6" s="30">
        <v>0</v>
      </c>
      <c r="H6" s="30"/>
      <c r="J6" t="s">
        <v>56</v>
      </c>
      <c r="K6" s="30">
        <v>8.42407448382966</v>
      </c>
    </row>
    <row r="7" spans="1:11">
      <c r="A7" t="s">
        <v>206</v>
      </c>
      <c r="B7" t="s">
        <v>475</v>
      </c>
      <c r="C7" s="30">
        <v>0</v>
      </c>
      <c r="H7" s="30"/>
      <c r="J7" t="s">
        <v>50</v>
      </c>
      <c r="K7" s="30">
        <v>0</v>
      </c>
    </row>
    <row r="8" spans="1:11">
      <c r="A8" t="s">
        <v>273</v>
      </c>
      <c r="B8" t="s">
        <v>474</v>
      </c>
      <c r="C8" s="59" t="s">
        <v>272</v>
      </c>
      <c r="H8" s="30"/>
      <c r="J8" t="s">
        <v>40</v>
      </c>
      <c r="K8" s="30">
        <v>1.7129655605921617</v>
      </c>
    </row>
    <row r="9" spans="1:11">
      <c r="A9" t="s">
        <v>273</v>
      </c>
      <c r="B9" t="s">
        <v>475</v>
      </c>
      <c r="C9" s="30">
        <v>0</v>
      </c>
      <c r="H9" s="30"/>
      <c r="K9" s="30"/>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9" sqref="C9"/>
    </sheetView>
  </sheetViews>
  <sheetFormatPr defaultColWidth="8.85546875" defaultRowHeight="15"/>
  <cols>
    <col min="2" max="2" width="15.7109375" customWidth="1"/>
    <col min="3" max="3" width="13.140625" customWidth="1"/>
  </cols>
  <sheetData>
    <row r="1" spans="1:12">
      <c r="A1" s="33" t="s">
        <v>476</v>
      </c>
      <c r="B1" s="33" t="s">
        <v>473</v>
      </c>
      <c r="C1" s="33" t="s">
        <v>295</v>
      </c>
      <c r="I1" s="47" t="s">
        <v>30</v>
      </c>
      <c r="J1" s="49" t="s">
        <v>286</v>
      </c>
    </row>
    <row r="2" spans="1:12">
      <c r="A2" t="s">
        <v>164</v>
      </c>
      <c r="B2" t="s">
        <v>474</v>
      </c>
      <c r="C2" s="30">
        <v>22.683432826318402</v>
      </c>
      <c r="G2" s="30"/>
      <c r="I2" t="s">
        <v>155</v>
      </c>
      <c r="J2" s="30">
        <v>0</v>
      </c>
    </row>
    <row r="3" spans="1:12">
      <c r="A3" t="s">
        <v>164</v>
      </c>
      <c r="B3" t="s">
        <v>475</v>
      </c>
      <c r="C3" s="30">
        <v>21.046716883537645</v>
      </c>
      <c r="G3" s="30"/>
      <c r="I3" t="s">
        <v>147</v>
      </c>
      <c r="J3" s="30">
        <v>5.3058118328590824</v>
      </c>
    </row>
    <row r="4" spans="1:12">
      <c r="A4" t="s">
        <v>146</v>
      </c>
      <c r="B4" t="s">
        <v>474</v>
      </c>
      <c r="C4" s="30">
        <v>0</v>
      </c>
      <c r="G4" s="30"/>
      <c r="I4" t="s">
        <v>167</v>
      </c>
      <c r="J4" s="30">
        <v>22.683432826318402</v>
      </c>
    </row>
    <row r="5" spans="1:12">
      <c r="A5" t="s">
        <v>146</v>
      </c>
      <c r="B5" t="s">
        <v>475</v>
      </c>
      <c r="C5" s="30">
        <v>5.3058118328590824</v>
      </c>
      <c r="G5" s="30"/>
      <c r="I5" t="s">
        <v>165</v>
      </c>
      <c r="J5" s="30">
        <v>21.046716883537645</v>
      </c>
    </row>
    <row r="6" spans="1:12">
      <c r="A6" t="s">
        <v>55</v>
      </c>
      <c r="B6" t="s">
        <v>474</v>
      </c>
      <c r="C6" s="30">
        <v>27.413371050133744</v>
      </c>
      <c r="G6" s="30"/>
      <c r="I6" t="s">
        <v>63</v>
      </c>
      <c r="J6" s="30">
        <v>27.413371050133744</v>
      </c>
    </row>
    <row r="7" spans="1:12">
      <c r="A7" t="s">
        <v>55</v>
      </c>
      <c r="B7" t="s">
        <v>475</v>
      </c>
      <c r="C7" s="30">
        <v>6.838247638598669</v>
      </c>
      <c r="G7" s="30"/>
      <c r="I7" t="s">
        <v>57</v>
      </c>
      <c r="J7" s="30">
        <v>6.838247638598669</v>
      </c>
    </row>
    <row r="8" spans="1:12">
      <c r="A8" t="s">
        <v>186</v>
      </c>
      <c r="B8" t="s">
        <v>474</v>
      </c>
      <c r="C8" s="30">
        <v>17.929014601521253</v>
      </c>
      <c r="G8" s="30"/>
      <c r="I8" t="s">
        <v>191</v>
      </c>
      <c r="J8" s="30">
        <v>17.929014601521253</v>
      </c>
    </row>
    <row r="9" spans="1:12">
      <c r="A9" t="s">
        <v>186</v>
      </c>
      <c r="B9" t="s">
        <v>475</v>
      </c>
      <c r="C9" s="30">
        <v>12.032092128479245</v>
      </c>
      <c r="G9" s="30"/>
      <c r="I9" t="s">
        <v>187</v>
      </c>
      <c r="J9" s="30">
        <v>12.032092128479245</v>
      </c>
      <c r="L9" s="30"/>
    </row>
    <row r="10" spans="1:12">
      <c r="I10" s="30"/>
      <c r="J10" s="30"/>
      <c r="L10" s="30"/>
    </row>
    <row r="11" spans="1:12">
      <c r="I11" s="30"/>
      <c r="J11" s="30"/>
      <c r="L11" s="30"/>
    </row>
    <row r="12" spans="1:12">
      <c r="B12" s="30"/>
      <c r="I12" s="30"/>
      <c r="J12" s="30"/>
      <c r="L12" s="30"/>
    </row>
    <row r="13" spans="1:12">
      <c r="B13" s="30"/>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opLeftCell="A22" zoomScale="70" zoomScaleNormal="70" workbookViewId="0">
      <selection activeCell="S96" sqref="S96"/>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477</v>
      </c>
      <c r="B1" s="3"/>
      <c r="C1" s="97" t="s">
        <v>478</v>
      </c>
      <c r="D1" s="99"/>
      <c r="E1" s="97" t="s">
        <v>479</v>
      </c>
      <c r="F1" s="99"/>
      <c r="G1" s="114"/>
      <c r="H1" s="115"/>
      <c r="I1" s="116"/>
    </row>
    <row r="2" spans="1:15" ht="27" customHeight="1">
      <c r="B2" s="4"/>
      <c r="C2" s="100"/>
      <c r="D2" s="102"/>
      <c r="E2" s="100" t="s">
        <v>480</v>
      </c>
      <c r="F2" s="102"/>
      <c r="G2" s="117" t="s">
        <v>481</v>
      </c>
      <c r="H2" s="118"/>
      <c r="I2" s="119"/>
    </row>
    <row r="3" spans="1:15" ht="15.75" thickBot="1">
      <c r="B3" s="4"/>
      <c r="C3" s="103"/>
      <c r="D3" s="105"/>
      <c r="E3" s="94"/>
      <c r="F3" s="96"/>
      <c r="G3" s="94"/>
      <c r="H3" s="95"/>
      <c r="I3" s="96"/>
    </row>
    <row r="4" spans="1:15" ht="15.75" customHeight="1">
      <c r="B4" s="4" t="s">
        <v>482</v>
      </c>
      <c r="C4" s="106" t="s">
        <v>474</v>
      </c>
      <c r="D4" s="106" t="s">
        <v>475</v>
      </c>
      <c r="E4" s="6" t="s">
        <v>483</v>
      </c>
      <c r="F4" s="6" t="s">
        <v>483</v>
      </c>
      <c r="G4" s="112" t="s">
        <v>484</v>
      </c>
      <c r="H4" s="112" t="s">
        <v>485</v>
      </c>
      <c r="I4" s="8" t="s">
        <v>486</v>
      </c>
    </row>
    <row r="5" spans="1:15" ht="15.75" thickBot="1">
      <c r="B5" s="5"/>
      <c r="C5" s="107"/>
      <c r="D5" s="107"/>
      <c r="E5" s="7" t="s">
        <v>467</v>
      </c>
      <c r="F5" s="7" t="s">
        <v>468</v>
      </c>
      <c r="G5" s="113"/>
      <c r="H5" s="113"/>
      <c r="I5" s="9" t="s">
        <v>487</v>
      </c>
    </row>
    <row r="6" spans="1:15" ht="38.25" customHeight="1" thickBot="1">
      <c r="B6" s="10" t="s">
        <v>488</v>
      </c>
      <c r="C6" s="25">
        <f t="shared" ref="C6:D10" si="0">G40</f>
        <v>3.6666666666666665</v>
      </c>
      <c r="D6" s="25">
        <f t="shared" si="0"/>
        <v>26.222222222222221</v>
      </c>
      <c r="E6" s="40">
        <f t="shared" ref="E6:F10" si="1">L73/1000</f>
        <v>2.2683432826318402E-2</v>
      </c>
      <c r="F6" s="40">
        <f t="shared" si="1"/>
        <v>2.1046716883537646E-2</v>
      </c>
      <c r="G6" s="31">
        <f t="shared" ref="G6:H10" si="2">C6*E6</f>
        <v>8.3172587029834141E-2</v>
      </c>
      <c r="H6" s="31">
        <f t="shared" si="2"/>
        <v>0.55189168716832049</v>
      </c>
      <c r="I6" s="31">
        <f>G6+H6</f>
        <v>0.63506427419815459</v>
      </c>
    </row>
    <row r="7" spans="1:15" ht="26.25" thickBot="1">
      <c r="B7" s="10" t="s">
        <v>489</v>
      </c>
      <c r="C7" s="25">
        <f t="shared" si="0"/>
        <v>9.1</v>
      </c>
      <c r="D7" s="25">
        <f t="shared" si="0"/>
        <v>17.899999999999999</v>
      </c>
      <c r="E7" s="40">
        <f t="shared" si="1"/>
        <v>0</v>
      </c>
      <c r="F7" s="40">
        <f t="shared" si="1"/>
        <v>5.3058118328590826E-3</v>
      </c>
      <c r="G7" s="31">
        <f t="shared" si="2"/>
        <v>0</v>
      </c>
      <c r="H7" s="31">
        <f t="shared" si="2"/>
        <v>9.4974031808177567E-2</v>
      </c>
      <c r="I7" s="31">
        <f>G7+H7</f>
        <v>9.4974031808177567E-2</v>
      </c>
    </row>
    <row r="8" spans="1:15" ht="26.25" thickBot="1">
      <c r="B8" s="10" t="s">
        <v>490</v>
      </c>
      <c r="C8" s="25">
        <f t="shared" si="0"/>
        <v>12.571428571428571</v>
      </c>
      <c r="D8" s="25">
        <f t="shared" si="0"/>
        <v>145.14285714285714</v>
      </c>
      <c r="E8" s="40">
        <f t="shared" si="1"/>
        <v>2.7413371050133743E-2</v>
      </c>
      <c r="F8" s="40">
        <f t="shared" si="1"/>
        <v>6.8382476385986692E-3</v>
      </c>
      <c r="G8" s="31">
        <f t="shared" si="2"/>
        <v>0.34462523605882417</v>
      </c>
      <c r="H8" s="31">
        <f t="shared" si="2"/>
        <v>0.99252280011660676</v>
      </c>
      <c r="I8" s="31">
        <f>G8+H8</f>
        <v>1.3371480361754309</v>
      </c>
    </row>
    <row r="9" spans="1:15" ht="26.25" thickBot="1">
      <c r="B9" s="10" t="s">
        <v>491</v>
      </c>
      <c r="C9" s="25">
        <f t="shared" si="0"/>
        <v>3.5555555555555554</v>
      </c>
      <c r="D9" s="25">
        <f>H43</f>
        <v>20.222222222222221</v>
      </c>
      <c r="E9" s="40">
        <f t="shared" si="1"/>
        <v>1.7929014601521253E-2</v>
      </c>
      <c r="F9" s="40">
        <f t="shared" si="1"/>
        <v>1.2032092128479246E-2</v>
      </c>
      <c r="G9" s="31">
        <f t="shared" si="2"/>
        <v>6.3747607472075557E-2</v>
      </c>
      <c r="H9" s="31">
        <f t="shared" si="2"/>
        <v>0.24331564082035806</v>
      </c>
      <c r="I9" s="31">
        <f>G9+H9</f>
        <v>0.30706324829243359</v>
      </c>
    </row>
    <row r="10" spans="1:15" ht="26.25" thickBot="1">
      <c r="B10" s="10" t="s">
        <v>492</v>
      </c>
      <c r="C10" s="25">
        <f t="shared" si="0"/>
        <v>7.9047619047619051</v>
      </c>
      <c r="D10" s="25">
        <f t="shared" si="0"/>
        <v>62.595238095238095</v>
      </c>
      <c r="E10" s="40">
        <f t="shared" si="1"/>
        <v>2.1469937270192113E-2</v>
      </c>
      <c r="F10" s="40">
        <f t="shared" si="1"/>
        <v>8.4240744838296605E-3</v>
      </c>
      <c r="G10" s="31">
        <f t="shared" si="2"/>
        <v>0.16971474223104244</v>
      </c>
      <c r="H10" s="31">
        <f>D10*F10</f>
        <v>0.52730694804733758</v>
      </c>
      <c r="I10" s="31">
        <f>G10+H10</f>
        <v>0.69702169027838001</v>
      </c>
      <c r="N10" s="30"/>
    </row>
    <row r="11" spans="1:15" ht="15.75" thickBot="1">
      <c r="B11" s="10"/>
      <c r="C11" s="11"/>
      <c r="D11" s="11"/>
      <c r="E11" s="40"/>
      <c r="F11" s="40"/>
      <c r="G11" s="31"/>
      <c r="H11" s="31"/>
      <c r="I11" s="31"/>
    </row>
    <row r="12" spans="1:15" ht="15.75" thickBot="1">
      <c r="B12" s="10" t="s">
        <v>33</v>
      </c>
      <c r="C12" s="28">
        <f t="shared" ref="C12:D14" si="3">G46</f>
        <v>9.1081081081081088</v>
      </c>
      <c r="D12" s="28">
        <f t="shared" si="3"/>
        <v>173.75675675675674</v>
      </c>
      <c r="E12" s="40">
        <f t="shared" ref="E12:F13" si="4">L79/1000</f>
        <v>0</v>
      </c>
      <c r="F12" s="40">
        <f t="shared" si="4"/>
        <v>1.7129655605921616E-3</v>
      </c>
      <c r="G12" s="31">
        <f>C12*E12</f>
        <v>0</v>
      </c>
      <c r="H12" s="31">
        <f t="shared" ref="H12" si="5">D12*F12</f>
        <v>0.29763934024451366</v>
      </c>
      <c r="I12" s="31">
        <f>G12+H12</f>
        <v>0.29763934024451366</v>
      </c>
    </row>
    <row r="13" spans="1:15" ht="15.75" thickBot="1">
      <c r="B13" s="10" t="s">
        <v>206</v>
      </c>
      <c r="C13" s="28">
        <f t="shared" si="3"/>
        <v>9.8000000000000007</v>
      </c>
      <c r="D13" s="28">
        <f t="shared" si="3"/>
        <v>42</v>
      </c>
      <c r="E13" s="40">
        <f>L80/1000</f>
        <v>0</v>
      </c>
      <c r="F13" s="40">
        <f t="shared" si="4"/>
        <v>0</v>
      </c>
      <c r="G13" s="31">
        <f>C13*E13</f>
        <v>0</v>
      </c>
      <c r="H13" s="31">
        <f>D13*F13</f>
        <v>0</v>
      </c>
      <c r="I13" s="31">
        <f t="shared" ref="I13" si="6">G13+H13</f>
        <v>0</v>
      </c>
    </row>
    <row r="14" spans="1:15" ht="15.75" thickBot="1">
      <c r="B14" s="10" t="s">
        <v>273</v>
      </c>
      <c r="C14" s="28">
        <f t="shared" si="3"/>
        <v>0</v>
      </c>
      <c r="D14" s="28">
        <f>H48</f>
        <v>47</v>
      </c>
      <c r="E14" s="40" t="s">
        <v>272</v>
      </c>
      <c r="F14" s="40">
        <f>M81/1000</f>
        <v>0</v>
      </c>
      <c r="G14" s="31" t="s">
        <v>272</v>
      </c>
      <c r="H14" s="31">
        <f>D14*F14</f>
        <v>0</v>
      </c>
      <c r="I14" s="31">
        <f>H14</f>
        <v>0</v>
      </c>
    </row>
    <row r="15" spans="1:15" ht="15.75" thickBot="1"/>
    <row r="16" spans="1:15" ht="15" customHeight="1">
      <c r="A16" t="s">
        <v>493</v>
      </c>
      <c r="B16" s="15"/>
      <c r="C16" s="85" t="s">
        <v>488</v>
      </c>
      <c r="D16" s="87"/>
      <c r="E16" s="85" t="s">
        <v>489</v>
      </c>
      <c r="F16" s="87"/>
      <c r="G16" s="85" t="s">
        <v>490</v>
      </c>
      <c r="H16" s="87"/>
      <c r="I16" s="85" t="s">
        <v>491</v>
      </c>
      <c r="J16" s="87"/>
      <c r="K16" s="85" t="s">
        <v>492</v>
      </c>
      <c r="L16" s="87"/>
      <c r="M16" s="18"/>
      <c r="N16" s="18"/>
      <c r="O16" s="18"/>
    </row>
    <row r="17" spans="2:15" ht="15.75" thickBot="1">
      <c r="B17" s="16"/>
      <c r="C17" s="91"/>
      <c r="D17" s="93"/>
      <c r="E17" s="91"/>
      <c r="F17" s="93"/>
      <c r="G17" s="91"/>
      <c r="H17" s="93"/>
      <c r="I17" s="91"/>
      <c r="J17" s="93"/>
      <c r="K17" s="91"/>
      <c r="L17" s="93"/>
      <c r="M17" s="19"/>
      <c r="N17" s="19"/>
      <c r="O17" s="19"/>
    </row>
    <row r="18" spans="2:15" ht="26.25" thickBot="1">
      <c r="B18" s="17" t="s">
        <v>494</v>
      </c>
      <c r="C18" s="20" t="s">
        <v>495</v>
      </c>
      <c r="D18" s="20" t="s">
        <v>496</v>
      </c>
      <c r="E18" s="20" t="s">
        <v>495</v>
      </c>
      <c r="F18" s="20" t="s">
        <v>496</v>
      </c>
      <c r="G18" s="20" t="s">
        <v>495</v>
      </c>
      <c r="H18" s="20" t="s">
        <v>496</v>
      </c>
      <c r="I18" s="20" t="s">
        <v>495</v>
      </c>
      <c r="J18" s="20" t="s">
        <v>496</v>
      </c>
      <c r="K18" s="20" t="s">
        <v>495</v>
      </c>
      <c r="L18" s="20" t="s">
        <v>496</v>
      </c>
      <c r="M18" s="20" t="s">
        <v>33</v>
      </c>
      <c r="N18" s="20" t="s">
        <v>206</v>
      </c>
      <c r="O18" s="20" t="s">
        <v>273</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272</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272</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v>0.63506427419815459</v>
      </c>
      <c r="D27" s="42">
        <v>0.14043400738622153</v>
      </c>
      <c r="E27" s="44">
        <v>9.4974031808177567E-2</v>
      </c>
      <c r="F27" s="42">
        <v>0.16505088916936525</v>
      </c>
      <c r="G27" s="44">
        <v>1.3371480361754309</v>
      </c>
      <c r="H27" s="42">
        <v>0.23223366375363583</v>
      </c>
      <c r="I27" s="44">
        <v>0.30706324829243359</v>
      </c>
      <c r="J27" s="42">
        <v>7.7703573992842181E-2</v>
      </c>
      <c r="K27" s="44">
        <v>0.69702169027838001</v>
      </c>
      <c r="L27" s="42">
        <v>0.18175954560103025</v>
      </c>
      <c r="M27" s="29">
        <v>0.29763934024451366</v>
      </c>
      <c r="N27" s="29">
        <v>0</v>
      </c>
      <c r="O27" s="29">
        <v>0</v>
      </c>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497</v>
      </c>
      <c r="B35" s="3"/>
      <c r="C35" s="97" t="s">
        <v>498</v>
      </c>
      <c r="D35" s="98"/>
      <c r="E35" s="99"/>
      <c r="F35" s="14"/>
      <c r="G35" s="97" t="s">
        <v>499</v>
      </c>
      <c r="H35" s="98"/>
      <c r="I35" s="99"/>
    </row>
    <row r="36" spans="1:15" ht="38.25">
      <c r="B36" s="4"/>
      <c r="C36" s="100" t="s">
        <v>500</v>
      </c>
      <c r="D36" s="101"/>
      <c r="E36" s="102"/>
      <c r="F36" s="13" t="s">
        <v>501</v>
      </c>
      <c r="G36" s="100"/>
      <c r="H36" s="101"/>
      <c r="I36" s="102"/>
    </row>
    <row r="37" spans="1:15" ht="15.75" thickBot="1">
      <c r="B37" s="4"/>
      <c r="C37" s="94"/>
      <c r="D37" s="95"/>
      <c r="E37" s="96"/>
      <c r="F37" s="21"/>
      <c r="G37" s="103"/>
      <c r="H37" s="104"/>
      <c r="I37" s="105"/>
    </row>
    <row r="38" spans="1:15" ht="25.5">
      <c r="B38" s="4" t="s">
        <v>482</v>
      </c>
      <c r="C38" s="106" t="s">
        <v>474</v>
      </c>
      <c r="D38" s="106" t="s">
        <v>475</v>
      </c>
      <c r="E38" s="108" t="s">
        <v>502</v>
      </c>
      <c r="F38" s="21"/>
      <c r="G38" s="110" t="s">
        <v>503</v>
      </c>
      <c r="H38" s="110" t="s">
        <v>504</v>
      </c>
      <c r="I38" s="26" t="s">
        <v>486</v>
      </c>
    </row>
    <row r="39" spans="1:15" ht="15.75" thickBot="1">
      <c r="B39" s="5"/>
      <c r="C39" s="107"/>
      <c r="D39" s="107"/>
      <c r="E39" s="109"/>
      <c r="F39" s="12"/>
      <c r="G39" s="111"/>
      <c r="H39" s="111"/>
      <c r="I39" s="27" t="s">
        <v>505</v>
      </c>
    </row>
    <row r="40" spans="1:15" ht="44.25" customHeight="1" thickBot="1">
      <c r="B40" s="10" t="s">
        <v>488</v>
      </c>
      <c r="C40" s="45">
        <f>'Total Number Of Ind'!H7</f>
        <v>33</v>
      </c>
      <c r="D40" s="45">
        <f>'Total Number Of Ind'!I7</f>
        <v>236</v>
      </c>
      <c r="E40" s="45">
        <f>C40+D40</f>
        <v>269</v>
      </c>
      <c r="F40" s="45">
        <v>9</v>
      </c>
      <c r="G40" s="25">
        <f>C40/F40</f>
        <v>3.6666666666666665</v>
      </c>
      <c r="H40" s="25">
        <f>D40/F40</f>
        <v>26.222222222222221</v>
      </c>
      <c r="I40" s="25">
        <f>E40/F40</f>
        <v>29.888888888888889</v>
      </c>
    </row>
    <row r="41" spans="1:15" ht="26.25" thickBot="1">
      <c r="B41" s="10" t="s">
        <v>489</v>
      </c>
      <c r="C41" s="45">
        <f>'Total Number Of Ind'!H6</f>
        <v>91</v>
      </c>
      <c r="D41" s="45">
        <f>'Total Number Of Ind'!I6</f>
        <v>179</v>
      </c>
      <c r="E41" s="45">
        <f>C41+D41</f>
        <v>270</v>
      </c>
      <c r="F41" s="45">
        <v>10</v>
      </c>
      <c r="G41" s="25">
        <f t="shared" ref="G41:G46" si="7">C41/F41</f>
        <v>9.1</v>
      </c>
      <c r="H41" s="25">
        <f>D41/F41</f>
        <v>17.899999999999999</v>
      </c>
      <c r="I41" s="25">
        <f>E41/F41</f>
        <v>27</v>
      </c>
    </row>
    <row r="42" spans="1:15" ht="25.5">
      <c r="B42" s="10" t="s">
        <v>490</v>
      </c>
      <c r="C42" s="45">
        <f>'Total Number Of Ind'!H8</f>
        <v>176</v>
      </c>
      <c r="D42" s="45">
        <f>'Total Number Of Ind'!I8</f>
        <v>2032</v>
      </c>
      <c r="E42" s="45">
        <f>C42+D42</f>
        <v>2208</v>
      </c>
      <c r="F42" s="45">
        <v>14</v>
      </c>
      <c r="G42" s="25">
        <f t="shared" si="7"/>
        <v>12.571428571428571</v>
      </c>
      <c r="H42" s="25">
        <f>D42/F42</f>
        <v>145.14285714285714</v>
      </c>
      <c r="I42" s="25">
        <f>E42/F42</f>
        <v>157.71428571428572</v>
      </c>
    </row>
    <row r="43" spans="1:15" ht="25.5">
      <c r="B43" s="10" t="s">
        <v>491</v>
      </c>
      <c r="C43" s="45">
        <f>'Total Number Of Ind'!H9</f>
        <v>32</v>
      </c>
      <c r="D43" s="45">
        <f>'Total Number Of Ind'!I9</f>
        <v>182</v>
      </c>
      <c r="E43" s="45">
        <f>C43+D43</f>
        <v>214</v>
      </c>
      <c r="F43" s="45">
        <v>9</v>
      </c>
      <c r="G43" s="25">
        <f t="shared" si="7"/>
        <v>3.5555555555555554</v>
      </c>
      <c r="H43" s="25">
        <f>D43/F43</f>
        <v>20.222222222222221</v>
      </c>
      <c r="I43" s="25">
        <f>E43/F43</f>
        <v>23.777777777777779</v>
      </c>
    </row>
    <row r="44" spans="1:15" ht="26.25" thickBot="1">
      <c r="B44" s="10" t="s">
        <v>492</v>
      </c>
      <c r="C44" s="45">
        <f>SUM(C40:C43)</f>
        <v>332</v>
      </c>
      <c r="D44" s="45">
        <f>SUM(D40:D43)</f>
        <v>2629</v>
      </c>
      <c r="E44" s="45">
        <f>SUM(E40:E43)</f>
        <v>2961</v>
      </c>
      <c r="F44" s="45">
        <f>SUM(F40:F43)</f>
        <v>42</v>
      </c>
      <c r="G44" s="25">
        <f t="shared" si="7"/>
        <v>7.9047619047619051</v>
      </c>
      <c r="H44" s="25">
        <f>D44/F44</f>
        <v>62.595238095238095</v>
      </c>
      <c r="I44" s="25">
        <f>E44/F44</f>
        <v>70.5</v>
      </c>
    </row>
    <row r="45" spans="1:15" ht="15.75" thickBot="1">
      <c r="B45" s="10"/>
      <c r="C45" s="45"/>
      <c r="D45" s="45"/>
      <c r="E45" s="45"/>
      <c r="F45" s="45"/>
      <c r="G45" s="25"/>
      <c r="H45" s="25"/>
      <c r="I45" s="25"/>
    </row>
    <row r="46" spans="1:15" ht="15.75" thickBot="1">
      <c r="B46" s="10" t="s">
        <v>33</v>
      </c>
      <c r="C46" s="45">
        <f>'Total Number Of Ind'!H5</f>
        <v>337</v>
      </c>
      <c r="D46" s="45">
        <f>'Total Number Of Ind'!I5</f>
        <v>6429</v>
      </c>
      <c r="E46" s="45">
        <f>C46+D46</f>
        <v>6766</v>
      </c>
      <c r="F46" s="45">
        <v>37</v>
      </c>
      <c r="G46" s="25">
        <f t="shared" si="7"/>
        <v>9.1081081081081088</v>
      </c>
      <c r="H46" s="25">
        <f>D46/F46</f>
        <v>173.75675675675674</v>
      </c>
      <c r="I46" s="25">
        <f>E46/F46</f>
        <v>182.86486486486487</v>
      </c>
    </row>
    <row r="47" spans="1:15" ht="15.75" thickBot="1">
      <c r="B47" s="10" t="s">
        <v>206</v>
      </c>
      <c r="C47" s="45">
        <f>'Total Number Of Ind'!H10</f>
        <v>49</v>
      </c>
      <c r="D47" s="45">
        <f>'Total Number Of Ind'!I10</f>
        <v>210</v>
      </c>
      <c r="E47" s="45">
        <f>C47+D47</f>
        <v>259</v>
      </c>
      <c r="F47" s="45">
        <v>5</v>
      </c>
      <c r="G47" s="25">
        <f>C47/F47</f>
        <v>9.8000000000000007</v>
      </c>
      <c r="H47" s="25">
        <f>D47/F47</f>
        <v>42</v>
      </c>
      <c r="I47" s="25">
        <f>E47/F47</f>
        <v>51.8</v>
      </c>
    </row>
    <row r="48" spans="1:15">
      <c r="B48" s="10" t="s">
        <v>273</v>
      </c>
      <c r="C48" s="45">
        <f>'Total Number Of Ind'!H11</f>
        <v>0</v>
      </c>
      <c r="D48" s="45">
        <f>'Total Number Of Ind'!I11</f>
        <v>282</v>
      </c>
      <c r="E48" s="45">
        <f>'Total Number Of Ind'!J11</f>
        <v>282</v>
      </c>
      <c r="F48" s="45">
        <v>6</v>
      </c>
      <c r="G48" s="25">
        <f>C48/F48</f>
        <v>0</v>
      </c>
      <c r="H48" s="25">
        <f>D48/F48</f>
        <v>47</v>
      </c>
      <c r="I48" s="25">
        <f>E48/F48</f>
        <v>47</v>
      </c>
    </row>
    <row r="49" spans="1:15" ht="15.75" thickBot="1"/>
    <row r="50" spans="1:15">
      <c r="A50" t="s">
        <v>506</v>
      </c>
      <c r="B50" s="15"/>
      <c r="C50" s="85" t="s">
        <v>488</v>
      </c>
      <c r="D50" s="87"/>
      <c r="E50" s="85" t="s">
        <v>489</v>
      </c>
      <c r="F50" s="87"/>
      <c r="G50" s="85" t="s">
        <v>490</v>
      </c>
      <c r="H50" s="87"/>
      <c r="I50" s="85" t="s">
        <v>491</v>
      </c>
      <c r="J50" s="87"/>
      <c r="K50" s="85" t="s">
        <v>492</v>
      </c>
      <c r="L50" s="87"/>
      <c r="M50" s="18"/>
      <c r="N50" s="18"/>
      <c r="O50" s="18"/>
    </row>
    <row r="51" spans="1:15" ht="15.75" thickBot="1">
      <c r="B51" s="16"/>
      <c r="C51" s="91"/>
      <c r="D51" s="93"/>
      <c r="E51" s="91"/>
      <c r="F51" s="93"/>
      <c r="G51" s="91"/>
      <c r="H51" s="93"/>
      <c r="I51" s="91"/>
      <c r="J51" s="93"/>
      <c r="K51" s="91"/>
      <c r="L51" s="93"/>
      <c r="M51" s="19"/>
      <c r="N51" s="19"/>
      <c r="O51" s="19"/>
    </row>
    <row r="52" spans="1:15" ht="26.25" thickBot="1">
      <c r="B52" s="17" t="s">
        <v>13</v>
      </c>
      <c r="C52" s="20" t="s">
        <v>495</v>
      </c>
      <c r="D52" s="20" t="s">
        <v>496</v>
      </c>
      <c r="E52" s="20" t="s">
        <v>495</v>
      </c>
      <c r="F52" s="20" t="s">
        <v>496</v>
      </c>
      <c r="G52" s="20" t="s">
        <v>495</v>
      </c>
      <c r="H52" s="20" t="s">
        <v>496</v>
      </c>
      <c r="I52" s="20" t="s">
        <v>495</v>
      </c>
      <c r="J52" s="20" t="s">
        <v>496</v>
      </c>
      <c r="K52" s="20" t="s">
        <v>495</v>
      </c>
      <c r="L52" s="20" t="s">
        <v>496</v>
      </c>
      <c r="M52" s="20" t="s">
        <v>33</v>
      </c>
      <c r="N52" s="20" t="s">
        <v>206</v>
      </c>
      <c r="O52" s="20" t="s">
        <v>273</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272</v>
      </c>
    </row>
    <row r="54" spans="1:15" ht="15.75" thickBot="1">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272</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c r="B60" s="17">
        <v>30</v>
      </c>
      <c r="C60" s="44">
        <v>75.111111111111114</v>
      </c>
      <c r="D60" s="62">
        <v>47.915294117647058</v>
      </c>
      <c r="E60" s="44">
        <v>327.3</v>
      </c>
      <c r="F60" s="62">
        <v>107.84444444444443</v>
      </c>
      <c r="G60" s="44">
        <v>89.6</v>
      </c>
      <c r="H60" s="62">
        <v>80.937899159663857</v>
      </c>
      <c r="I60" s="44">
        <v>122.75</v>
      </c>
      <c r="J60" s="62">
        <v>22.163267973856208</v>
      </c>
      <c r="K60" s="44">
        <v>149.4047619047619</v>
      </c>
      <c r="L60" s="62">
        <v>68.372680281414887</v>
      </c>
      <c r="M60" s="29">
        <v>274.75675675675677</v>
      </c>
      <c r="N60" s="29">
        <v>138.6</v>
      </c>
      <c r="O60" s="29">
        <v>49</v>
      </c>
    </row>
    <row r="61" spans="1:15" ht="15.75" thickBot="1">
      <c r="B61" s="17">
        <v>31</v>
      </c>
      <c r="C61" s="44">
        <v>29.888888888888889</v>
      </c>
      <c r="D61" s="62">
        <v>55.0783660130719</v>
      </c>
      <c r="E61" s="44">
        <v>27</v>
      </c>
      <c r="F61" s="62">
        <v>96.934759358288773</v>
      </c>
      <c r="G61" s="44">
        <v>157.71428571428572</v>
      </c>
      <c r="H61" s="62">
        <v>63.684386985563442</v>
      </c>
      <c r="I61" s="44">
        <v>23.777777777777779</v>
      </c>
      <c r="J61" s="62">
        <v>19.925778769841273</v>
      </c>
      <c r="K61" s="44">
        <v>70.5</v>
      </c>
      <c r="L61" s="62">
        <v>63.023689299276825</v>
      </c>
      <c r="M61" s="29">
        <v>182.86486486486487</v>
      </c>
      <c r="N61" s="29">
        <v>51.8</v>
      </c>
      <c r="O61" s="29">
        <v>47</v>
      </c>
    </row>
    <row r="62" spans="1:15" ht="15.75" thickBot="1">
      <c r="B62" s="17">
        <v>32</v>
      </c>
      <c r="C62" s="44"/>
      <c r="D62" s="62">
        <v>39.845032679738559</v>
      </c>
      <c r="E62" s="44"/>
      <c r="F62" s="62">
        <v>78.439869281045759</v>
      </c>
      <c r="G62" s="44"/>
      <c r="H62" s="62">
        <v>52.729896574014219</v>
      </c>
      <c r="I62" s="44"/>
      <c r="J62" s="62">
        <v>20.687586367880485</v>
      </c>
      <c r="K62" s="44"/>
      <c r="L62" s="62">
        <v>49.707296800326894</v>
      </c>
      <c r="M62" s="29"/>
      <c r="N62" s="29"/>
      <c r="O62" s="29"/>
    </row>
    <row r="63" spans="1:15" ht="15.75" thickBot="1">
      <c r="A63" s="30"/>
      <c r="B63" s="17">
        <v>33</v>
      </c>
      <c r="C63" s="44"/>
      <c r="D63" s="62">
        <v>28.798541666666672</v>
      </c>
      <c r="E63" s="44"/>
      <c r="F63" s="62">
        <v>68.093523469994054</v>
      </c>
      <c r="G63" s="44"/>
      <c r="H63" s="62">
        <v>42.425770308123255</v>
      </c>
      <c r="I63" s="44"/>
      <c r="J63" s="62">
        <v>14.214756944444446</v>
      </c>
      <c r="K63" s="44"/>
      <c r="L63" s="62">
        <v>40.704631878637088</v>
      </c>
      <c r="M63" s="29"/>
      <c r="N63" s="29"/>
      <c r="O63" s="29"/>
    </row>
    <row r="64" spans="1:15" ht="15.75" thickBot="1">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5.75" thickBot="1">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507</v>
      </c>
      <c r="B69" s="15"/>
      <c r="C69" s="85" t="s">
        <v>508</v>
      </c>
      <c r="D69" s="86"/>
      <c r="E69" s="87"/>
      <c r="F69" s="85" t="s">
        <v>509</v>
      </c>
      <c r="G69" s="86"/>
      <c r="H69" s="87"/>
      <c r="I69" s="85" t="s">
        <v>510</v>
      </c>
      <c r="J69" s="86"/>
      <c r="K69" s="87"/>
      <c r="L69" s="85" t="s">
        <v>511</v>
      </c>
      <c r="M69" s="86"/>
      <c r="N69" s="87"/>
      <c r="Q69" s="30"/>
      <c r="R69" s="30"/>
    </row>
    <row r="70" spans="1:25">
      <c r="B70" s="16"/>
      <c r="C70" s="88"/>
      <c r="D70" s="89"/>
      <c r="E70" s="90"/>
      <c r="F70" s="88"/>
      <c r="G70" s="89"/>
      <c r="H70" s="90"/>
      <c r="I70" s="88" t="s">
        <v>512</v>
      </c>
      <c r="J70" s="89"/>
      <c r="K70" s="90"/>
      <c r="L70" s="88"/>
      <c r="M70" s="89"/>
      <c r="N70" s="90"/>
      <c r="Q70" s="30"/>
      <c r="R70" s="30"/>
      <c r="S70" s="30"/>
      <c r="T70" s="47"/>
      <c r="U70" s="47"/>
      <c r="V70" s="47"/>
      <c r="W70" s="47"/>
      <c r="X70" s="47"/>
      <c r="Y70" s="47"/>
    </row>
    <row r="71" spans="1:25" ht="15.75" thickBot="1">
      <c r="B71" s="16"/>
      <c r="C71" s="91"/>
      <c r="D71" s="92"/>
      <c r="E71" s="93"/>
      <c r="F71" s="91"/>
      <c r="G71" s="92"/>
      <c r="H71" s="93"/>
      <c r="I71" s="94"/>
      <c r="J71" s="95"/>
      <c r="K71" s="96"/>
      <c r="L71" s="91"/>
      <c r="M71" s="92"/>
      <c r="N71" s="93"/>
      <c r="Q71" s="30"/>
      <c r="R71" s="30"/>
      <c r="S71" s="30"/>
      <c r="T71" s="64"/>
      <c r="U71" s="65"/>
      <c r="V71" s="65"/>
    </row>
    <row r="72" spans="1:25" ht="15.75" thickBot="1">
      <c r="B72" s="17" t="s">
        <v>482</v>
      </c>
      <c r="C72" s="22" t="s">
        <v>474</v>
      </c>
      <c r="D72" s="22" t="s">
        <v>475</v>
      </c>
      <c r="E72" s="20" t="s">
        <v>513</v>
      </c>
      <c r="F72" s="22" t="s">
        <v>474</v>
      </c>
      <c r="G72" s="22" t="s">
        <v>475</v>
      </c>
      <c r="H72" s="20" t="s">
        <v>513</v>
      </c>
      <c r="I72" s="22" t="s">
        <v>474</v>
      </c>
      <c r="J72" s="22" t="s">
        <v>475</v>
      </c>
      <c r="K72" s="20" t="s">
        <v>513</v>
      </c>
      <c r="L72" s="22" t="s">
        <v>474</v>
      </c>
      <c r="M72" s="22" t="s">
        <v>475</v>
      </c>
      <c r="N72" s="20" t="s">
        <v>513</v>
      </c>
      <c r="Q72" s="30"/>
      <c r="R72" s="30"/>
      <c r="S72" s="30"/>
      <c r="T72" s="64"/>
      <c r="U72" s="65"/>
      <c r="V72" s="65"/>
    </row>
    <row r="73" spans="1:25" ht="24.75" thickBot="1">
      <c r="B73" s="17" t="s">
        <v>488</v>
      </c>
      <c r="C73" s="45">
        <f>'Total Number Ind Examined '!I8</f>
        <v>147</v>
      </c>
      <c r="D73" s="45">
        <f>'Total Number Ind Examined '!J8</f>
        <v>237</v>
      </c>
      <c r="E73" s="45">
        <f>C73+D73</f>
        <v>384</v>
      </c>
      <c r="F73" s="46">
        <f>'Total Number of Pools Examined'!H8</f>
        <v>11</v>
      </c>
      <c r="G73" s="46">
        <f>'Total Number of Pools Examined'!I8</f>
        <v>10</v>
      </c>
      <c r="H73" s="46">
        <f>F73+G73</f>
        <v>21</v>
      </c>
      <c r="I73" s="46">
        <f>'Total Number of WNV + Pools'!G7</f>
        <v>3</v>
      </c>
      <c r="J73" s="46">
        <f>'Total Number of WNV + Pools'!H7</f>
        <v>4</v>
      </c>
      <c r="K73" s="46">
        <f>'Total Number of WNV + Pools'!I7</f>
        <v>7</v>
      </c>
      <c r="L73" s="29">
        <f>ZONEINFRATE!C2</f>
        <v>22.683432826318402</v>
      </c>
      <c r="M73" s="29">
        <f>ZONEINFRATE!C3</f>
        <v>21.046716883537645</v>
      </c>
      <c r="N73" s="29">
        <v>23.086174211762472</v>
      </c>
      <c r="Q73" s="30"/>
      <c r="R73" s="30"/>
      <c r="S73" s="30"/>
      <c r="T73" s="64"/>
      <c r="U73" s="65"/>
      <c r="V73" s="65"/>
    </row>
    <row r="74" spans="1:25" ht="24.75" thickBot="1">
      <c r="B74" s="17" t="s">
        <v>489</v>
      </c>
      <c r="C74" s="45">
        <f>'Total Number Ind Examined '!I7</f>
        <v>92</v>
      </c>
      <c r="D74" s="45">
        <f>'Total Number Ind Examined '!J7</f>
        <v>179</v>
      </c>
      <c r="E74" s="45">
        <f>C74+D74</f>
        <v>271</v>
      </c>
      <c r="F74" s="46">
        <f>'Total Number of Pools Examined'!H7</f>
        <v>7</v>
      </c>
      <c r="G74" s="46">
        <f>'Total Number of Pools Examined'!I7</f>
        <v>11</v>
      </c>
      <c r="H74" s="46">
        <f>F74+G74</f>
        <v>18</v>
      </c>
      <c r="I74" s="46">
        <f>'Total Number of WNV + Pools'!G8</f>
        <v>0</v>
      </c>
      <c r="J74" s="46">
        <f>'Total Number of WNV + Pools'!H8</f>
        <v>1</v>
      </c>
      <c r="K74" s="46">
        <f>'Total Number of WNV + Pools'!I8</f>
        <v>1</v>
      </c>
      <c r="L74" s="29">
        <f>ZONEINFRATE!C4</f>
        <v>0</v>
      </c>
      <c r="M74" s="29">
        <f>ZONEINFRATE!C5</f>
        <v>5.3058118328590824</v>
      </c>
      <c r="N74" s="29">
        <v>3.5627140510337907</v>
      </c>
      <c r="Q74" s="30"/>
      <c r="R74" s="30"/>
      <c r="S74" s="30"/>
      <c r="T74" s="64"/>
      <c r="U74" s="65"/>
      <c r="V74" s="65"/>
    </row>
    <row r="75" spans="1:25" ht="24.75" thickBot="1">
      <c r="B75" s="17" t="s">
        <v>490</v>
      </c>
      <c r="C75" s="45">
        <f>'Total Number Ind Examined '!I9</f>
        <v>394</v>
      </c>
      <c r="D75" s="45">
        <f>'Total Number Ind Examined '!J9</f>
        <v>2032</v>
      </c>
      <c r="E75" s="45">
        <f>C75+D75</f>
        <v>2426</v>
      </c>
      <c r="F75" s="46">
        <f>'Total Number of Pools Examined'!H9</f>
        <v>18</v>
      </c>
      <c r="G75" s="46">
        <f>'Total Number of Pools Examined'!I9</f>
        <v>47</v>
      </c>
      <c r="H75" s="46">
        <f>F75+G75</f>
        <v>65</v>
      </c>
      <c r="I75" s="46">
        <f>'Total Number of WNV + Pools'!G9</f>
        <v>7</v>
      </c>
      <c r="J75" s="46">
        <f>'Total Number of WNV + Pools'!H9</f>
        <v>12</v>
      </c>
      <c r="K75" s="46">
        <f>'Total Number of WNV + Pools'!I9</f>
        <v>19</v>
      </c>
      <c r="L75" s="29">
        <f>ZONEINFRATE!C6</f>
        <v>27.413371050133744</v>
      </c>
      <c r="M75" s="29">
        <f>ZONEINFRATE!C7</f>
        <v>6.838247638598669</v>
      </c>
      <c r="N75" s="29">
        <v>9.4852441195059267</v>
      </c>
      <c r="Q75" s="30"/>
      <c r="R75" s="30"/>
      <c r="S75" s="30"/>
      <c r="T75" s="64"/>
      <c r="U75" s="65"/>
      <c r="V75" s="65"/>
    </row>
    <row r="76" spans="1:25" ht="24">
      <c r="B76" s="17" t="s">
        <v>491</v>
      </c>
      <c r="C76" s="45">
        <f>'Total Number Ind Examined '!I10</f>
        <v>65</v>
      </c>
      <c r="D76" s="45">
        <f>'Total Number Ind Examined '!J10</f>
        <v>182</v>
      </c>
      <c r="E76" s="45">
        <f>C76+D76</f>
        <v>247</v>
      </c>
      <c r="F76" s="46">
        <f>'Total Number of Pools Examined'!H10</f>
        <v>8</v>
      </c>
      <c r="G76" s="46">
        <f>'Total Number of Pools Examined'!I10</f>
        <v>10</v>
      </c>
      <c r="H76" s="46">
        <f>F76+G76</f>
        <v>18</v>
      </c>
      <c r="I76" s="46">
        <f>'Total Number of WNV + Pools'!G10</f>
        <v>1</v>
      </c>
      <c r="J76" s="46">
        <f>'Total Number of WNV + Pools'!H10</f>
        <v>2</v>
      </c>
      <c r="K76" s="46">
        <f>'Total Number of WNV + Pools'!I10</f>
        <v>3</v>
      </c>
      <c r="L76" s="29">
        <f>ZONEINFRATE!C8</f>
        <v>17.929014601521253</v>
      </c>
      <c r="M76" s="29">
        <f>ZONEINFRATE!C9</f>
        <v>12.032092128479245</v>
      </c>
      <c r="N76" s="29">
        <v>14.178263615050465</v>
      </c>
      <c r="Q76" s="30"/>
      <c r="R76" s="30"/>
      <c r="S76" s="30"/>
      <c r="T76" s="64"/>
      <c r="U76" s="65"/>
      <c r="V76" s="65"/>
    </row>
    <row r="77" spans="1:25" ht="24.75" thickBot="1">
      <c r="B77" s="17" t="s">
        <v>492</v>
      </c>
      <c r="C77" s="45">
        <f>SUM(C73:C76)</f>
        <v>698</v>
      </c>
      <c r="D77" s="45">
        <f>SUM(D73:D76)</f>
        <v>2630</v>
      </c>
      <c r="E77" s="45">
        <f>C77+D77</f>
        <v>3328</v>
      </c>
      <c r="F77" s="46">
        <f t="shared" ref="F77:K77" si="8">SUM(F73:F76)</f>
        <v>44</v>
      </c>
      <c r="G77" s="46">
        <f t="shared" si="8"/>
        <v>78</v>
      </c>
      <c r="H77" s="46">
        <f>F77+G77</f>
        <v>122</v>
      </c>
      <c r="I77" s="46">
        <f t="shared" si="8"/>
        <v>11</v>
      </c>
      <c r="J77" s="46">
        <f t="shared" si="8"/>
        <v>19</v>
      </c>
      <c r="K77" s="46">
        <f t="shared" si="8"/>
        <v>30</v>
      </c>
      <c r="L77" s="29">
        <f>CITYINFRATE!C2</f>
        <v>21.469937270192112</v>
      </c>
      <c r="M77" s="29">
        <f>CITYINFRATE!C3</f>
        <v>8.42407448382966</v>
      </c>
      <c r="N77" s="29">
        <v>10.878852986010136</v>
      </c>
      <c r="Q77" s="30"/>
      <c r="R77" s="30"/>
      <c r="S77" s="30"/>
      <c r="T77" s="64"/>
      <c r="U77" s="65"/>
      <c r="V77" s="65"/>
    </row>
    <row r="78" spans="1:25" ht="15.75" thickBot="1">
      <c r="B78" s="17"/>
      <c r="C78" s="46"/>
      <c r="D78" s="46"/>
      <c r="E78" s="46"/>
      <c r="F78" s="46"/>
      <c r="G78" s="46"/>
      <c r="H78" s="46"/>
      <c r="I78" s="46"/>
      <c r="J78" s="46"/>
      <c r="K78" s="46"/>
      <c r="L78" s="29"/>
      <c r="M78" s="29"/>
      <c r="N78" s="29"/>
      <c r="Q78" s="30"/>
      <c r="R78" s="30"/>
      <c r="S78" s="30"/>
    </row>
    <row r="79" spans="1:25" ht="15.75" thickBot="1">
      <c r="B79" s="17" t="s">
        <v>33</v>
      </c>
      <c r="C79" s="46">
        <f>'Total Number Ind Examined '!I6</f>
        <v>25</v>
      </c>
      <c r="D79" s="46">
        <f>'Total Number Ind Examined '!J6</f>
        <v>585</v>
      </c>
      <c r="E79" s="46">
        <f>C79+D79</f>
        <v>610</v>
      </c>
      <c r="F79" s="46">
        <f>'Total Number of Pools Examined'!H6</f>
        <v>3</v>
      </c>
      <c r="G79" s="46">
        <f>'Total Number of Pools Examined'!I6</f>
        <v>14</v>
      </c>
      <c r="H79" s="46">
        <f>F79+G79</f>
        <v>17</v>
      </c>
      <c r="I79" s="46">
        <f>'Total Number of WNV + Pools'!G11</f>
        <v>0</v>
      </c>
      <c r="J79" s="46">
        <f>'Total Number of WNV + Pools'!H11</f>
        <v>1</v>
      </c>
      <c r="K79" s="46">
        <f>I79+J79</f>
        <v>1</v>
      </c>
      <c r="L79" s="29">
        <f>CITYINFRATE!C4</f>
        <v>0</v>
      </c>
      <c r="M79" s="29">
        <f>CITYINFRATE!C5</f>
        <v>1.7129655605921617</v>
      </c>
      <c r="N79" s="29">
        <v>1.6446743048284191</v>
      </c>
      <c r="R79" s="30"/>
      <c r="S79" s="30"/>
      <c r="T79" s="30"/>
    </row>
    <row r="80" spans="1:25" ht="15.75" thickBot="1">
      <c r="B80" s="17" t="s">
        <v>206</v>
      </c>
      <c r="C80" s="46">
        <f>'Total Number Ind Examined '!I11</f>
        <v>49</v>
      </c>
      <c r="D80" s="46">
        <f>'Total Number Ind Examined '!J11</f>
        <v>210</v>
      </c>
      <c r="E80" s="46">
        <f>C80+D80</f>
        <v>259</v>
      </c>
      <c r="F80" s="46">
        <f>'Total Number of Pools Examined'!H11</f>
        <v>4</v>
      </c>
      <c r="G80" s="46">
        <f>'Total Number of Pools Examined'!I11</f>
        <v>7</v>
      </c>
      <c r="H80" s="46">
        <f>F80+G80</f>
        <v>11</v>
      </c>
      <c r="I80" s="46">
        <f>'Total Number of WNV + Pools'!G12</f>
        <v>0</v>
      </c>
      <c r="J80" s="46">
        <f>'Total Number of WNV + Pools'!H12</f>
        <v>0</v>
      </c>
      <c r="K80" s="46">
        <f>I80+J80</f>
        <v>0</v>
      </c>
      <c r="L80" s="29">
        <f>CITYINFRATE!C6</f>
        <v>0</v>
      </c>
      <c r="M80" s="29">
        <f>CITYINFRATE!C7</f>
        <v>0</v>
      </c>
      <c r="N80" s="29">
        <v>0</v>
      </c>
      <c r="Q80" s="30"/>
      <c r="R80" s="30"/>
      <c r="S80" s="30"/>
      <c r="T80" s="30"/>
    </row>
    <row r="81" spans="1:20" ht="15.75" thickBot="1">
      <c r="B81" s="17" t="s">
        <v>273</v>
      </c>
      <c r="C81" s="46">
        <f>'Total Number Ind Examined '!I12</f>
        <v>0</v>
      </c>
      <c r="D81" s="46">
        <f>'Total Number Ind Examined '!J12</f>
        <v>282</v>
      </c>
      <c r="E81" s="46">
        <f>C81+D81</f>
        <v>282</v>
      </c>
      <c r="F81" s="46">
        <f>'Total Number of Pools Examined'!H12</f>
        <v>0</v>
      </c>
      <c r="G81" s="46">
        <f>'Total Number of Pools Examined'!I12</f>
        <v>6</v>
      </c>
      <c r="H81" s="46">
        <f>F81+G81</f>
        <v>6</v>
      </c>
      <c r="I81" s="46">
        <f>'Total Number of WNV + Pools'!G13</f>
        <v>0</v>
      </c>
      <c r="J81" s="46">
        <f>'Total Number of WNV + Pools'!H13</f>
        <v>0</v>
      </c>
      <c r="K81" s="46">
        <f>I81+J81</f>
        <v>0</v>
      </c>
      <c r="L81" s="29" t="str">
        <f>CITYINFRATE!C8</f>
        <v>N/A</v>
      </c>
      <c r="M81" s="29">
        <f>CITYINFRATE!C9</f>
        <v>0</v>
      </c>
      <c r="N81" s="29">
        <v>0</v>
      </c>
      <c r="R81" s="30"/>
      <c r="S81" s="30"/>
      <c r="T81" s="30"/>
    </row>
    <row r="82" spans="1:20" ht="15.75" thickBot="1">
      <c r="R82" s="30"/>
      <c r="S82" s="49"/>
      <c r="T82" s="30"/>
    </row>
    <row r="83" spans="1:20" ht="15" customHeight="1">
      <c r="A83" t="s">
        <v>514</v>
      </c>
      <c r="B83" s="15"/>
      <c r="C83" s="85" t="s">
        <v>488</v>
      </c>
      <c r="D83" s="87"/>
      <c r="E83" s="85" t="s">
        <v>489</v>
      </c>
      <c r="F83" s="87"/>
      <c r="G83" s="85" t="s">
        <v>490</v>
      </c>
      <c r="H83" s="87"/>
      <c r="I83" s="85" t="s">
        <v>491</v>
      </c>
      <c r="J83" s="87"/>
      <c r="K83" s="85" t="s">
        <v>492</v>
      </c>
      <c r="L83" s="87"/>
      <c r="M83" s="18"/>
      <c r="N83" s="18"/>
      <c r="O83" s="18"/>
      <c r="S83" s="30"/>
    </row>
    <row r="84" spans="1:20" ht="15.75" thickBot="1">
      <c r="B84" s="16"/>
      <c r="C84" s="91"/>
      <c r="D84" s="93"/>
      <c r="E84" s="91"/>
      <c r="F84" s="93"/>
      <c r="G84" s="91"/>
      <c r="H84" s="93"/>
      <c r="I84" s="91"/>
      <c r="J84" s="93"/>
      <c r="K84" s="91"/>
      <c r="L84" s="93"/>
      <c r="M84" s="19"/>
      <c r="N84" s="19"/>
      <c r="O84" s="19"/>
      <c r="S84" s="30"/>
    </row>
    <row r="85" spans="1:20" ht="26.25" thickBot="1">
      <c r="B85" s="17" t="s">
        <v>13</v>
      </c>
      <c r="C85" s="20" t="s">
        <v>495</v>
      </c>
      <c r="D85" s="20" t="s">
        <v>496</v>
      </c>
      <c r="E85" s="20" t="s">
        <v>495</v>
      </c>
      <c r="F85" s="20" t="s">
        <v>496</v>
      </c>
      <c r="G85" s="20" t="s">
        <v>495</v>
      </c>
      <c r="H85" s="20" t="s">
        <v>496</v>
      </c>
      <c r="I85" s="20" t="s">
        <v>495</v>
      </c>
      <c r="J85" s="20" t="s">
        <v>496</v>
      </c>
      <c r="K85" s="20" t="s">
        <v>495</v>
      </c>
      <c r="L85" s="20" t="s">
        <v>496</v>
      </c>
      <c r="M85" s="20" t="s">
        <v>33</v>
      </c>
      <c r="N85" s="20" t="s">
        <v>206</v>
      </c>
      <c r="O85" s="20" t="s">
        <v>273</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272</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272</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v>23.086174211762472</v>
      </c>
      <c r="D94" s="42">
        <v>2.9406405300610863</v>
      </c>
      <c r="E94" s="44">
        <v>3.5627140510337907</v>
      </c>
      <c r="F94" s="42">
        <v>1.822063718205875</v>
      </c>
      <c r="G94" s="44">
        <v>9.4852441195059267</v>
      </c>
      <c r="H94" s="42">
        <v>4.7719803887323691</v>
      </c>
      <c r="I94" s="44">
        <v>14.178263615050465</v>
      </c>
      <c r="J94" s="42">
        <v>3.3815060766691087</v>
      </c>
      <c r="K94" s="44">
        <v>10.878852986010136</v>
      </c>
      <c r="L94" s="42">
        <v>3.2751365177055627</v>
      </c>
      <c r="M94" s="29">
        <v>1.6446743048284191</v>
      </c>
      <c r="N94" s="29">
        <v>0</v>
      </c>
      <c r="O94" s="29">
        <v>0</v>
      </c>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434"/>
  <sheetViews>
    <sheetView tabSelected="1" topLeftCell="N1" zoomScale="110" zoomScaleNormal="110" workbookViewId="0">
      <selection activeCell="T5" sqref="T5"/>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32" width="9.140625" style="35"/>
    <col min="233" max="233" width="4.42578125" style="35" bestFit="1" customWidth="1"/>
    <col min="234" max="234" width="11.42578125" style="35" bestFit="1" customWidth="1"/>
    <col min="235" max="235" width="9.42578125" style="35" bestFit="1" customWidth="1"/>
    <col min="236" max="236" width="6.42578125" style="35" bestFit="1" customWidth="1"/>
    <col min="237" max="237" width="7.7109375" style="35" bestFit="1" customWidth="1"/>
    <col min="238" max="239" width="6.42578125" style="35" bestFit="1" customWidth="1"/>
    <col min="240" max="240" width="10" style="35" bestFit="1" customWidth="1"/>
    <col min="241" max="241" width="7.140625" style="35" customWidth="1"/>
    <col min="242" max="242" width="6.7109375" style="35" bestFit="1" customWidth="1"/>
    <col min="243" max="243" width="5.42578125" style="35" bestFit="1" customWidth="1"/>
    <col min="244" max="244" width="6.28515625" style="35" bestFit="1" customWidth="1"/>
    <col min="245" max="245" width="5.42578125" style="35" customWidth="1"/>
    <col min="246" max="246" width="6.7109375" style="35" customWidth="1"/>
    <col min="247" max="247" width="7.42578125" style="35" customWidth="1"/>
    <col min="248" max="248" width="7.140625" style="35" customWidth="1"/>
    <col min="249" max="249" width="9.28515625" style="35" customWidth="1"/>
    <col min="250" max="250" width="10.7109375" style="35" customWidth="1"/>
    <col min="251" max="251" width="9.140625" style="35" customWidth="1"/>
    <col min="252" max="488" width="9.140625" style="35"/>
    <col min="489" max="489" width="4.42578125" style="35" bestFit="1" customWidth="1"/>
    <col min="490" max="490" width="11.42578125" style="35" bestFit="1" customWidth="1"/>
    <col min="491" max="491" width="9.42578125" style="35" bestFit="1" customWidth="1"/>
    <col min="492" max="492" width="6.42578125" style="35" bestFit="1" customWidth="1"/>
    <col min="493" max="493" width="7.7109375" style="35" bestFit="1" customWidth="1"/>
    <col min="494" max="495" width="6.42578125" style="35" bestFit="1" customWidth="1"/>
    <col min="496" max="496" width="10" style="35" bestFit="1" customWidth="1"/>
    <col min="497" max="497" width="7.140625" style="35" customWidth="1"/>
    <col min="498" max="498" width="6.7109375" style="35" bestFit="1" customWidth="1"/>
    <col min="499" max="499" width="5.42578125" style="35" bestFit="1" customWidth="1"/>
    <col min="500" max="500" width="6.28515625" style="35" bestFit="1" customWidth="1"/>
    <col min="501" max="501" width="5.42578125" style="35" customWidth="1"/>
    <col min="502" max="502" width="6.7109375" style="35" customWidth="1"/>
    <col min="503" max="503" width="7.42578125" style="35" customWidth="1"/>
    <col min="504" max="504" width="7.140625" style="35" customWidth="1"/>
    <col min="505" max="505" width="9.28515625" style="35" customWidth="1"/>
    <col min="506" max="506" width="10.7109375" style="35" customWidth="1"/>
    <col min="507" max="507" width="9.140625" style="35" customWidth="1"/>
    <col min="508" max="744" width="9.140625" style="35"/>
    <col min="745" max="745" width="4.42578125" style="35" bestFit="1" customWidth="1"/>
    <col min="746" max="746" width="11.42578125" style="35" bestFit="1" customWidth="1"/>
    <col min="747" max="747" width="9.42578125" style="35" bestFit="1" customWidth="1"/>
    <col min="748" max="748" width="6.42578125" style="35" bestFit="1" customWidth="1"/>
    <col min="749" max="749" width="7.7109375" style="35" bestFit="1" customWidth="1"/>
    <col min="750" max="751" width="6.42578125" style="35" bestFit="1" customWidth="1"/>
    <col min="752" max="752" width="10" style="35" bestFit="1" customWidth="1"/>
    <col min="753" max="753" width="7.140625" style="35" customWidth="1"/>
    <col min="754" max="754" width="6.7109375" style="35" bestFit="1" customWidth="1"/>
    <col min="755" max="755" width="5.42578125" style="35" bestFit="1" customWidth="1"/>
    <col min="756" max="756" width="6.28515625" style="35" bestFit="1" customWidth="1"/>
    <col min="757" max="757" width="5.42578125" style="35" customWidth="1"/>
    <col min="758" max="758" width="6.7109375" style="35" customWidth="1"/>
    <col min="759" max="759" width="7.42578125" style="35" customWidth="1"/>
    <col min="760" max="760" width="7.140625" style="35" customWidth="1"/>
    <col min="761" max="761" width="9.28515625" style="35" customWidth="1"/>
    <col min="762" max="762" width="10.7109375" style="35" customWidth="1"/>
    <col min="763" max="763" width="9.140625" style="35" customWidth="1"/>
    <col min="764" max="1000" width="9.140625" style="35"/>
    <col min="1001" max="1001" width="4.42578125" style="35" bestFit="1" customWidth="1"/>
    <col min="1002" max="1002" width="11.42578125" style="35" bestFit="1" customWidth="1"/>
    <col min="1003" max="1003" width="9.42578125" style="35" bestFit="1" customWidth="1"/>
    <col min="1004" max="1004" width="6.42578125" style="35" bestFit="1" customWidth="1"/>
    <col min="1005" max="1005" width="7.7109375" style="35" bestFit="1" customWidth="1"/>
    <col min="1006" max="1007" width="6.42578125" style="35" bestFit="1" customWidth="1"/>
    <col min="1008" max="1008" width="10" style="35" bestFit="1" customWidth="1"/>
    <col min="1009" max="1009" width="7.140625" style="35" customWidth="1"/>
    <col min="1010" max="1010" width="6.7109375" style="35" bestFit="1" customWidth="1"/>
    <col min="1011" max="1011" width="5.42578125" style="35" bestFit="1" customWidth="1"/>
    <col min="1012" max="1012" width="6.28515625" style="35" bestFit="1" customWidth="1"/>
    <col min="1013" max="1013" width="5.42578125" style="35" customWidth="1"/>
    <col min="1014" max="1014" width="6.7109375" style="35" customWidth="1"/>
    <col min="1015" max="1015" width="7.42578125" style="35" customWidth="1"/>
    <col min="1016" max="1016" width="7.140625" style="35" customWidth="1"/>
    <col min="1017" max="1017" width="9.28515625" style="35" customWidth="1"/>
    <col min="1018" max="1018" width="10.7109375" style="35" customWidth="1"/>
    <col min="1019" max="1019" width="9.140625" style="35" customWidth="1"/>
    <col min="1020" max="1256" width="9.140625" style="35"/>
    <col min="1257" max="1257" width="4.42578125" style="35" bestFit="1" customWidth="1"/>
    <col min="1258" max="1258" width="11.42578125" style="35" bestFit="1" customWidth="1"/>
    <col min="1259" max="1259" width="9.42578125" style="35" bestFit="1" customWidth="1"/>
    <col min="1260" max="1260" width="6.42578125" style="35" bestFit="1" customWidth="1"/>
    <col min="1261" max="1261" width="7.7109375" style="35" bestFit="1" customWidth="1"/>
    <col min="1262" max="1263" width="6.42578125" style="35" bestFit="1" customWidth="1"/>
    <col min="1264" max="1264" width="10" style="35" bestFit="1" customWidth="1"/>
    <col min="1265" max="1265" width="7.140625" style="35" customWidth="1"/>
    <col min="1266" max="1266" width="6.7109375" style="35" bestFit="1" customWidth="1"/>
    <col min="1267" max="1267" width="5.42578125" style="35" bestFit="1" customWidth="1"/>
    <col min="1268" max="1268" width="6.28515625" style="35" bestFit="1" customWidth="1"/>
    <col min="1269" max="1269" width="5.42578125" style="35" customWidth="1"/>
    <col min="1270" max="1270" width="6.7109375" style="35" customWidth="1"/>
    <col min="1271" max="1271" width="7.42578125" style="35" customWidth="1"/>
    <col min="1272" max="1272" width="7.140625" style="35" customWidth="1"/>
    <col min="1273" max="1273" width="9.28515625" style="35" customWidth="1"/>
    <col min="1274" max="1274" width="10.7109375" style="35" customWidth="1"/>
    <col min="1275" max="1275" width="9.140625" style="35" customWidth="1"/>
    <col min="1276" max="1512" width="9.140625" style="35"/>
    <col min="1513" max="1513" width="4.42578125" style="35" bestFit="1" customWidth="1"/>
    <col min="1514" max="1514" width="11.42578125" style="35" bestFit="1" customWidth="1"/>
    <col min="1515" max="1515" width="9.42578125" style="35" bestFit="1" customWidth="1"/>
    <col min="1516" max="1516" width="6.42578125" style="35" bestFit="1" customWidth="1"/>
    <col min="1517" max="1517" width="7.7109375" style="35" bestFit="1" customWidth="1"/>
    <col min="1518" max="1519" width="6.42578125" style="35" bestFit="1" customWidth="1"/>
    <col min="1520" max="1520" width="10" style="35" bestFit="1" customWidth="1"/>
    <col min="1521" max="1521" width="7.140625" style="35" customWidth="1"/>
    <col min="1522" max="1522" width="6.7109375" style="35" bestFit="1" customWidth="1"/>
    <col min="1523" max="1523" width="5.42578125" style="35" bestFit="1" customWidth="1"/>
    <col min="1524" max="1524" width="6.28515625" style="35" bestFit="1" customWidth="1"/>
    <col min="1525" max="1525" width="5.42578125" style="35" customWidth="1"/>
    <col min="1526" max="1526" width="6.7109375" style="35" customWidth="1"/>
    <col min="1527" max="1527" width="7.42578125" style="35" customWidth="1"/>
    <col min="1528" max="1528" width="7.140625" style="35" customWidth="1"/>
    <col min="1529" max="1529" width="9.28515625" style="35" customWidth="1"/>
    <col min="1530" max="1530" width="10.7109375" style="35" customWidth="1"/>
    <col min="1531" max="1531" width="9.140625" style="35" customWidth="1"/>
    <col min="1532" max="1768" width="9.140625" style="35"/>
    <col min="1769" max="1769" width="4.42578125" style="35" bestFit="1" customWidth="1"/>
    <col min="1770" max="1770" width="11.42578125" style="35" bestFit="1" customWidth="1"/>
    <col min="1771" max="1771" width="9.42578125" style="35" bestFit="1" customWidth="1"/>
    <col min="1772" max="1772" width="6.42578125" style="35" bestFit="1" customWidth="1"/>
    <col min="1773" max="1773" width="7.7109375" style="35" bestFit="1" customWidth="1"/>
    <col min="1774" max="1775" width="6.42578125" style="35" bestFit="1" customWidth="1"/>
    <col min="1776" max="1776" width="10" style="35" bestFit="1" customWidth="1"/>
    <col min="1777" max="1777" width="7.140625" style="35" customWidth="1"/>
    <col min="1778" max="1778" width="6.7109375" style="35" bestFit="1" customWidth="1"/>
    <col min="1779" max="1779" width="5.42578125" style="35" bestFit="1" customWidth="1"/>
    <col min="1780" max="1780" width="6.28515625" style="35" bestFit="1" customWidth="1"/>
    <col min="1781" max="1781" width="5.42578125" style="35" customWidth="1"/>
    <col min="1782" max="1782" width="6.7109375" style="35" customWidth="1"/>
    <col min="1783" max="1783" width="7.42578125" style="35" customWidth="1"/>
    <col min="1784" max="1784" width="7.140625" style="35" customWidth="1"/>
    <col min="1785" max="1785" width="9.28515625" style="35" customWidth="1"/>
    <col min="1786" max="1786" width="10.7109375" style="35" customWidth="1"/>
    <col min="1787" max="1787" width="9.140625" style="35" customWidth="1"/>
    <col min="1788" max="2024" width="9.140625" style="35"/>
    <col min="2025" max="2025" width="4.42578125" style="35" bestFit="1" customWidth="1"/>
    <col min="2026" max="2026" width="11.42578125" style="35" bestFit="1" customWidth="1"/>
    <col min="2027" max="2027" width="9.42578125" style="35" bestFit="1" customWidth="1"/>
    <col min="2028" max="2028" width="6.42578125" style="35" bestFit="1" customWidth="1"/>
    <col min="2029" max="2029" width="7.7109375" style="35" bestFit="1" customWidth="1"/>
    <col min="2030" max="2031" width="6.42578125" style="35" bestFit="1" customWidth="1"/>
    <col min="2032" max="2032" width="10" style="35" bestFit="1" customWidth="1"/>
    <col min="2033" max="2033" width="7.140625" style="35" customWidth="1"/>
    <col min="2034" max="2034" width="6.7109375" style="35" bestFit="1" customWidth="1"/>
    <col min="2035" max="2035" width="5.42578125" style="35" bestFit="1" customWidth="1"/>
    <col min="2036" max="2036" width="6.28515625" style="35" bestFit="1" customWidth="1"/>
    <col min="2037" max="2037" width="5.42578125" style="35" customWidth="1"/>
    <col min="2038" max="2038" width="6.7109375" style="35" customWidth="1"/>
    <col min="2039" max="2039" width="7.42578125" style="35" customWidth="1"/>
    <col min="2040" max="2040" width="7.140625" style="35" customWidth="1"/>
    <col min="2041" max="2041" width="9.28515625" style="35" customWidth="1"/>
    <col min="2042" max="2042" width="10.7109375" style="35" customWidth="1"/>
    <col min="2043" max="2043" width="9.140625" style="35" customWidth="1"/>
    <col min="2044" max="2280" width="9.140625" style="35"/>
    <col min="2281" max="2281" width="4.42578125" style="35" bestFit="1" customWidth="1"/>
    <col min="2282" max="2282" width="11.42578125" style="35" bestFit="1" customWidth="1"/>
    <col min="2283" max="2283" width="9.42578125" style="35" bestFit="1" customWidth="1"/>
    <col min="2284" max="2284" width="6.42578125" style="35" bestFit="1" customWidth="1"/>
    <col min="2285" max="2285" width="7.7109375" style="35" bestFit="1" customWidth="1"/>
    <col min="2286" max="2287" width="6.42578125" style="35" bestFit="1" customWidth="1"/>
    <col min="2288" max="2288" width="10" style="35" bestFit="1" customWidth="1"/>
    <col min="2289" max="2289" width="7.140625" style="35" customWidth="1"/>
    <col min="2290" max="2290" width="6.7109375" style="35" bestFit="1" customWidth="1"/>
    <col min="2291" max="2291" width="5.42578125" style="35" bestFit="1" customWidth="1"/>
    <col min="2292" max="2292" width="6.28515625" style="35" bestFit="1" customWidth="1"/>
    <col min="2293" max="2293" width="5.42578125" style="35" customWidth="1"/>
    <col min="2294" max="2294" width="6.7109375" style="35" customWidth="1"/>
    <col min="2295" max="2295" width="7.42578125" style="35" customWidth="1"/>
    <col min="2296" max="2296" width="7.140625" style="35" customWidth="1"/>
    <col min="2297" max="2297" width="9.28515625" style="35" customWidth="1"/>
    <col min="2298" max="2298" width="10.7109375" style="35" customWidth="1"/>
    <col min="2299" max="2299" width="9.140625" style="35" customWidth="1"/>
    <col min="2300" max="2536" width="9.140625" style="35"/>
    <col min="2537" max="2537" width="4.42578125" style="35" bestFit="1" customWidth="1"/>
    <col min="2538" max="2538" width="11.42578125" style="35" bestFit="1" customWidth="1"/>
    <col min="2539" max="2539" width="9.42578125" style="35" bestFit="1" customWidth="1"/>
    <col min="2540" max="2540" width="6.42578125" style="35" bestFit="1" customWidth="1"/>
    <col min="2541" max="2541" width="7.7109375" style="35" bestFit="1" customWidth="1"/>
    <col min="2542" max="2543" width="6.42578125" style="35" bestFit="1" customWidth="1"/>
    <col min="2544" max="2544" width="10" style="35" bestFit="1" customWidth="1"/>
    <col min="2545" max="2545" width="7.140625" style="35" customWidth="1"/>
    <col min="2546" max="2546" width="6.7109375" style="35" bestFit="1" customWidth="1"/>
    <col min="2547" max="2547" width="5.42578125" style="35" bestFit="1" customWidth="1"/>
    <col min="2548" max="2548" width="6.28515625" style="35" bestFit="1" customWidth="1"/>
    <col min="2549" max="2549" width="5.42578125" style="35" customWidth="1"/>
    <col min="2550" max="2550" width="6.7109375" style="35" customWidth="1"/>
    <col min="2551" max="2551" width="7.42578125" style="35" customWidth="1"/>
    <col min="2552" max="2552" width="7.140625" style="35" customWidth="1"/>
    <col min="2553" max="2553" width="9.28515625" style="35" customWidth="1"/>
    <col min="2554" max="2554" width="10.7109375" style="35" customWidth="1"/>
    <col min="2555" max="2555" width="9.140625" style="35" customWidth="1"/>
    <col min="2556" max="2792" width="9.140625" style="35"/>
    <col min="2793" max="2793" width="4.42578125" style="35" bestFit="1" customWidth="1"/>
    <col min="2794" max="2794" width="11.42578125" style="35" bestFit="1" customWidth="1"/>
    <col min="2795" max="2795" width="9.42578125" style="35" bestFit="1" customWidth="1"/>
    <col min="2796" max="2796" width="6.42578125" style="35" bestFit="1" customWidth="1"/>
    <col min="2797" max="2797" width="7.7109375" style="35" bestFit="1" customWidth="1"/>
    <col min="2798" max="2799" width="6.42578125" style="35" bestFit="1" customWidth="1"/>
    <col min="2800" max="2800" width="10" style="35" bestFit="1" customWidth="1"/>
    <col min="2801" max="2801" width="7.140625" style="35" customWidth="1"/>
    <col min="2802" max="2802" width="6.7109375" style="35" bestFit="1" customWidth="1"/>
    <col min="2803" max="2803" width="5.42578125" style="35" bestFit="1" customWidth="1"/>
    <col min="2804" max="2804" width="6.28515625" style="35" bestFit="1" customWidth="1"/>
    <col min="2805" max="2805" width="5.42578125" style="35" customWidth="1"/>
    <col min="2806" max="2806" width="6.7109375" style="35" customWidth="1"/>
    <col min="2807" max="2807" width="7.42578125" style="35" customWidth="1"/>
    <col min="2808" max="2808" width="7.140625" style="35" customWidth="1"/>
    <col min="2809" max="2809" width="9.28515625" style="35" customWidth="1"/>
    <col min="2810" max="2810" width="10.7109375" style="35" customWidth="1"/>
    <col min="2811" max="2811" width="9.140625" style="35" customWidth="1"/>
    <col min="2812" max="3048" width="9.140625" style="35"/>
    <col min="3049" max="3049" width="4.42578125" style="35" bestFit="1" customWidth="1"/>
    <col min="3050" max="3050" width="11.42578125" style="35" bestFit="1" customWidth="1"/>
    <col min="3051" max="3051" width="9.42578125" style="35" bestFit="1" customWidth="1"/>
    <col min="3052" max="3052" width="6.42578125" style="35" bestFit="1" customWidth="1"/>
    <col min="3053" max="3053" width="7.7109375" style="35" bestFit="1" customWidth="1"/>
    <col min="3054" max="3055" width="6.42578125" style="35" bestFit="1" customWidth="1"/>
    <col min="3056" max="3056" width="10" style="35" bestFit="1" customWidth="1"/>
    <col min="3057" max="3057" width="7.140625" style="35" customWidth="1"/>
    <col min="3058" max="3058" width="6.7109375" style="35" bestFit="1" customWidth="1"/>
    <col min="3059" max="3059" width="5.42578125" style="35" bestFit="1" customWidth="1"/>
    <col min="3060" max="3060" width="6.28515625" style="35" bestFit="1" customWidth="1"/>
    <col min="3061" max="3061" width="5.42578125" style="35" customWidth="1"/>
    <col min="3062" max="3062" width="6.7109375" style="35" customWidth="1"/>
    <col min="3063" max="3063" width="7.42578125" style="35" customWidth="1"/>
    <col min="3064" max="3064" width="7.140625" style="35" customWidth="1"/>
    <col min="3065" max="3065" width="9.28515625" style="35" customWidth="1"/>
    <col min="3066" max="3066" width="10.7109375" style="35" customWidth="1"/>
    <col min="3067" max="3067" width="9.140625" style="35" customWidth="1"/>
    <col min="3068" max="3304" width="9.140625" style="35"/>
    <col min="3305" max="3305" width="4.42578125" style="35" bestFit="1" customWidth="1"/>
    <col min="3306" max="3306" width="11.42578125" style="35" bestFit="1" customWidth="1"/>
    <col min="3307" max="3307" width="9.42578125" style="35" bestFit="1" customWidth="1"/>
    <col min="3308" max="3308" width="6.42578125" style="35" bestFit="1" customWidth="1"/>
    <col min="3309" max="3309" width="7.7109375" style="35" bestFit="1" customWidth="1"/>
    <col min="3310" max="3311" width="6.42578125" style="35" bestFit="1" customWidth="1"/>
    <col min="3312" max="3312" width="10" style="35" bestFit="1" customWidth="1"/>
    <col min="3313" max="3313" width="7.140625" style="35" customWidth="1"/>
    <col min="3314" max="3314" width="6.7109375" style="35" bestFit="1" customWidth="1"/>
    <col min="3315" max="3315" width="5.42578125" style="35" bestFit="1" customWidth="1"/>
    <col min="3316" max="3316" width="6.28515625" style="35" bestFit="1" customWidth="1"/>
    <col min="3317" max="3317" width="5.42578125" style="35" customWidth="1"/>
    <col min="3318" max="3318" width="6.7109375" style="35" customWidth="1"/>
    <col min="3319" max="3319" width="7.42578125" style="35" customWidth="1"/>
    <col min="3320" max="3320" width="7.140625" style="35" customWidth="1"/>
    <col min="3321" max="3321" width="9.28515625" style="35" customWidth="1"/>
    <col min="3322" max="3322" width="10.7109375" style="35" customWidth="1"/>
    <col min="3323" max="3323" width="9.140625" style="35" customWidth="1"/>
    <col min="3324" max="3560" width="9.140625" style="35"/>
    <col min="3561" max="3561" width="4.42578125" style="35" bestFit="1" customWidth="1"/>
    <col min="3562" max="3562" width="11.42578125" style="35" bestFit="1" customWidth="1"/>
    <col min="3563" max="3563" width="9.42578125" style="35" bestFit="1" customWidth="1"/>
    <col min="3564" max="3564" width="6.42578125" style="35" bestFit="1" customWidth="1"/>
    <col min="3565" max="3565" width="7.7109375" style="35" bestFit="1" customWidth="1"/>
    <col min="3566" max="3567" width="6.42578125" style="35" bestFit="1" customWidth="1"/>
    <col min="3568" max="3568" width="10" style="35" bestFit="1" customWidth="1"/>
    <col min="3569" max="3569" width="7.140625" style="35" customWidth="1"/>
    <col min="3570" max="3570" width="6.7109375" style="35" bestFit="1" customWidth="1"/>
    <col min="3571" max="3571" width="5.42578125" style="35" bestFit="1" customWidth="1"/>
    <col min="3572" max="3572" width="6.28515625" style="35" bestFit="1" customWidth="1"/>
    <col min="3573" max="3573" width="5.42578125" style="35" customWidth="1"/>
    <col min="3574" max="3574" width="6.7109375" style="35" customWidth="1"/>
    <col min="3575" max="3575" width="7.42578125" style="35" customWidth="1"/>
    <col min="3576" max="3576" width="7.140625" style="35" customWidth="1"/>
    <col min="3577" max="3577" width="9.28515625" style="35" customWidth="1"/>
    <col min="3578" max="3578" width="10.7109375" style="35" customWidth="1"/>
    <col min="3579" max="3579" width="9.140625" style="35" customWidth="1"/>
    <col min="3580" max="3816" width="9.140625" style="35"/>
    <col min="3817" max="3817" width="4.42578125" style="35" bestFit="1" customWidth="1"/>
    <col min="3818" max="3818" width="11.42578125" style="35" bestFit="1" customWidth="1"/>
    <col min="3819" max="3819" width="9.42578125" style="35" bestFit="1" customWidth="1"/>
    <col min="3820" max="3820" width="6.42578125" style="35" bestFit="1" customWidth="1"/>
    <col min="3821" max="3821" width="7.7109375" style="35" bestFit="1" customWidth="1"/>
    <col min="3822" max="3823" width="6.42578125" style="35" bestFit="1" customWidth="1"/>
    <col min="3824" max="3824" width="10" style="35" bestFit="1" customWidth="1"/>
    <col min="3825" max="3825" width="7.140625" style="35" customWidth="1"/>
    <col min="3826" max="3826" width="6.7109375" style="35" bestFit="1" customWidth="1"/>
    <col min="3827" max="3827" width="5.42578125" style="35" bestFit="1" customWidth="1"/>
    <col min="3828" max="3828" width="6.28515625" style="35" bestFit="1" customWidth="1"/>
    <col min="3829" max="3829" width="5.42578125" style="35" customWidth="1"/>
    <col min="3830" max="3830" width="6.7109375" style="35" customWidth="1"/>
    <col min="3831" max="3831" width="7.42578125" style="35" customWidth="1"/>
    <col min="3832" max="3832" width="7.140625" style="35" customWidth="1"/>
    <col min="3833" max="3833" width="9.28515625" style="35" customWidth="1"/>
    <col min="3834" max="3834" width="10.7109375" style="35" customWidth="1"/>
    <col min="3835" max="3835" width="9.140625" style="35" customWidth="1"/>
    <col min="3836" max="4072" width="9.140625" style="35"/>
    <col min="4073" max="4073" width="4.42578125" style="35" bestFit="1" customWidth="1"/>
    <col min="4074" max="4074" width="11.42578125" style="35" bestFit="1" customWidth="1"/>
    <col min="4075" max="4075" width="9.42578125" style="35" bestFit="1" customWidth="1"/>
    <col min="4076" max="4076" width="6.42578125" style="35" bestFit="1" customWidth="1"/>
    <col min="4077" max="4077" width="7.7109375" style="35" bestFit="1" customWidth="1"/>
    <col min="4078" max="4079" width="6.42578125" style="35" bestFit="1" customWidth="1"/>
    <col min="4080" max="4080" width="10" style="35" bestFit="1" customWidth="1"/>
    <col min="4081" max="4081" width="7.140625" style="35" customWidth="1"/>
    <col min="4082" max="4082" width="6.7109375" style="35" bestFit="1" customWidth="1"/>
    <col min="4083" max="4083" width="5.42578125" style="35" bestFit="1" customWidth="1"/>
    <col min="4084" max="4084" width="6.28515625" style="35" bestFit="1" customWidth="1"/>
    <col min="4085" max="4085" width="5.42578125" style="35" customWidth="1"/>
    <col min="4086" max="4086" width="6.7109375" style="35" customWidth="1"/>
    <col min="4087" max="4087" width="7.42578125" style="35" customWidth="1"/>
    <col min="4088" max="4088" width="7.140625" style="35" customWidth="1"/>
    <col min="4089" max="4089" width="9.28515625" style="35" customWidth="1"/>
    <col min="4090" max="4090" width="10.7109375" style="35" customWidth="1"/>
    <col min="4091" max="4091" width="9.140625" style="35" customWidth="1"/>
    <col min="4092" max="4328" width="9.140625" style="35"/>
    <col min="4329" max="4329" width="4.42578125" style="35" bestFit="1" customWidth="1"/>
    <col min="4330" max="4330" width="11.42578125" style="35" bestFit="1" customWidth="1"/>
    <col min="4331" max="4331" width="9.42578125" style="35" bestFit="1" customWidth="1"/>
    <col min="4332" max="4332" width="6.42578125" style="35" bestFit="1" customWidth="1"/>
    <col min="4333" max="4333" width="7.7109375" style="35" bestFit="1" customWidth="1"/>
    <col min="4334" max="4335" width="6.42578125" style="35" bestFit="1" customWidth="1"/>
    <col min="4336" max="4336" width="10" style="35" bestFit="1" customWidth="1"/>
    <col min="4337" max="4337" width="7.140625" style="35" customWidth="1"/>
    <col min="4338" max="4338" width="6.7109375" style="35" bestFit="1" customWidth="1"/>
    <col min="4339" max="4339" width="5.42578125" style="35" bestFit="1" customWidth="1"/>
    <col min="4340" max="4340" width="6.28515625" style="35" bestFit="1" customWidth="1"/>
    <col min="4341" max="4341" width="5.42578125" style="35" customWidth="1"/>
    <col min="4342" max="4342" width="6.7109375" style="35" customWidth="1"/>
    <col min="4343" max="4343" width="7.42578125" style="35" customWidth="1"/>
    <col min="4344" max="4344" width="7.140625" style="35" customWidth="1"/>
    <col min="4345" max="4345" width="9.28515625" style="35" customWidth="1"/>
    <col min="4346" max="4346" width="10.7109375" style="35" customWidth="1"/>
    <col min="4347" max="4347" width="9.140625" style="35" customWidth="1"/>
    <col min="4348" max="4584" width="9.140625" style="35"/>
    <col min="4585" max="4585" width="4.42578125" style="35" bestFit="1" customWidth="1"/>
    <col min="4586" max="4586" width="11.42578125" style="35" bestFit="1" customWidth="1"/>
    <col min="4587" max="4587" width="9.42578125" style="35" bestFit="1" customWidth="1"/>
    <col min="4588" max="4588" width="6.42578125" style="35" bestFit="1" customWidth="1"/>
    <col min="4589" max="4589" width="7.7109375" style="35" bestFit="1" customWidth="1"/>
    <col min="4590" max="4591" width="6.42578125" style="35" bestFit="1" customWidth="1"/>
    <col min="4592" max="4592" width="10" style="35" bestFit="1" customWidth="1"/>
    <col min="4593" max="4593" width="7.140625" style="35" customWidth="1"/>
    <col min="4594" max="4594" width="6.7109375" style="35" bestFit="1" customWidth="1"/>
    <col min="4595" max="4595" width="5.42578125" style="35" bestFit="1" customWidth="1"/>
    <col min="4596" max="4596" width="6.28515625" style="35" bestFit="1" customWidth="1"/>
    <col min="4597" max="4597" width="5.42578125" style="35" customWidth="1"/>
    <col min="4598" max="4598" width="6.7109375" style="35" customWidth="1"/>
    <col min="4599" max="4599" width="7.42578125" style="35" customWidth="1"/>
    <col min="4600" max="4600" width="7.140625" style="35" customWidth="1"/>
    <col min="4601" max="4601" width="9.28515625" style="35" customWidth="1"/>
    <col min="4602" max="4602" width="10.7109375" style="35" customWidth="1"/>
    <col min="4603" max="4603" width="9.140625" style="35" customWidth="1"/>
    <col min="4604" max="4840" width="9.140625" style="35"/>
    <col min="4841" max="4841" width="4.42578125" style="35" bestFit="1" customWidth="1"/>
    <col min="4842" max="4842" width="11.42578125" style="35" bestFit="1" customWidth="1"/>
    <col min="4843" max="4843" width="9.42578125" style="35" bestFit="1" customWidth="1"/>
    <col min="4844" max="4844" width="6.42578125" style="35" bestFit="1" customWidth="1"/>
    <col min="4845" max="4845" width="7.7109375" style="35" bestFit="1" customWidth="1"/>
    <col min="4846" max="4847" width="6.42578125" style="35" bestFit="1" customWidth="1"/>
    <col min="4848" max="4848" width="10" style="35" bestFit="1" customWidth="1"/>
    <col min="4849" max="4849" width="7.140625" style="35" customWidth="1"/>
    <col min="4850" max="4850" width="6.7109375" style="35" bestFit="1" customWidth="1"/>
    <col min="4851" max="4851" width="5.42578125" style="35" bestFit="1" customWidth="1"/>
    <col min="4852" max="4852" width="6.28515625" style="35" bestFit="1" customWidth="1"/>
    <col min="4853" max="4853" width="5.42578125" style="35" customWidth="1"/>
    <col min="4854" max="4854" width="6.7109375" style="35" customWidth="1"/>
    <col min="4855" max="4855" width="7.42578125" style="35" customWidth="1"/>
    <col min="4856" max="4856" width="7.140625" style="35" customWidth="1"/>
    <col min="4857" max="4857" width="9.28515625" style="35" customWidth="1"/>
    <col min="4858" max="4858" width="10.7109375" style="35" customWidth="1"/>
    <col min="4859" max="4859" width="9.140625" style="35" customWidth="1"/>
    <col min="4860" max="5096" width="9.140625" style="35"/>
    <col min="5097" max="5097" width="4.42578125" style="35" bestFit="1" customWidth="1"/>
    <col min="5098" max="5098" width="11.42578125" style="35" bestFit="1" customWidth="1"/>
    <col min="5099" max="5099" width="9.42578125" style="35" bestFit="1" customWidth="1"/>
    <col min="5100" max="5100" width="6.42578125" style="35" bestFit="1" customWidth="1"/>
    <col min="5101" max="5101" width="7.7109375" style="35" bestFit="1" customWidth="1"/>
    <col min="5102" max="5103" width="6.42578125" style="35" bestFit="1" customWidth="1"/>
    <col min="5104" max="5104" width="10" style="35" bestFit="1" customWidth="1"/>
    <col min="5105" max="5105" width="7.140625" style="35" customWidth="1"/>
    <col min="5106" max="5106" width="6.7109375" style="35" bestFit="1" customWidth="1"/>
    <col min="5107" max="5107" width="5.42578125" style="35" bestFit="1" customWidth="1"/>
    <col min="5108" max="5108" width="6.28515625" style="35" bestFit="1" customWidth="1"/>
    <col min="5109" max="5109" width="5.42578125" style="35" customWidth="1"/>
    <col min="5110" max="5110" width="6.7109375" style="35" customWidth="1"/>
    <col min="5111" max="5111" width="7.42578125" style="35" customWidth="1"/>
    <col min="5112" max="5112" width="7.140625" style="35" customWidth="1"/>
    <col min="5113" max="5113" width="9.28515625" style="35" customWidth="1"/>
    <col min="5114" max="5114" width="10.7109375" style="35" customWidth="1"/>
    <col min="5115" max="5115" width="9.140625" style="35" customWidth="1"/>
    <col min="5116" max="5352" width="9.140625" style="35"/>
    <col min="5353" max="5353" width="4.42578125" style="35" bestFit="1" customWidth="1"/>
    <col min="5354" max="5354" width="11.42578125" style="35" bestFit="1" customWidth="1"/>
    <col min="5355" max="5355" width="9.42578125" style="35" bestFit="1" customWidth="1"/>
    <col min="5356" max="5356" width="6.42578125" style="35" bestFit="1" customWidth="1"/>
    <col min="5357" max="5357" width="7.7109375" style="35" bestFit="1" customWidth="1"/>
    <col min="5358" max="5359" width="6.42578125" style="35" bestFit="1" customWidth="1"/>
    <col min="5360" max="5360" width="10" style="35" bestFit="1" customWidth="1"/>
    <col min="5361" max="5361" width="7.140625" style="35" customWidth="1"/>
    <col min="5362" max="5362" width="6.7109375" style="35" bestFit="1" customWidth="1"/>
    <col min="5363" max="5363" width="5.42578125" style="35" bestFit="1" customWidth="1"/>
    <col min="5364" max="5364" width="6.28515625" style="35" bestFit="1" customWidth="1"/>
    <col min="5365" max="5365" width="5.42578125" style="35" customWidth="1"/>
    <col min="5366" max="5366" width="6.7109375" style="35" customWidth="1"/>
    <col min="5367" max="5367" width="7.42578125" style="35" customWidth="1"/>
    <col min="5368" max="5368" width="7.140625" style="35" customWidth="1"/>
    <col min="5369" max="5369" width="9.28515625" style="35" customWidth="1"/>
    <col min="5370" max="5370" width="10.7109375" style="35" customWidth="1"/>
    <col min="5371" max="5371" width="9.140625" style="35" customWidth="1"/>
    <col min="5372" max="5608" width="9.140625" style="35"/>
    <col min="5609" max="5609" width="4.42578125" style="35" bestFit="1" customWidth="1"/>
    <col min="5610" max="5610" width="11.42578125" style="35" bestFit="1" customWidth="1"/>
    <col min="5611" max="5611" width="9.42578125" style="35" bestFit="1" customWidth="1"/>
    <col min="5612" max="5612" width="6.42578125" style="35" bestFit="1" customWidth="1"/>
    <col min="5613" max="5613" width="7.7109375" style="35" bestFit="1" customWidth="1"/>
    <col min="5614" max="5615" width="6.42578125" style="35" bestFit="1" customWidth="1"/>
    <col min="5616" max="5616" width="10" style="35" bestFit="1" customWidth="1"/>
    <col min="5617" max="5617" width="7.140625" style="35" customWidth="1"/>
    <col min="5618" max="5618" width="6.7109375" style="35" bestFit="1" customWidth="1"/>
    <col min="5619" max="5619" width="5.42578125" style="35" bestFit="1" customWidth="1"/>
    <col min="5620" max="5620" width="6.28515625" style="35" bestFit="1" customWidth="1"/>
    <col min="5621" max="5621" width="5.42578125" style="35" customWidth="1"/>
    <col min="5622" max="5622" width="6.7109375" style="35" customWidth="1"/>
    <col min="5623" max="5623" width="7.42578125" style="35" customWidth="1"/>
    <col min="5624" max="5624" width="7.140625" style="35" customWidth="1"/>
    <col min="5625" max="5625" width="9.28515625" style="35" customWidth="1"/>
    <col min="5626" max="5626" width="10.7109375" style="35" customWidth="1"/>
    <col min="5627" max="5627" width="9.140625" style="35" customWidth="1"/>
    <col min="5628" max="5864" width="9.140625" style="35"/>
    <col min="5865" max="5865" width="4.42578125" style="35" bestFit="1" customWidth="1"/>
    <col min="5866" max="5866" width="11.42578125" style="35" bestFit="1" customWidth="1"/>
    <col min="5867" max="5867" width="9.42578125" style="35" bestFit="1" customWidth="1"/>
    <col min="5868" max="5868" width="6.42578125" style="35" bestFit="1" customWidth="1"/>
    <col min="5869" max="5869" width="7.7109375" style="35" bestFit="1" customWidth="1"/>
    <col min="5870" max="5871" width="6.42578125" style="35" bestFit="1" customWidth="1"/>
    <col min="5872" max="5872" width="10" style="35" bestFit="1" customWidth="1"/>
    <col min="5873" max="5873" width="7.140625" style="35" customWidth="1"/>
    <col min="5874" max="5874" width="6.7109375" style="35" bestFit="1" customWidth="1"/>
    <col min="5875" max="5875" width="5.42578125" style="35" bestFit="1" customWidth="1"/>
    <col min="5876" max="5876" width="6.28515625" style="35" bestFit="1" customWidth="1"/>
    <col min="5877" max="5877" width="5.42578125" style="35" customWidth="1"/>
    <col min="5878" max="5878" width="6.7109375" style="35" customWidth="1"/>
    <col min="5879" max="5879" width="7.42578125" style="35" customWidth="1"/>
    <col min="5880" max="5880" width="7.140625" style="35" customWidth="1"/>
    <col min="5881" max="5881" width="9.28515625" style="35" customWidth="1"/>
    <col min="5882" max="5882" width="10.7109375" style="35" customWidth="1"/>
    <col min="5883" max="5883" width="9.140625" style="35" customWidth="1"/>
    <col min="5884" max="6120" width="9.140625" style="35"/>
    <col min="6121" max="6121" width="4.42578125" style="35" bestFit="1" customWidth="1"/>
    <col min="6122" max="6122" width="11.42578125" style="35" bestFit="1" customWidth="1"/>
    <col min="6123" max="6123" width="9.42578125" style="35" bestFit="1" customWidth="1"/>
    <col min="6124" max="6124" width="6.42578125" style="35" bestFit="1" customWidth="1"/>
    <col min="6125" max="6125" width="7.7109375" style="35" bestFit="1" customWidth="1"/>
    <col min="6126" max="6127" width="6.42578125" style="35" bestFit="1" customWidth="1"/>
    <col min="6128" max="6128" width="10" style="35" bestFit="1" customWidth="1"/>
    <col min="6129" max="6129" width="7.140625" style="35" customWidth="1"/>
    <col min="6130" max="6130" width="6.7109375" style="35" bestFit="1" customWidth="1"/>
    <col min="6131" max="6131" width="5.42578125" style="35" bestFit="1" customWidth="1"/>
    <col min="6132" max="6132" width="6.28515625" style="35" bestFit="1" customWidth="1"/>
    <col min="6133" max="6133" width="5.42578125" style="35" customWidth="1"/>
    <col min="6134" max="6134" width="6.7109375" style="35" customWidth="1"/>
    <col min="6135" max="6135" width="7.42578125" style="35" customWidth="1"/>
    <col min="6136" max="6136" width="7.140625" style="35" customWidth="1"/>
    <col min="6137" max="6137" width="9.28515625" style="35" customWidth="1"/>
    <col min="6138" max="6138" width="10.7109375" style="35" customWidth="1"/>
    <col min="6139" max="6139" width="9.140625" style="35" customWidth="1"/>
    <col min="6140" max="6376" width="9.140625" style="35"/>
    <col min="6377" max="6377" width="4.42578125" style="35" bestFit="1" customWidth="1"/>
    <col min="6378" max="6378" width="11.42578125" style="35" bestFit="1" customWidth="1"/>
    <col min="6379" max="6379" width="9.42578125" style="35" bestFit="1" customWidth="1"/>
    <col min="6380" max="6380" width="6.42578125" style="35" bestFit="1" customWidth="1"/>
    <col min="6381" max="6381" width="7.7109375" style="35" bestFit="1" customWidth="1"/>
    <col min="6382" max="6383" width="6.42578125" style="35" bestFit="1" customWidth="1"/>
    <col min="6384" max="6384" width="10" style="35" bestFit="1" customWidth="1"/>
    <col min="6385" max="6385" width="7.140625" style="35" customWidth="1"/>
    <col min="6386" max="6386" width="6.7109375" style="35" bestFit="1" customWidth="1"/>
    <col min="6387" max="6387" width="5.42578125" style="35" bestFit="1" customWidth="1"/>
    <col min="6388" max="6388" width="6.28515625" style="35" bestFit="1" customWidth="1"/>
    <col min="6389" max="6389" width="5.42578125" style="35" customWidth="1"/>
    <col min="6390" max="6390" width="6.7109375" style="35" customWidth="1"/>
    <col min="6391" max="6391" width="7.42578125" style="35" customWidth="1"/>
    <col min="6392" max="6392" width="7.140625" style="35" customWidth="1"/>
    <col min="6393" max="6393" width="9.28515625" style="35" customWidth="1"/>
    <col min="6394" max="6394" width="10.7109375" style="35" customWidth="1"/>
    <col min="6395" max="6395" width="9.140625" style="35" customWidth="1"/>
    <col min="6396" max="6632" width="9.140625" style="35"/>
    <col min="6633" max="6633" width="4.42578125" style="35" bestFit="1" customWidth="1"/>
    <col min="6634" max="6634" width="11.42578125" style="35" bestFit="1" customWidth="1"/>
    <col min="6635" max="6635" width="9.42578125" style="35" bestFit="1" customWidth="1"/>
    <col min="6636" max="6636" width="6.42578125" style="35" bestFit="1" customWidth="1"/>
    <col min="6637" max="6637" width="7.7109375" style="35" bestFit="1" customWidth="1"/>
    <col min="6638" max="6639" width="6.42578125" style="35" bestFit="1" customWidth="1"/>
    <col min="6640" max="6640" width="10" style="35" bestFit="1" customWidth="1"/>
    <col min="6641" max="6641" width="7.140625" style="35" customWidth="1"/>
    <col min="6642" max="6642" width="6.7109375" style="35" bestFit="1" customWidth="1"/>
    <col min="6643" max="6643" width="5.42578125" style="35" bestFit="1" customWidth="1"/>
    <col min="6644" max="6644" width="6.28515625" style="35" bestFit="1" customWidth="1"/>
    <col min="6645" max="6645" width="5.42578125" style="35" customWidth="1"/>
    <col min="6646" max="6646" width="6.7109375" style="35" customWidth="1"/>
    <col min="6647" max="6647" width="7.42578125" style="35" customWidth="1"/>
    <col min="6648" max="6648" width="7.140625" style="35" customWidth="1"/>
    <col min="6649" max="6649" width="9.28515625" style="35" customWidth="1"/>
    <col min="6650" max="6650" width="10.7109375" style="35" customWidth="1"/>
    <col min="6651" max="6651" width="9.140625" style="35" customWidth="1"/>
    <col min="6652" max="6888" width="9.140625" style="35"/>
    <col min="6889" max="6889" width="4.42578125" style="35" bestFit="1" customWidth="1"/>
    <col min="6890" max="6890" width="11.42578125" style="35" bestFit="1" customWidth="1"/>
    <col min="6891" max="6891" width="9.42578125" style="35" bestFit="1" customWidth="1"/>
    <col min="6892" max="6892" width="6.42578125" style="35" bestFit="1" customWidth="1"/>
    <col min="6893" max="6893" width="7.7109375" style="35" bestFit="1" customWidth="1"/>
    <col min="6894" max="6895" width="6.42578125" style="35" bestFit="1" customWidth="1"/>
    <col min="6896" max="6896" width="10" style="35" bestFit="1" customWidth="1"/>
    <col min="6897" max="6897" width="7.140625" style="35" customWidth="1"/>
    <col min="6898" max="6898" width="6.7109375" style="35" bestFit="1" customWidth="1"/>
    <col min="6899" max="6899" width="5.42578125" style="35" bestFit="1" customWidth="1"/>
    <col min="6900" max="6900" width="6.28515625" style="35" bestFit="1" customWidth="1"/>
    <col min="6901" max="6901" width="5.42578125" style="35" customWidth="1"/>
    <col min="6902" max="6902" width="6.7109375" style="35" customWidth="1"/>
    <col min="6903" max="6903" width="7.42578125" style="35" customWidth="1"/>
    <col min="6904" max="6904" width="7.140625" style="35" customWidth="1"/>
    <col min="6905" max="6905" width="9.28515625" style="35" customWidth="1"/>
    <col min="6906" max="6906" width="10.7109375" style="35" customWidth="1"/>
    <col min="6907" max="6907" width="9.140625" style="35" customWidth="1"/>
    <col min="6908" max="7144" width="9.140625" style="35"/>
    <col min="7145" max="7145" width="4.42578125" style="35" bestFit="1" customWidth="1"/>
    <col min="7146" max="7146" width="11.42578125" style="35" bestFit="1" customWidth="1"/>
    <col min="7147" max="7147" width="9.42578125" style="35" bestFit="1" customWidth="1"/>
    <col min="7148" max="7148" width="6.42578125" style="35" bestFit="1" customWidth="1"/>
    <col min="7149" max="7149" width="7.7109375" style="35" bestFit="1" customWidth="1"/>
    <col min="7150" max="7151" width="6.42578125" style="35" bestFit="1" customWidth="1"/>
    <col min="7152" max="7152" width="10" style="35" bestFit="1" customWidth="1"/>
    <col min="7153" max="7153" width="7.140625" style="35" customWidth="1"/>
    <col min="7154" max="7154" width="6.7109375" style="35" bestFit="1" customWidth="1"/>
    <col min="7155" max="7155" width="5.42578125" style="35" bestFit="1" customWidth="1"/>
    <col min="7156" max="7156" width="6.28515625" style="35" bestFit="1" customWidth="1"/>
    <col min="7157" max="7157" width="5.42578125" style="35" customWidth="1"/>
    <col min="7158" max="7158" width="6.7109375" style="35" customWidth="1"/>
    <col min="7159" max="7159" width="7.42578125" style="35" customWidth="1"/>
    <col min="7160" max="7160" width="7.140625" style="35" customWidth="1"/>
    <col min="7161" max="7161" width="9.28515625" style="35" customWidth="1"/>
    <col min="7162" max="7162" width="10.7109375" style="35" customWidth="1"/>
    <col min="7163" max="7163" width="9.140625" style="35" customWidth="1"/>
    <col min="7164" max="7400" width="9.140625" style="35"/>
    <col min="7401" max="7401" width="4.42578125" style="35" bestFit="1" customWidth="1"/>
    <col min="7402" max="7402" width="11.42578125" style="35" bestFit="1" customWidth="1"/>
    <col min="7403" max="7403" width="9.42578125" style="35" bestFit="1" customWidth="1"/>
    <col min="7404" max="7404" width="6.42578125" style="35" bestFit="1" customWidth="1"/>
    <col min="7405" max="7405" width="7.7109375" style="35" bestFit="1" customWidth="1"/>
    <col min="7406" max="7407" width="6.42578125" style="35" bestFit="1" customWidth="1"/>
    <col min="7408" max="7408" width="10" style="35" bestFit="1" customWidth="1"/>
    <col min="7409" max="7409" width="7.140625" style="35" customWidth="1"/>
    <col min="7410" max="7410" width="6.7109375" style="35" bestFit="1" customWidth="1"/>
    <col min="7411" max="7411" width="5.42578125" style="35" bestFit="1" customWidth="1"/>
    <col min="7412" max="7412" width="6.28515625" style="35" bestFit="1" customWidth="1"/>
    <col min="7413" max="7413" width="5.42578125" style="35" customWidth="1"/>
    <col min="7414" max="7414" width="6.7109375" style="35" customWidth="1"/>
    <col min="7415" max="7415" width="7.42578125" style="35" customWidth="1"/>
    <col min="7416" max="7416" width="7.140625" style="35" customWidth="1"/>
    <col min="7417" max="7417" width="9.28515625" style="35" customWidth="1"/>
    <col min="7418" max="7418" width="10.7109375" style="35" customWidth="1"/>
    <col min="7419" max="7419" width="9.140625" style="35" customWidth="1"/>
    <col min="7420" max="7656" width="9.140625" style="35"/>
    <col min="7657" max="7657" width="4.42578125" style="35" bestFit="1" customWidth="1"/>
    <col min="7658" max="7658" width="11.42578125" style="35" bestFit="1" customWidth="1"/>
    <col min="7659" max="7659" width="9.42578125" style="35" bestFit="1" customWidth="1"/>
    <col min="7660" max="7660" width="6.42578125" style="35" bestFit="1" customWidth="1"/>
    <col min="7661" max="7661" width="7.7109375" style="35" bestFit="1" customWidth="1"/>
    <col min="7662" max="7663" width="6.42578125" style="35" bestFit="1" customWidth="1"/>
    <col min="7664" max="7664" width="10" style="35" bestFit="1" customWidth="1"/>
    <col min="7665" max="7665" width="7.140625" style="35" customWidth="1"/>
    <col min="7666" max="7666" width="6.7109375" style="35" bestFit="1" customWidth="1"/>
    <col min="7667" max="7667" width="5.42578125" style="35" bestFit="1" customWidth="1"/>
    <col min="7668" max="7668" width="6.28515625" style="35" bestFit="1" customWidth="1"/>
    <col min="7669" max="7669" width="5.42578125" style="35" customWidth="1"/>
    <col min="7670" max="7670" width="6.7109375" style="35" customWidth="1"/>
    <col min="7671" max="7671" width="7.42578125" style="35" customWidth="1"/>
    <col min="7672" max="7672" width="7.140625" style="35" customWidth="1"/>
    <col min="7673" max="7673" width="9.28515625" style="35" customWidth="1"/>
    <col min="7674" max="7674" width="10.7109375" style="35" customWidth="1"/>
    <col min="7675" max="7675" width="9.140625" style="35" customWidth="1"/>
    <col min="7676" max="7912" width="9.140625" style="35"/>
    <col min="7913" max="7913" width="4.42578125" style="35" bestFit="1" customWidth="1"/>
    <col min="7914" max="7914" width="11.42578125" style="35" bestFit="1" customWidth="1"/>
    <col min="7915" max="7915" width="9.42578125" style="35" bestFit="1" customWidth="1"/>
    <col min="7916" max="7916" width="6.42578125" style="35" bestFit="1" customWidth="1"/>
    <col min="7917" max="7917" width="7.7109375" style="35" bestFit="1" customWidth="1"/>
    <col min="7918" max="7919" width="6.42578125" style="35" bestFit="1" customWidth="1"/>
    <col min="7920" max="7920" width="10" style="35" bestFit="1" customWidth="1"/>
    <col min="7921" max="7921" width="7.140625" style="35" customWidth="1"/>
    <col min="7922" max="7922" width="6.7109375" style="35" bestFit="1" customWidth="1"/>
    <col min="7923" max="7923" width="5.42578125" style="35" bestFit="1" customWidth="1"/>
    <col min="7924" max="7924" width="6.28515625" style="35" bestFit="1" customWidth="1"/>
    <col min="7925" max="7925" width="5.42578125" style="35" customWidth="1"/>
    <col min="7926" max="7926" width="6.7109375" style="35" customWidth="1"/>
    <col min="7927" max="7927" width="7.42578125" style="35" customWidth="1"/>
    <col min="7928" max="7928" width="7.140625" style="35" customWidth="1"/>
    <col min="7929" max="7929" width="9.28515625" style="35" customWidth="1"/>
    <col min="7930" max="7930" width="10.7109375" style="35" customWidth="1"/>
    <col min="7931" max="7931" width="9.140625" style="35" customWidth="1"/>
    <col min="7932" max="8168" width="9.140625" style="35"/>
    <col min="8169" max="8169" width="4.42578125" style="35" bestFit="1" customWidth="1"/>
    <col min="8170" max="8170" width="11.42578125" style="35" bestFit="1" customWidth="1"/>
    <col min="8171" max="8171" width="9.42578125" style="35" bestFit="1" customWidth="1"/>
    <col min="8172" max="8172" width="6.42578125" style="35" bestFit="1" customWidth="1"/>
    <col min="8173" max="8173" width="7.7109375" style="35" bestFit="1" customWidth="1"/>
    <col min="8174" max="8175" width="6.42578125" style="35" bestFit="1" customWidth="1"/>
    <col min="8176" max="8176" width="10" style="35" bestFit="1" customWidth="1"/>
    <col min="8177" max="8177" width="7.140625" style="35" customWidth="1"/>
    <col min="8178" max="8178" width="6.7109375" style="35" bestFit="1" customWidth="1"/>
    <col min="8179" max="8179" width="5.42578125" style="35" bestFit="1" customWidth="1"/>
    <col min="8180" max="8180" width="6.28515625" style="35" bestFit="1" customWidth="1"/>
    <col min="8181" max="8181" width="5.42578125" style="35" customWidth="1"/>
    <col min="8182" max="8182" width="6.7109375" style="35" customWidth="1"/>
    <col min="8183" max="8183" width="7.42578125" style="35" customWidth="1"/>
    <col min="8184" max="8184" width="7.140625" style="35" customWidth="1"/>
    <col min="8185" max="8185" width="9.28515625" style="35" customWidth="1"/>
    <col min="8186" max="8186" width="10.7109375" style="35" customWidth="1"/>
    <col min="8187" max="8187" width="9.140625" style="35" customWidth="1"/>
    <col min="8188" max="8424" width="9.140625" style="35"/>
    <col min="8425" max="8425" width="4.42578125" style="35" bestFit="1" customWidth="1"/>
    <col min="8426" max="8426" width="11.42578125" style="35" bestFit="1" customWidth="1"/>
    <col min="8427" max="8427" width="9.42578125" style="35" bestFit="1" customWidth="1"/>
    <col min="8428" max="8428" width="6.42578125" style="35" bestFit="1" customWidth="1"/>
    <col min="8429" max="8429" width="7.7109375" style="35" bestFit="1" customWidth="1"/>
    <col min="8430" max="8431" width="6.42578125" style="35" bestFit="1" customWidth="1"/>
    <col min="8432" max="8432" width="10" style="35" bestFit="1" customWidth="1"/>
    <col min="8433" max="8433" width="7.140625" style="35" customWidth="1"/>
    <col min="8434" max="8434" width="6.7109375" style="35" bestFit="1" customWidth="1"/>
    <col min="8435" max="8435" width="5.42578125" style="35" bestFit="1" customWidth="1"/>
    <col min="8436" max="8436" width="6.28515625" style="35" bestFit="1" customWidth="1"/>
    <col min="8437" max="8437" width="5.42578125" style="35" customWidth="1"/>
    <col min="8438" max="8438" width="6.7109375" style="35" customWidth="1"/>
    <col min="8439" max="8439" width="7.42578125" style="35" customWidth="1"/>
    <col min="8440" max="8440" width="7.140625" style="35" customWidth="1"/>
    <col min="8441" max="8441" width="9.28515625" style="35" customWidth="1"/>
    <col min="8442" max="8442" width="10.7109375" style="35" customWidth="1"/>
    <col min="8443" max="8443" width="9.140625" style="35" customWidth="1"/>
    <col min="8444" max="8680" width="9.140625" style="35"/>
    <col min="8681" max="8681" width="4.42578125" style="35" bestFit="1" customWidth="1"/>
    <col min="8682" max="8682" width="11.42578125" style="35" bestFit="1" customWidth="1"/>
    <col min="8683" max="8683" width="9.42578125" style="35" bestFit="1" customWidth="1"/>
    <col min="8684" max="8684" width="6.42578125" style="35" bestFit="1" customWidth="1"/>
    <col min="8685" max="8685" width="7.7109375" style="35" bestFit="1" customWidth="1"/>
    <col min="8686" max="8687" width="6.42578125" style="35" bestFit="1" customWidth="1"/>
    <col min="8688" max="8688" width="10" style="35" bestFit="1" customWidth="1"/>
    <col min="8689" max="8689" width="7.140625" style="35" customWidth="1"/>
    <col min="8690" max="8690" width="6.7109375" style="35" bestFit="1" customWidth="1"/>
    <col min="8691" max="8691" width="5.42578125" style="35" bestFit="1" customWidth="1"/>
    <col min="8692" max="8692" width="6.28515625" style="35" bestFit="1" customWidth="1"/>
    <col min="8693" max="8693" width="5.42578125" style="35" customWidth="1"/>
    <col min="8694" max="8694" width="6.7109375" style="35" customWidth="1"/>
    <col min="8695" max="8695" width="7.42578125" style="35" customWidth="1"/>
    <col min="8696" max="8696" width="7.140625" style="35" customWidth="1"/>
    <col min="8697" max="8697" width="9.28515625" style="35" customWidth="1"/>
    <col min="8698" max="8698" width="10.7109375" style="35" customWidth="1"/>
    <col min="8699" max="8699" width="9.140625" style="35" customWidth="1"/>
    <col min="8700" max="8936" width="9.140625" style="35"/>
    <col min="8937" max="8937" width="4.42578125" style="35" bestFit="1" customWidth="1"/>
    <col min="8938" max="8938" width="11.42578125" style="35" bestFit="1" customWidth="1"/>
    <col min="8939" max="8939" width="9.42578125" style="35" bestFit="1" customWidth="1"/>
    <col min="8940" max="8940" width="6.42578125" style="35" bestFit="1" customWidth="1"/>
    <col min="8941" max="8941" width="7.7109375" style="35" bestFit="1" customWidth="1"/>
    <col min="8942" max="8943" width="6.42578125" style="35" bestFit="1" customWidth="1"/>
    <col min="8944" max="8944" width="10" style="35" bestFit="1" customWidth="1"/>
    <col min="8945" max="8945" width="7.140625" style="35" customWidth="1"/>
    <col min="8946" max="8946" width="6.7109375" style="35" bestFit="1" customWidth="1"/>
    <col min="8947" max="8947" width="5.42578125" style="35" bestFit="1" customWidth="1"/>
    <col min="8948" max="8948" width="6.28515625" style="35" bestFit="1" customWidth="1"/>
    <col min="8949" max="8949" width="5.42578125" style="35" customWidth="1"/>
    <col min="8950" max="8950" width="6.7109375" style="35" customWidth="1"/>
    <col min="8951" max="8951" width="7.42578125" style="35" customWidth="1"/>
    <col min="8952" max="8952" width="7.140625" style="35" customWidth="1"/>
    <col min="8953" max="8953" width="9.28515625" style="35" customWidth="1"/>
    <col min="8954" max="8954" width="10.7109375" style="35" customWidth="1"/>
    <col min="8955" max="8955" width="9.140625" style="35" customWidth="1"/>
    <col min="8956" max="9192" width="9.140625" style="35"/>
    <col min="9193" max="9193" width="4.42578125" style="35" bestFit="1" customWidth="1"/>
    <col min="9194" max="9194" width="11.42578125" style="35" bestFit="1" customWidth="1"/>
    <col min="9195" max="9195" width="9.42578125" style="35" bestFit="1" customWidth="1"/>
    <col min="9196" max="9196" width="6.42578125" style="35" bestFit="1" customWidth="1"/>
    <col min="9197" max="9197" width="7.7109375" style="35" bestFit="1" customWidth="1"/>
    <col min="9198" max="9199" width="6.42578125" style="35" bestFit="1" customWidth="1"/>
    <col min="9200" max="9200" width="10" style="35" bestFit="1" customWidth="1"/>
    <col min="9201" max="9201" width="7.140625" style="35" customWidth="1"/>
    <col min="9202" max="9202" width="6.7109375" style="35" bestFit="1" customWidth="1"/>
    <col min="9203" max="9203" width="5.42578125" style="35" bestFit="1" customWidth="1"/>
    <col min="9204" max="9204" width="6.28515625" style="35" bestFit="1" customWidth="1"/>
    <col min="9205" max="9205" width="5.42578125" style="35" customWidth="1"/>
    <col min="9206" max="9206" width="6.7109375" style="35" customWidth="1"/>
    <col min="9207" max="9207" width="7.42578125" style="35" customWidth="1"/>
    <col min="9208" max="9208" width="7.140625" style="35" customWidth="1"/>
    <col min="9209" max="9209" width="9.28515625" style="35" customWidth="1"/>
    <col min="9210" max="9210" width="10.7109375" style="35" customWidth="1"/>
    <col min="9211" max="9211" width="9.140625" style="35" customWidth="1"/>
    <col min="9212" max="9448" width="9.140625" style="35"/>
    <col min="9449" max="9449" width="4.42578125" style="35" bestFit="1" customWidth="1"/>
    <col min="9450" max="9450" width="11.42578125" style="35" bestFit="1" customWidth="1"/>
    <col min="9451" max="9451" width="9.42578125" style="35" bestFit="1" customWidth="1"/>
    <col min="9452" max="9452" width="6.42578125" style="35" bestFit="1" customWidth="1"/>
    <col min="9453" max="9453" width="7.7109375" style="35" bestFit="1" customWidth="1"/>
    <col min="9454" max="9455" width="6.42578125" style="35" bestFit="1" customWidth="1"/>
    <col min="9456" max="9456" width="10" style="35" bestFit="1" customWidth="1"/>
    <col min="9457" max="9457" width="7.140625" style="35" customWidth="1"/>
    <col min="9458" max="9458" width="6.7109375" style="35" bestFit="1" customWidth="1"/>
    <col min="9459" max="9459" width="5.42578125" style="35" bestFit="1" customWidth="1"/>
    <col min="9460" max="9460" width="6.28515625" style="35" bestFit="1" customWidth="1"/>
    <col min="9461" max="9461" width="5.42578125" style="35" customWidth="1"/>
    <col min="9462" max="9462" width="6.7109375" style="35" customWidth="1"/>
    <col min="9463" max="9463" width="7.42578125" style="35" customWidth="1"/>
    <col min="9464" max="9464" width="7.140625" style="35" customWidth="1"/>
    <col min="9465" max="9465" width="9.28515625" style="35" customWidth="1"/>
    <col min="9466" max="9466" width="10.7109375" style="35" customWidth="1"/>
    <col min="9467" max="9467" width="9.140625" style="35" customWidth="1"/>
    <col min="9468" max="9704" width="9.140625" style="35"/>
    <col min="9705" max="9705" width="4.42578125" style="35" bestFit="1" customWidth="1"/>
    <col min="9706" max="9706" width="11.42578125" style="35" bestFit="1" customWidth="1"/>
    <col min="9707" max="9707" width="9.42578125" style="35" bestFit="1" customWidth="1"/>
    <col min="9708" max="9708" width="6.42578125" style="35" bestFit="1" customWidth="1"/>
    <col min="9709" max="9709" width="7.7109375" style="35" bestFit="1" customWidth="1"/>
    <col min="9710" max="9711" width="6.42578125" style="35" bestFit="1" customWidth="1"/>
    <col min="9712" max="9712" width="10" style="35" bestFit="1" customWidth="1"/>
    <col min="9713" max="9713" width="7.140625" style="35" customWidth="1"/>
    <col min="9714" max="9714" width="6.7109375" style="35" bestFit="1" customWidth="1"/>
    <col min="9715" max="9715" width="5.42578125" style="35" bestFit="1" customWidth="1"/>
    <col min="9716" max="9716" width="6.28515625" style="35" bestFit="1" customWidth="1"/>
    <col min="9717" max="9717" width="5.42578125" style="35" customWidth="1"/>
    <col min="9718" max="9718" width="6.7109375" style="35" customWidth="1"/>
    <col min="9719" max="9719" width="7.42578125" style="35" customWidth="1"/>
    <col min="9720" max="9720" width="7.140625" style="35" customWidth="1"/>
    <col min="9721" max="9721" width="9.28515625" style="35" customWidth="1"/>
    <col min="9722" max="9722" width="10.7109375" style="35" customWidth="1"/>
    <col min="9723" max="9723" width="9.140625" style="35" customWidth="1"/>
    <col min="9724" max="9960" width="9.140625" style="35"/>
    <col min="9961" max="9961" width="4.42578125" style="35" bestFit="1" customWidth="1"/>
    <col min="9962" max="9962" width="11.42578125" style="35" bestFit="1" customWidth="1"/>
    <col min="9963" max="9963" width="9.42578125" style="35" bestFit="1" customWidth="1"/>
    <col min="9964" max="9964" width="6.42578125" style="35" bestFit="1" customWidth="1"/>
    <col min="9965" max="9965" width="7.7109375" style="35" bestFit="1" customWidth="1"/>
    <col min="9966" max="9967" width="6.42578125" style="35" bestFit="1" customWidth="1"/>
    <col min="9968" max="9968" width="10" style="35" bestFit="1" customWidth="1"/>
    <col min="9969" max="9969" width="7.140625" style="35" customWidth="1"/>
    <col min="9970" max="9970" width="6.7109375" style="35" bestFit="1" customWidth="1"/>
    <col min="9971" max="9971" width="5.42578125" style="35" bestFit="1" customWidth="1"/>
    <col min="9972" max="9972" width="6.28515625" style="35" bestFit="1" customWidth="1"/>
    <col min="9973" max="9973" width="5.42578125" style="35" customWidth="1"/>
    <col min="9974" max="9974" width="6.7109375" style="35" customWidth="1"/>
    <col min="9975" max="9975" width="7.42578125" style="35" customWidth="1"/>
    <col min="9976" max="9976" width="7.140625" style="35" customWidth="1"/>
    <col min="9977" max="9977" width="9.28515625" style="35" customWidth="1"/>
    <col min="9978" max="9978" width="10.7109375" style="35" customWidth="1"/>
    <col min="9979" max="9979" width="9.140625" style="35" customWidth="1"/>
    <col min="9980" max="10216" width="9.140625" style="35"/>
    <col min="10217" max="10217" width="4.42578125" style="35" bestFit="1" customWidth="1"/>
    <col min="10218" max="10218" width="11.42578125" style="35" bestFit="1" customWidth="1"/>
    <col min="10219" max="10219" width="9.42578125" style="35" bestFit="1" customWidth="1"/>
    <col min="10220" max="10220" width="6.42578125" style="35" bestFit="1" customWidth="1"/>
    <col min="10221" max="10221" width="7.7109375" style="35" bestFit="1" customWidth="1"/>
    <col min="10222" max="10223" width="6.42578125" style="35" bestFit="1" customWidth="1"/>
    <col min="10224" max="10224" width="10" style="35" bestFit="1" customWidth="1"/>
    <col min="10225" max="10225" width="7.140625" style="35" customWidth="1"/>
    <col min="10226" max="10226" width="6.7109375" style="35" bestFit="1" customWidth="1"/>
    <col min="10227" max="10227" width="5.42578125" style="35" bestFit="1" customWidth="1"/>
    <col min="10228" max="10228" width="6.28515625" style="35" bestFit="1" customWidth="1"/>
    <col min="10229" max="10229" width="5.42578125" style="35" customWidth="1"/>
    <col min="10230" max="10230" width="6.7109375" style="35" customWidth="1"/>
    <col min="10231" max="10231" width="7.42578125" style="35" customWidth="1"/>
    <col min="10232" max="10232" width="7.140625" style="35" customWidth="1"/>
    <col min="10233" max="10233" width="9.28515625" style="35" customWidth="1"/>
    <col min="10234" max="10234" width="10.7109375" style="35" customWidth="1"/>
    <col min="10235" max="10235" width="9.140625" style="35" customWidth="1"/>
    <col min="10236" max="10472" width="9.140625" style="35"/>
    <col min="10473" max="10473" width="4.42578125" style="35" bestFit="1" customWidth="1"/>
    <col min="10474" max="10474" width="11.42578125" style="35" bestFit="1" customWidth="1"/>
    <col min="10475" max="10475" width="9.42578125" style="35" bestFit="1" customWidth="1"/>
    <col min="10476" max="10476" width="6.42578125" style="35" bestFit="1" customWidth="1"/>
    <col min="10477" max="10477" width="7.7109375" style="35" bestFit="1" customWidth="1"/>
    <col min="10478" max="10479" width="6.42578125" style="35" bestFit="1" customWidth="1"/>
    <col min="10480" max="10480" width="10" style="35" bestFit="1" customWidth="1"/>
    <col min="10481" max="10481" width="7.140625" style="35" customWidth="1"/>
    <col min="10482" max="10482" width="6.7109375" style="35" bestFit="1" customWidth="1"/>
    <col min="10483" max="10483" width="5.42578125" style="35" bestFit="1" customWidth="1"/>
    <col min="10484" max="10484" width="6.28515625" style="35" bestFit="1" customWidth="1"/>
    <col min="10485" max="10485" width="5.42578125" style="35" customWidth="1"/>
    <col min="10486" max="10486" width="6.7109375" style="35" customWidth="1"/>
    <col min="10487" max="10487" width="7.42578125" style="35" customWidth="1"/>
    <col min="10488" max="10488" width="7.140625" style="35" customWidth="1"/>
    <col min="10489" max="10489" width="9.28515625" style="35" customWidth="1"/>
    <col min="10490" max="10490" width="10.7109375" style="35" customWidth="1"/>
    <col min="10491" max="10491" width="9.140625" style="35" customWidth="1"/>
    <col min="10492" max="10728" width="9.140625" style="35"/>
    <col min="10729" max="10729" width="4.42578125" style="35" bestFit="1" customWidth="1"/>
    <col min="10730" max="10730" width="11.42578125" style="35" bestFit="1" customWidth="1"/>
    <col min="10731" max="10731" width="9.42578125" style="35" bestFit="1" customWidth="1"/>
    <col min="10732" max="10732" width="6.42578125" style="35" bestFit="1" customWidth="1"/>
    <col min="10733" max="10733" width="7.7109375" style="35" bestFit="1" customWidth="1"/>
    <col min="10734" max="10735" width="6.42578125" style="35" bestFit="1" customWidth="1"/>
    <col min="10736" max="10736" width="10" style="35" bestFit="1" customWidth="1"/>
    <col min="10737" max="10737" width="7.140625" style="35" customWidth="1"/>
    <col min="10738" max="10738" width="6.7109375" style="35" bestFit="1" customWidth="1"/>
    <col min="10739" max="10739" width="5.42578125" style="35" bestFit="1" customWidth="1"/>
    <col min="10740" max="10740" width="6.28515625" style="35" bestFit="1" customWidth="1"/>
    <col min="10741" max="10741" width="5.42578125" style="35" customWidth="1"/>
    <col min="10742" max="10742" width="6.7109375" style="35" customWidth="1"/>
    <col min="10743" max="10743" width="7.42578125" style="35" customWidth="1"/>
    <col min="10744" max="10744" width="7.140625" style="35" customWidth="1"/>
    <col min="10745" max="10745" width="9.28515625" style="35" customWidth="1"/>
    <col min="10746" max="10746" width="10.7109375" style="35" customWidth="1"/>
    <col min="10747" max="10747" width="9.140625" style="35" customWidth="1"/>
    <col min="10748" max="10984" width="9.140625" style="35"/>
    <col min="10985" max="10985" width="4.42578125" style="35" bestFit="1" customWidth="1"/>
    <col min="10986" max="10986" width="11.42578125" style="35" bestFit="1" customWidth="1"/>
    <col min="10987" max="10987" width="9.42578125" style="35" bestFit="1" customWidth="1"/>
    <col min="10988" max="10988" width="6.42578125" style="35" bestFit="1" customWidth="1"/>
    <col min="10989" max="10989" width="7.7109375" style="35" bestFit="1" customWidth="1"/>
    <col min="10990" max="10991" width="6.42578125" style="35" bestFit="1" customWidth="1"/>
    <col min="10992" max="10992" width="10" style="35" bestFit="1" customWidth="1"/>
    <col min="10993" max="10993" width="7.140625" style="35" customWidth="1"/>
    <col min="10994" max="10994" width="6.7109375" style="35" bestFit="1" customWidth="1"/>
    <col min="10995" max="10995" width="5.42578125" style="35" bestFit="1" customWidth="1"/>
    <col min="10996" max="10996" width="6.28515625" style="35" bestFit="1" customWidth="1"/>
    <col min="10997" max="10997" width="5.42578125" style="35" customWidth="1"/>
    <col min="10998" max="10998" width="6.7109375" style="35" customWidth="1"/>
    <col min="10999" max="10999" width="7.42578125" style="35" customWidth="1"/>
    <col min="11000" max="11000" width="7.140625" style="35" customWidth="1"/>
    <col min="11001" max="11001" width="9.28515625" style="35" customWidth="1"/>
    <col min="11002" max="11002" width="10.7109375" style="35" customWidth="1"/>
    <col min="11003" max="11003" width="9.140625" style="35" customWidth="1"/>
    <col min="11004" max="11240" width="9.140625" style="35"/>
    <col min="11241" max="11241" width="4.42578125" style="35" bestFit="1" customWidth="1"/>
    <col min="11242" max="11242" width="11.42578125" style="35" bestFit="1" customWidth="1"/>
    <col min="11243" max="11243" width="9.42578125" style="35" bestFit="1" customWidth="1"/>
    <col min="11244" max="11244" width="6.42578125" style="35" bestFit="1" customWidth="1"/>
    <col min="11245" max="11245" width="7.7109375" style="35" bestFit="1" customWidth="1"/>
    <col min="11246" max="11247" width="6.42578125" style="35" bestFit="1" customWidth="1"/>
    <col min="11248" max="11248" width="10" style="35" bestFit="1" customWidth="1"/>
    <col min="11249" max="11249" width="7.140625" style="35" customWidth="1"/>
    <col min="11250" max="11250" width="6.7109375" style="35" bestFit="1" customWidth="1"/>
    <col min="11251" max="11251" width="5.42578125" style="35" bestFit="1" customWidth="1"/>
    <col min="11252" max="11252" width="6.28515625" style="35" bestFit="1" customWidth="1"/>
    <col min="11253" max="11253" width="5.42578125" style="35" customWidth="1"/>
    <col min="11254" max="11254" width="6.7109375" style="35" customWidth="1"/>
    <col min="11255" max="11255" width="7.42578125" style="35" customWidth="1"/>
    <col min="11256" max="11256" width="7.140625" style="35" customWidth="1"/>
    <col min="11257" max="11257" width="9.28515625" style="35" customWidth="1"/>
    <col min="11258" max="11258" width="10.7109375" style="35" customWidth="1"/>
    <col min="11259" max="11259" width="9.140625" style="35" customWidth="1"/>
    <col min="11260" max="11496" width="9.140625" style="35"/>
    <col min="11497" max="11497" width="4.42578125" style="35" bestFit="1" customWidth="1"/>
    <col min="11498" max="11498" width="11.42578125" style="35" bestFit="1" customWidth="1"/>
    <col min="11499" max="11499" width="9.42578125" style="35" bestFit="1" customWidth="1"/>
    <col min="11500" max="11500" width="6.42578125" style="35" bestFit="1" customWidth="1"/>
    <col min="11501" max="11501" width="7.7109375" style="35" bestFit="1" customWidth="1"/>
    <col min="11502" max="11503" width="6.42578125" style="35" bestFit="1" customWidth="1"/>
    <col min="11504" max="11504" width="10" style="35" bestFit="1" customWidth="1"/>
    <col min="11505" max="11505" width="7.140625" style="35" customWidth="1"/>
    <col min="11506" max="11506" width="6.7109375" style="35" bestFit="1" customWidth="1"/>
    <col min="11507" max="11507" width="5.42578125" style="35" bestFit="1" customWidth="1"/>
    <col min="11508" max="11508" width="6.28515625" style="35" bestFit="1" customWidth="1"/>
    <col min="11509" max="11509" width="5.42578125" style="35" customWidth="1"/>
    <col min="11510" max="11510" width="6.7109375" style="35" customWidth="1"/>
    <col min="11511" max="11511" width="7.42578125" style="35" customWidth="1"/>
    <col min="11512" max="11512" width="7.140625" style="35" customWidth="1"/>
    <col min="11513" max="11513" width="9.28515625" style="35" customWidth="1"/>
    <col min="11514" max="11514" width="10.7109375" style="35" customWidth="1"/>
    <col min="11515" max="11515" width="9.140625" style="35" customWidth="1"/>
    <col min="11516" max="11752" width="9.140625" style="35"/>
    <col min="11753" max="11753" width="4.42578125" style="35" bestFit="1" customWidth="1"/>
    <col min="11754" max="11754" width="11.42578125" style="35" bestFit="1" customWidth="1"/>
    <col min="11755" max="11755" width="9.42578125" style="35" bestFit="1" customWidth="1"/>
    <col min="11756" max="11756" width="6.42578125" style="35" bestFit="1" customWidth="1"/>
    <col min="11757" max="11757" width="7.7109375" style="35" bestFit="1" customWidth="1"/>
    <col min="11758" max="11759" width="6.42578125" style="35" bestFit="1" customWidth="1"/>
    <col min="11760" max="11760" width="10" style="35" bestFit="1" customWidth="1"/>
    <col min="11761" max="11761" width="7.140625" style="35" customWidth="1"/>
    <col min="11762" max="11762" width="6.7109375" style="35" bestFit="1" customWidth="1"/>
    <col min="11763" max="11763" width="5.42578125" style="35" bestFit="1" customWidth="1"/>
    <col min="11764" max="11764" width="6.28515625" style="35" bestFit="1" customWidth="1"/>
    <col min="11765" max="11765" width="5.42578125" style="35" customWidth="1"/>
    <col min="11766" max="11766" width="6.7109375" style="35" customWidth="1"/>
    <col min="11767" max="11767" width="7.42578125" style="35" customWidth="1"/>
    <col min="11768" max="11768" width="7.140625" style="35" customWidth="1"/>
    <col min="11769" max="11769" width="9.28515625" style="35" customWidth="1"/>
    <col min="11770" max="11770" width="10.7109375" style="35" customWidth="1"/>
    <col min="11771" max="11771" width="9.140625" style="35" customWidth="1"/>
    <col min="11772" max="12008" width="9.140625" style="35"/>
    <col min="12009" max="12009" width="4.42578125" style="35" bestFit="1" customWidth="1"/>
    <col min="12010" max="12010" width="11.42578125" style="35" bestFit="1" customWidth="1"/>
    <col min="12011" max="12011" width="9.42578125" style="35" bestFit="1" customWidth="1"/>
    <col min="12012" max="12012" width="6.42578125" style="35" bestFit="1" customWidth="1"/>
    <col min="12013" max="12013" width="7.7109375" style="35" bestFit="1" customWidth="1"/>
    <col min="12014" max="12015" width="6.42578125" style="35" bestFit="1" customWidth="1"/>
    <col min="12016" max="12016" width="10" style="35" bestFit="1" customWidth="1"/>
    <col min="12017" max="12017" width="7.140625" style="35" customWidth="1"/>
    <col min="12018" max="12018" width="6.7109375" style="35" bestFit="1" customWidth="1"/>
    <col min="12019" max="12019" width="5.42578125" style="35" bestFit="1" customWidth="1"/>
    <col min="12020" max="12020" width="6.28515625" style="35" bestFit="1" customWidth="1"/>
    <col min="12021" max="12021" width="5.42578125" style="35" customWidth="1"/>
    <col min="12022" max="12022" width="6.7109375" style="35" customWidth="1"/>
    <col min="12023" max="12023" width="7.42578125" style="35" customWidth="1"/>
    <col min="12024" max="12024" width="7.140625" style="35" customWidth="1"/>
    <col min="12025" max="12025" width="9.28515625" style="35" customWidth="1"/>
    <col min="12026" max="12026" width="10.7109375" style="35" customWidth="1"/>
    <col min="12027" max="12027" width="9.140625" style="35" customWidth="1"/>
    <col min="12028" max="12264" width="9.140625" style="35"/>
    <col min="12265" max="12265" width="4.42578125" style="35" bestFit="1" customWidth="1"/>
    <col min="12266" max="12266" width="11.42578125" style="35" bestFit="1" customWidth="1"/>
    <col min="12267" max="12267" width="9.42578125" style="35" bestFit="1" customWidth="1"/>
    <col min="12268" max="12268" width="6.42578125" style="35" bestFit="1" customWidth="1"/>
    <col min="12269" max="12269" width="7.7109375" style="35" bestFit="1" customWidth="1"/>
    <col min="12270" max="12271" width="6.42578125" style="35" bestFit="1" customWidth="1"/>
    <col min="12272" max="12272" width="10" style="35" bestFit="1" customWidth="1"/>
    <col min="12273" max="12273" width="7.140625" style="35" customWidth="1"/>
    <col min="12274" max="12274" width="6.7109375" style="35" bestFit="1" customWidth="1"/>
    <col min="12275" max="12275" width="5.42578125" style="35" bestFit="1" customWidth="1"/>
    <col min="12276" max="12276" width="6.28515625" style="35" bestFit="1" customWidth="1"/>
    <col min="12277" max="12277" width="5.42578125" style="35" customWidth="1"/>
    <col min="12278" max="12278" width="6.7109375" style="35" customWidth="1"/>
    <col min="12279" max="12279" width="7.42578125" style="35" customWidth="1"/>
    <col min="12280" max="12280" width="7.140625" style="35" customWidth="1"/>
    <col min="12281" max="12281" width="9.28515625" style="35" customWidth="1"/>
    <col min="12282" max="12282" width="10.7109375" style="35" customWidth="1"/>
    <col min="12283" max="12283" width="9.140625" style="35" customWidth="1"/>
    <col min="12284" max="12520" width="9.140625" style="35"/>
    <col min="12521" max="12521" width="4.42578125" style="35" bestFit="1" customWidth="1"/>
    <col min="12522" max="12522" width="11.42578125" style="35" bestFit="1" customWidth="1"/>
    <col min="12523" max="12523" width="9.42578125" style="35" bestFit="1" customWidth="1"/>
    <col min="12524" max="12524" width="6.42578125" style="35" bestFit="1" customWidth="1"/>
    <col min="12525" max="12525" width="7.7109375" style="35" bestFit="1" customWidth="1"/>
    <col min="12526" max="12527" width="6.42578125" style="35" bestFit="1" customWidth="1"/>
    <col min="12528" max="12528" width="10" style="35" bestFit="1" customWidth="1"/>
    <col min="12529" max="12529" width="7.140625" style="35" customWidth="1"/>
    <col min="12530" max="12530" width="6.7109375" style="35" bestFit="1" customWidth="1"/>
    <col min="12531" max="12531" width="5.42578125" style="35" bestFit="1" customWidth="1"/>
    <col min="12532" max="12532" width="6.28515625" style="35" bestFit="1" customWidth="1"/>
    <col min="12533" max="12533" width="5.42578125" style="35" customWidth="1"/>
    <col min="12534" max="12534" width="6.7109375" style="35" customWidth="1"/>
    <col min="12535" max="12535" width="7.42578125" style="35" customWidth="1"/>
    <col min="12536" max="12536" width="7.140625" style="35" customWidth="1"/>
    <col min="12537" max="12537" width="9.28515625" style="35" customWidth="1"/>
    <col min="12538" max="12538" width="10.7109375" style="35" customWidth="1"/>
    <col min="12539" max="12539" width="9.140625" style="35" customWidth="1"/>
    <col min="12540" max="12776" width="9.140625" style="35"/>
    <col min="12777" max="12777" width="4.42578125" style="35" bestFit="1" customWidth="1"/>
    <col min="12778" max="12778" width="11.42578125" style="35" bestFit="1" customWidth="1"/>
    <col min="12779" max="12779" width="9.42578125" style="35" bestFit="1" customWidth="1"/>
    <col min="12780" max="12780" width="6.42578125" style="35" bestFit="1" customWidth="1"/>
    <col min="12781" max="12781" width="7.7109375" style="35" bestFit="1" customWidth="1"/>
    <col min="12782" max="12783" width="6.42578125" style="35" bestFit="1" customWidth="1"/>
    <col min="12784" max="12784" width="10" style="35" bestFit="1" customWidth="1"/>
    <col min="12785" max="12785" width="7.140625" style="35" customWidth="1"/>
    <col min="12786" max="12786" width="6.7109375" style="35" bestFit="1" customWidth="1"/>
    <col min="12787" max="12787" width="5.42578125" style="35" bestFit="1" customWidth="1"/>
    <col min="12788" max="12788" width="6.28515625" style="35" bestFit="1" customWidth="1"/>
    <col min="12789" max="12789" width="5.42578125" style="35" customWidth="1"/>
    <col min="12790" max="12790" width="6.7109375" style="35" customWidth="1"/>
    <col min="12791" max="12791" width="7.42578125" style="35" customWidth="1"/>
    <col min="12792" max="12792" width="7.140625" style="35" customWidth="1"/>
    <col min="12793" max="12793" width="9.28515625" style="35" customWidth="1"/>
    <col min="12794" max="12794" width="10.7109375" style="35" customWidth="1"/>
    <col min="12795" max="12795" width="9.140625" style="35" customWidth="1"/>
    <col min="12796" max="13032" width="9.140625" style="35"/>
    <col min="13033" max="13033" width="4.42578125" style="35" bestFit="1" customWidth="1"/>
    <col min="13034" max="13034" width="11.42578125" style="35" bestFit="1" customWidth="1"/>
    <col min="13035" max="13035" width="9.42578125" style="35" bestFit="1" customWidth="1"/>
    <col min="13036" max="13036" width="6.42578125" style="35" bestFit="1" customWidth="1"/>
    <col min="13037" max="13037" width="7.7109375" style="35" bestFit="1" customWidth="1"/>
    <col min="13038" max="13039" width="6.42578125" style="35" bestFit="1" customWidth="1"/>
    <col min="13040" max="13040" width="10" style="35" bestFit="1" customWidth="1"/>
    <col min="13041" max="13041" width="7.140625" style="35" customWidth="1"/>
    <col min="13042" max="13042" width="6.7109375" style="35" bestFit="1" customWidth="1"/>
    <col min="13043" max="13043" width="5.42578125" style="35" bestFit="1" customWidth="1"/>
    <col min="13044" max="13044" width="6.28515625" style="35" bestFit="1" customWidth="1"/>
    <col min="13045" max="13045" width="5.42578125" style="35" customWidth="1"/>
    <col min="13046" max="13046" width="6.7109375" style="35" customWidth="1"/>
    <col min="13047" max="13047" width="7.42578125" style="35" customWidth="1"/>
    <col min="13048" max="13048" width="7.140625" style="35" customWidth="1"/>
    <col min="13049" max="13049" width="9.28515625" style="35" customWidth="1"/>
    <col min="13050" max="13050" width="10.7109375" style="35" customWidth="1"/>
    <col min="13051" max="13051" width="9.140625" style="35" customWidth="1"/>
    <col min="13052" max="13288" width="9.140625" style="35"/>
    <col min="13289" max="13289" width="4.42578125" style="35" bestFit="1" customWidth="1"/>
    <col min="13290" max="13290" width="11.42578125" style="35" bestFit="1" customWidth="1"/>
    <col min="13291" max="13291" width="9.42578125" style="35" bestFit="1" customWidth="1"/>
    <col min="13292" max="13292" width="6.42578125" style="35" bestFit="1" customWidth="1"/>
    <col min="13293" max="13293" width="7.7109375" style="35" bestFit="1" customWidth="1"/>
    <col min="13294" max="13295" width="6.42578125" style="35" bestFit="1" customWidth="1"/>
    <col min="13296" max="13296" width="10" style="35" bestFit="1" customWidth="1"/>
    <col min="13297" max="13297" width="7.140625" style="35" customWidth="1"/>
    <col min="13298" max="13298" width="6.7109375" style="35" bestFit="1" customWidth="1"/>
    <col min="13299" max="13299" width="5.42578125" style="35" bestFit="1" customWidth="1"/>
    <col min="13300" max="13300" width="6.28515625" style="35" bestFit="1" customWidth="1"/>
    <col min="13301" max="13301" width="5.42578125" style="35" customWidth="1"/>
    <col min="13302" max="13302" width="6.7109375" style="35" customWidth="1"/>
    <col min="13303" max="13303" width="7.42578125" style="35" customWidth="1"/>
    <col min="13304" max="13304" width="7.140625" style="35" customWidth="1"/>
    <col min="13305" max="13305" width="9.28515625" style="35" customWidth="1"/>
    <col min="13306" max="13306" width="10.7109375" style="35" customWidth="1"/>
    <col min="13307" max="13307" width="9.140625" style="35" customWidth="1"/>
    <col min="13308" max="13544" width="9.140625" style="35"/>
    <col min="13545" max="13545" width="4.42578125" style="35" bestFit="1" customWidth="1"/>
    <col min="13546" max="13546" width="11.42578125" style="35" bestFit="1" customWidth="1"/>
    <col min="13547" max="13547" width="9.42578125" style="35" bestFit="1" customWidth="1"/>
    <col min="13548" max="13548" width="6.42578125" style="35" bestFit="1" customWidth="1"/>
    <col min="13549" max="13549" width="7.7109375" style="35" bestFit="1" customWidth="1"/>
    <col min="13550" max="13551" width="6.42578125" style="35" bestFit="1" customWidth="1"/>
    <col min="13552" max="13552" width="10" style="35" bestFit="1" customWidth="1"/>
    <col min="13553" max="13553" width="7.140625" style="35" customWidth="1"/>
    <col min="13554" max="13554" width="6.7109375" style="35" bestFit="1" customWidth="1"/>
    <col min="13555" max="13555" width="5.42578125" style="35" bestFit="1" customWidth="1"/>
    <col min="13556" max="13556" width="6.28515625" style="35" bestFit="1" customWidth="1"/>
    <col min="13557" max="13557" width="5.42578125" style="35" customWidth="1"/>
    <col min="13558" max="13558" width="6.7109375" style="35" customWidth="1"/>
    <col min="13559" max="13559" width="7.42578125" style="35" customWidth="1"/>
    <col min="13560" max="13560" width="7.140625" style="35" customWidth="1"/>
    <col min="13561" max="13561" width="9.28515625" style="35" customWidth="1"/>
    <col min="13562" max="13562" width="10.7109375" style="35" customWidth="1"/>
    <col min="13563" max="13563" width="9.140625" style="35" customWidth="1"/>
    <col min="13564" max="13800" width="9.140625" style="35"/>
    <col min="13801" max="13801" width="4.42578125" style="35" bestFit="1" customWidth="1"/>
    <col min="13802" max="13802" width="11.42578125" style="35" bestFit="1" customWidth="1"/>
    <col min="13803" max="13803" width="9.42578125" style="35" bestFit="1" customWidth="1"/>
    <col min="13804" max="13804" width="6.42578125" style="35" bestFit="1" customWidth="1"/>
    <col min="13805" max="13805" width="7.7109375" style="35" bestFit="1" customWidth="1"/>
    <col min="13806" max="13807" width="6.42578125" style="35" bestFit="1" customWidth="1"/>
    <col min="13808" max="13808" width="10" style="35" bestFit="1" customWidth="1"/>
    <col min="13809" max="13809" width="7.140625" style="35" customWidth="1"/>
    <col min="13810" max="13810" width="6.7109375" style="35" bestFit="1" customWidth="1"/>
    <col min="13811" max="13811" width="5.42578125" style="35" bestFit="1" customWidth="1"/>
    <col min="13812" max="13812" width="6.28515625" style="35" bestFit="1" customWidth="1"/>
    <col min="13813" max="13813" width="5.42578125" style="35" customWidth="1"/>
    <col min="13814" max="13814" width="6.7109375" style="35" customWidth="1"/>
    <col min="13815" max="13815" width="7.42578125" style="35" customWidth="1"/>
    <col min="13816" max="13816" width="7.140625" style="35" customWidth="1"/>
    <col min="13817" max="13817" width="9.28515625" style="35" customWidth="1"/>
    <col min="13818" max="13818" width="10.7109375" style="35" customWidth="1"/>
    <col min="13819" max="13819" width="9.140625" style="35" customWidth="1"/>
    <col min="13820" max="14056" width="9.140625" style="35"/>
    <col min="14057" max="14057" width="4.42578125" style="35" bestFit="1" customWidth="1"/>
    <col min="14058" max="14058" width="11.42578125" style="35" bestFit="1" customWidth="1"/>
    <col min="14059" max="14059" width="9.42578125" style="35" bestFit="1" customWidth="1"/>
    <col min="14060" max="14060" width="6.42578125" style="35" bestFit="1" customWidth="1"/>
    <col min="14061" max="14061" width="7.7109375" style="35" bestFit="1" customWidth="1"/>
    <col min="14062" max="14063" width="6.42578125" style="35" bestFit="1" customWidth="1"/>
    <col min="14064" max="14064" width="10" style="35" bestFit="1" customWidth="1"/>
    <col min="14065" max="14065" width="7.140625" style="35" customWidth="1"/>
    <col min="14066" max="14066" width="6.7109375" style="35" bestFit="1" customWidth="1"/>
    <col min="14067" max="14067" width="5.42578125" style="35" bestFit="1" customWidth="1"/>
    <col min="14068" max="14068" width="6.28515625" style="35" bestFit="1" customWidth="1"/>
    <col min="14069" max="14069" width="5.42578125" style="35" customWidth="1"/>
    <col min="14070" max="14070" width="6.7109375" style="35" customWidth="1"/>
    <col min="14071" max="14071" width="7.42578125" style="35" customWidth="1"/>
    <col min="14072" max="14072" width="7.140625" style="35" customWidth="1"/>
    <col min="14073" max="14073" width="9.28515625" style="35" customWidth="1"/>
    <col min="14074" max="14074" width="10.7109375" style="35" customWidth="1"/>
    <col min="14075" max="14075" width="9.140625" style="35" customWidth="1"/>
    <col min="14076" max="14312" width="9.140625" style="35"/>
    <col min="14313" max="14313" width="4.42578125" style="35" bestFit="1" customWidth="1"/>
    <col min="14314" max="14314" width="11.42578125" style="35" bestFit="1" customWidth="1"/>
    <col min="14315" max="14315" width="9.42578125" style="35" bestFit="1" customWidth="1"/>
    <col min="14316" max="14316" width="6.42578125" style="35" bestFit="1" customWidth="1"/>
    <col min="14317" max="14317" width="7.7109375" style="35" bestFit="1" customWidth="1"/>
    <col min="14318" max="14319" width="6.42578125" style="35" bestFit="1" customWidth="1"/>
    <col min="14320" max="14320" width="10" style="35" bestFit="1" customWidth="1"/>
    <col min="14321" max="14321" width="7.140625" style="35" customWidth="1"/>
    <col min="14322" max="14322" width="6.7109375" style="35" bestFit="1" customWidth="1"/>
    <col min="14323" max="14323" width="5.42578125" style="35" bestFit="1" customWidth="1"/>
    <col min="14324" max="14324" width="6.28515625" style="35" bestFit="1" customWidth="1"/>
    <col min="14325" max="14325" width="5.42578125" style="35" customWidth="1"/>
    <col min="14326" max="14326" width="6.7109375" style="35" customWidth="1"/>
    <col min="14327" max="14327" width="7.42578125" style="35" customWidth="1"/>
    <col min="14328" max="14328" width="7.140625" style="35" customWidth="1"/>
    <col min="14329" max="14329" width="9.28515625" style="35" customWidth="1"/>
    <col min="14330" max="14330" width="10.7109375" style="35" customWidth="1"/>
    <col min="14331" max="14331" width="9.140625" style="35" customWidth="1"/>
    <col min="14332" max="14568" width="9.140625" style="35"/>
    <col min="14569" max="14569" width="4.42578125" style="35" bestFit="1" customWidth="1"/>
    <col min="14570" max="14570" width="11.42578125" style="35" bestFit="1" customWidth="1"/>
    <col min="14571" max="14571" width="9.42578125" style="35" bestFit="1" customWidth="1"/>
    <col min="14572" max="14572" width="6.42578125" style="35" bestFit="1" customWidth="1"/>
    <col min="14573" max="14573" width="7.7109375" style="35" bestFit="1" customWidth="1"/>
    <col min="14574" max="14575" width="6.42578125" style="35" bestFit="1" customWidth="1"/>
    <col min="14576" max="14576" width="10" style="35" bestFit="1" customWidth="1"/>
    <col min="14577" max="14577" width="7.140625" style="35" customWidth="1"/>
    <col min="14578" max="14578" width="6.7109375" style="35" bestFit="1" customWidth="1"/>
    <col min="14579" max="14579" width="5.42578125" style="35" bestFit="1" customWidth="1"/>
    <col min="14580" max="14580" width="6.28515625" style="35" bestFit="1" customWidth="1"/>
    <col min="14581" max="14581" width="5.42578125" style="35" customWidth="1"/>
    <col min="14582" max="14582" width="6.7109375" style="35" customWidth="1"/>
    <col min="14583" max="14583" width="7.42578125" style="35" customWidth="1"/>
    <col min="14584" max="14584" width="7.140625" style="35" customWidth="1"/>
    <col min="14585" max="14585" width="9.28515625" style="35" customWidth="1"/>
    <col min="14586" max="14586" width="10.7109375" style="35" customWidth="1"/>
    <col min="14587" max="14587" width="9.140625" style="35" customWidth="1"/>
    <col min="14588" max="14824" width="9.140625" style="35"/>
    <col min="14825" max="14825" width="4.42578125" style="35" bestFit="1" customWidth="1"/>
    <col min="14826" max="14826" width="11.42578125" style="35" bestFit="1" customWidth="1"/>
    <col min="14827" max="14827" width="9.42578125" style="35" bestFit="1" customWidth="1"/>
    <col min="14828" max="14828" width="6.42578125" style="35" bestFit="1" customWidth="1"/>
    <col min="14829" max="14829" width="7.7109375" style="35" bestFit="1" customWidth="1"/>
    <col min="14830" max="14831" width="6.42578125" style="35" bestFit="1" customWidth="1"/>
    <col min="14832" max="14832" width="10" style="35" bestFit="1" customWidth="1"/>
    <col min="14833" max="14833" width="7.140625" style="35" customWidth="1"/>
    <col min="14834" max="14834" width="6.7109375" style="35" bestFit="1" customWidth="1"/>
    <col min="14835" max="14835" width="5.42578125" style="35" bestFit="1" customWidth="1"/>
    <col min="14836" max="14836" width="6.28515625" style="35" bestFit="1" customWidth="1"/>
    <col min="14837" max="14837" width="5.42578125" style="35" customWidth="1"/>
    <col min="14838" max="14838" width="6.7109375" style="35" customWidth="1"/>
    <col min="14839" max="14839" width="7.42578125" style="35" customWidth="1"/>
    <col min="14840" max="14840" width="7.140625" style="35" customWidth="1"/>
    <col min="14841" max="14841" width="9.28515625" style="35" customWidth="1"/>
    <col min="14842" max="14842" width="10.7109375" style="35" customWidth="1"/>
    <col min="14843" max="14843" width="9.140625" style="35" customWidth="1"/>
    <col min="14844" max="15080" width="9.140625" style="35"/>
    <col min="15081" max="15081" width="4.42578125" style="35" bestFit="1" customWidth="1"/>
    <col min="15082" max="15082" width="11.42578125" style="35" bestFit="1" customWidth="1"/>
    <col min="15083" max="15083" width="9.42578125" style="35" bestFit="1" customWidth="1"/>
    <col min="15084" max="15084" width="6.42578125" style="35" bestFit="1" customWidth="1"/>
    <col min="15085" max="15085" width="7.7109375" style="35" bestFit="1" customWidth="1"/>
    <col min="15086" max="15087" width="6.42578125" style="35" bestFit="1" customWidth="1"/>
    <col min="15088" max="15088" width="10" style="35" bestFit="1" customWidth="1"/>
    <col min="15089" max="15089" width="7.140625" style="35" customWidth="1"/>
    <col min="15090" max="15090" width="6.7109375" style="35" bestFit="1" customWidth="1"/>
    <col min="15091" max="15091" width="5.42578125" style="35" bestFit="1" customWidth="1"/>
    <col min="15092" max="15092" width="6.28515625" style="35" bestFit="1" customWidth="1"/>
    <col min="15093" max="15093" width="5.42578125" style="35" customWidth="1"/>
    <col min="15094" max="15094" width="6.7109375" style="35" customWidth="1"/>
    <col min="15095" max="15095" width="7.42578125" style="35" customWidth="1"/>
    <col min="15096" max="15096" width="7.140625" style="35" customWidth="1"/>
    <col min="15097" max="15097" width="9.28515625" style="35" customWidth="1"/>
    <col min="15098" max="15098" width="10.7109375" style="35" customWidth="1"/>
    <col min="15099" max="15099" width="9.140625" style="35" customWidth="1"/>
    <col min="15100" max="15336" width="9.140625" style="35"/>
    <col min="15337" max="15337" width="4.42578125" style="35" bestFit="1" customWidth="1"/>
    <col min="15338" max="15338" width="11.42578125" style="35" bestFit="1" customWidth="1"/>
    <col min="15339" max="15339" width="9.42578125" style="35" bestFit="1" customWidth="1"/>
    <col min="15340" max="15340" width="6.42578125" style="35" bestFit="1" customWidth="1"/>
    <col min="15341" max="15341" width="7.7109375" style="35" bestFit="1" customWidth="1"/>
    <col min="15342" max="15343" width="6.42578125" style="35" bestFit="1" customWidth="1"/>
    <col min="15344" max="15344" width="10" style="35" bestFit="1" customWidth="1"/>
    <col min="15345" max="15345" width="7.140625" style="35" customWidth="1"/>
    <col min="15346" max="15346" width="6.7109375" style="35" bestFit="1" customWidth="1"/>
    <col min="15347" max="15347" width="5.42578125" style="35" bestFit="1" customWidth="1"/>
    <col min="15348" max="15348" width="6.28515625" style="35" bestFit="1" customWidth="1"/>
    <col min="15349" max="15349" width="5.42578125" style="35" customWidth="1"/>
    <col min="15350" max="15350" width="6.7109375" style="35" customWidth="1"/>
    <col min="15351" max="15351" width="7.42578125" style="35" customWidth="1"/>
    <col min="15352" max="15352" width="7.140625" style="35" customWidth="1"/>
    <col min="15353" max="15353" width="9.28515625" style="35" customWidth="1"/>
    <col min="15354" max="15354" width="10.7109375" style="35" customWidth="1"/>
    <col min="15355" max="15355" width="9.140625" style="35" customWidth="1"/>
    <col min="15356" max="15592" width="9.140625" style="35"/>
    <col min="15593" max="15593" width="4.42578125" style="35" bestFit="1" customWidth="1"/>
    <col min="15594" max="15594" width="11.42578125" style="35" bestFit="1" customWidth="1"/>
    <col min="15595" max="15595" width="9.42578125" style="35" bestFit="1" customWidth="1"/>
    <col min="15596" max="15596" width="6.42578125" style="35" bestFit="1" customWidth="1"/>
    <col min="15597" max="15597" width="7.7109375" style="35" bestFit="1" customWidth="1"/>
    <col min="15598" max="15599" width="6.42578125" style="35" bestFit="1" customWidth="1"/>
    <col min="15600" max="15600" width="10" style="35" bestFit="1" customWidth="1"/>
    <col min="15601" max="15601" width="7.140625" style="35" customWidth="1"/>
    <col min="15602" max="15602" width="6.7109375" style="35" bestFit="1" customWidth="1"/>
    <col min="15603" max="15603" width="5.42578125" style="35" bestFit="1" customWidth="1"/>
    <col min="15604" max="15604" width="6.28515625" style="35" bestFit="1" customWidth="1"/>
    <col min="15605" max="15605" width="5.42578125" style="35" customWidth="1"/>
    <col min="15606" max="15606" width="6.7109375" style="35" customWidth="1"/>
    <col min="15607" max="15607" width="7.42578125" style="35" customWidth="1"/>
    <col min="15608" max="15608" width="7.140625" style="35" customWidth="1"/>
    <col min="15609" max="15609" width="9.28515625" style="35" customWidth="1"/>
    <col min="15610" max="15610" width="10.7109375" style="35" customWidth="1"/>
    <col min="15611" max="15611" width="9.140625" style="35" customWidth="1"/>
    <col min="15612" max="15848" width="9.140625" style="35"/>
    <col min="15849" max="15849" width="4.42578125" style="35" bestFit="1" customWidth="1"/>
    <col min="15850" max="15850" width="11.42578125" style="35" bestFit="1" customWidth="1"/>
    <col min="15851" max="15851" width="9.42578125" style="35" bestFit="1" customWidth="1"/>
    <col min="15852" max="15852" width="6.42578125" style="35" bestFit="1" customWidth="1"/>
    <col min="15853" max="15853" width="7.7109375" style="35" bestFit="1" customWidth="1"/>
    <col min="15854" max="15855" width="6.42578125" style="35" bestFit="1" customWidth="1"/>
    <col min="15856" max="15856" width="10" style="35" bestFit="1" customWidth="1"/>
    <col min="15857" max="15857" width="7.140625" style="35" customWidth="1"/>
    <col min="15858" max="15858" width="6.7109375" style="35" bestFit="1" customWidth="1"/>
    <col min="15859" max="15859" width="5.42578125" style="35" bestFit="1" customWidth="1"/>
    <col min="15860" max="15860" width="6.28515625" style="35" bestFit="1" customWidth="1"/>
    <col min="15861" max="15861" width="5.42578125" style="35" customWidth="1"/>
    <col min="15862" max="15862" width="6.7109375" style="35" customWidth="1"/>
    <col min="15863" max="15863" width="7.42578125" style="35" customWidth="1"/>
    <col min="15864" max="15864" width="7.140625" style="35" customWidth="1"/>
    <col min="15865" max="15865" width="9.28515625" style="35" customWidth="1"/>
    <col min="15866" max="15866" width="10.7109375" style="35" customWidth="1"/>
    <col min="15867" max="15867" width="9.140625" style="35" customWidth="1"/>
    <col min="15868" max="16104" width="9.140625" style="35"/>
    <col min="16105" max="16105" width="4.42578125" style="35" bestFit="1" customWidth="1"/>
    <col min="16106" max="16106" width="11.42578125" style="35" bestFit="1" customWidth="1"/>
    <col min="16107" max="16107" width="9.42578125" style="35" bestFit="1" customWidth="1"/>
    <col min="16108" max="16108" width="6.42578125" style="35" bestFit="1" customWidth="1"/>
    <col min="16109" max="16109" width="7.7109375" style="35" bestFit="1" customWidth="1"/>
    <col min="16110" max="16111" width="6.42578125" style="35" bestFit="1" customWidth="1"/>
    <col min="16112" max="16112" width="10" style="35" bestFit="1" customWidth="1"/>
    <col min="16113" max="16113" width="7.140625" style="35" customWidth="1"/>
    <col min="16114" max="16114" width="6.7109375" style="35" bestFit="1" customWidth="1"/>
    <col min="16115" max="16115" width="5.42578125" style="35" bestFit="1" customWidth="1"/>
    <col min="16116" max="16116" width="6.28515625" style="35" bestFit="1" customWidth="1"/>
    <col min="16117" max="16117" width="5.42578125" style="35" customWidth="1"/>
    <col min="16118" max="16118" width="6.7109375" style="35" customWidth="1"/>
    <col min="16119" max="16119" width="7.42578125" style="35" customWidth="1"/>
    <col min="16120" max="16120" width="7.140625" style="35" customWidth="1"/>
    <col min="16121" max="16121" width="9.28515625" style="35" customWidth="1"/>
    <col min="16122" max="16122" width="10.7109375" style="35" customWidth="1"/>
    <col min="16123" max="16123" width="9.140625" style="35" customWidth="1"/>
    <col min="16124" max="16360" width="9.140625" style="35"/>
    <col min="16361" max="16384" width="9.140625" style="35" customWidth="1"/>
  </cols>
  <sheetData>
    <row r="1" spans="1:23"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3">
      <c r="A2" s="74">
        <v>2023</v>
      </c>
      <c r="B2" s="74" t="s">
        <v>31</v>
      </c>
      <c r="C2" s="75">
        <v>30693</v>
      </c>
      <c r="D2" s="76">
        <v>31</v>
      </c>
      <c r="E2" s="77">
        <v>45138</v>
      </c>
      <c r="F2" s="74" t="s">
        <v>32</v>
      </c>
      <c r="G2" s="76" t="s">
        <v>33</v>
      </c>
      <c r="H2" s="76" t="s">
        <v>34</v>
      </c>
      <c r="I2" s="76" t="s">
        <v>33</v>
      </c>
      <c r="J2" s="76" t="s">
        <v>35</v>
      </c>
      <c r="K2" s="74" t="s">
        <v>36</v>
      </c>
      <c r="L2" s="75" t="s">
        <v>37</v>
      </c>
      <c r="M2" s="74" t="s">
        <v>38</v>
      </c>
      <c r="N2" s="75"/>
      <c r="O2" s="75">
        <v>50</v>
      </c>
      <c r="P2" s="75">
        <v>50</v>
      </c>
      <c r="Q2" s="53">
        <v>0</v>
      </c>
      <c r="R2" s="35" t="s">
        <v>39</v>
      </c>
      <c r="T2" s="35" t="s">
        <v>40</v>
      </c>
      <c r="U2" s="35" t="s">
        <v>40</v>
      </c>
    </row>
    <row r="3" spans="1:23">
      <c r="A3" s="74">
        <v>2023</v>
      </c>
      <c r="B3" s="74" t="s">
        <v>41</v>
      </c>
      <c r="C3" s="75">
        <v>30694</v>
      </c>
      <c r="D3" s="76">
        <v>31</v>
      </c>
      <c r="E3" s="77">
        <v>45138</v>
      </c>
      <c r="F3" s="74" t="s">
        <v>32</v>
      </c>
      <c r="G3" s="76" t="s">
        <v>33</v>
      </c>
      <c r="H3" s="76" t="s">
        <v>34</v>
      </c>
      <c r="I3" s="76" t="s">
        <v>33</v>
      </c>
      <c r="J3" s="76" t="s">
        <v>35</v>
      </c>
      <c r="K3" s="74" t="s">
        <v>36</v>
      </c>
      <c r="L3" s="75" t="s">
        <v>37</v>
      </c>
      <c r="M3" s="74" t="s">
        <v>38</v>
      </c>
      <c r="N3" s="75"/>
      <c r="O3" s="75">
        <v>50</v>
      </c>
      <c r="P3" s="75">
        <v>50</v>
      </c>
      <c r="Q3" s="53">
        <v>0</v>
      </c>
      <c r="R3" s="35" t="s">
        <v>39</v>
      </c>
      <c r="T3" s="35" t="s">
        <v>40</v>
      </c>
      <c r="U3" s="35" t="s">
        <v>40</v>
      </c>
    </row>
    <row r="4" spans="1:23">
      <c r="A4" s="74">
        <v>2023</v>
      </c>
      <c r="B4" s="74" t="s">
        <v>42</v>
      </c>
      <c r="C4" s="75">
        <v>30695</v>
      </c>
      <c r="D4" s="76">
        <v>31</v>
      </c>
      <c r="E4" s="77">
        <v>45138</v>
      </c>
      <c r="F4" s="74" t="s">
        <v>32</v>
      </c>
      <c r="G4" s="76" t="s">
        <v>33</v>
      </c>
      <c r="H4" s="76" t="s">
        <v>34</v>
      </c>
      <c r="I4" s="76" t="s">
        <v>33</v>
      </c>
      <c r="J4" s="76" t="s">
        <v>35</v>
      </c>
      <c r="K4" s="74" t="s">
        <v>36</v>
      </c>
      <c r="L4" s="75" t="s">
        <v>37</v>
      </c>
      <c r="M4" s="74" t="s">
        <v>38</v>
      </c>
      <c r="N4" s="75"/>
      <c r="O4" s="75">
        <v>20</v>
      </c>
      <c r="P4" s="75">
        <v>20</v>
      </c>
      <c r="Q4" s="53">
        <v>0</v>
      </c>
      <c r="R4" s="35" t="s">
        <v>39</v>
      </c>
      <c r="T4" s="35" t="s">
        <v>40</v>
      </c>
      <c r="U4" s="35" t="s">
        <v>40</v>
      </c>
    </row>
    <row r="5" spans="1:23">
      <c r="A5" s="74">
        <v>2023</v>
      </c>
      <c r="B5" s="74" t="s">
        <v>43</v>
      </c>
      <c r="C5" s="75">
        <v>30696</v>
      </c>
      <c r="D5" s="76">
        <v>31</v>
      </c>
      <c r="E5" s="77">
        <v>45138</v>
      </c>
      <c r="F5" s="74" t="s">
        <v>32</v>
      </c>
      <c r="G5" s="76" t="s">
        <v>33</v>
      </c>
      <c r="H5" s="76" t="s">
        <v>44</v>
      </c>
      <c r="I5" s="76" t="s">
        <v>33</v>
      </c>
      <c r="J5" s="76" t="s">
        <v>35</v>
      </c>
      <c r="K5" s="74" t="s">
        <v>36</v>
      </c>
      <c r="L5" s="75" t="s">
        <v>37</v>
      </c>
      <c r="M5" s="74" t="s">
        <v>38</v>
      </c>
      <c r="N5" s="75"/>
      <c r="O5" s="75">
        <v>50</v>
      </c>
      <c r="P5" s="75">
        <v>50</v>
      </c>
      <c r="Q5" s="53">
        <v>0</v>
      </c>
      <c r="R5" s="35" t="s">
        <v>39</v>
      </c>
      <c r="T5" s="35" t="s">
        <v>40</v>
      </c>
      <c r="U5" s="35" t="s">
        <v>40</v>
      </c>
    </row>
    <row r="6" spans="1:23" s="83" customFormat="1">
      <c r="A6" s="78">
        <v>2023</v>
      </c>
      <c r="B6" s="78" t="s">
        <v>45</v>
      </c>
      <c r="C6" s="79">
        <v>30697</v>
      </c>
      <c r="D6" s="80">
        <v>31</v>
      </c>
      <c r="E6" s="81">
        <v>45138</v>
      </c>
      <c r="F6" s="78" t="s">
        <v>32</v>
      </c>
      <c r="G6" s="80" t="s">
        <v>33</v>
      </c>
      <c r="H6" s="80" t="s">
        <v>44</v>
      </c>
      <c r="I6" s="80" t="s">
        <v>33</v>
      </c>
      <c r="J6" s="80" t="s">
        <v>35</v>
      </c>
      <c r="K6" s="78" t="s">
        <v>36</v>
      </c>
      <c r="L6" s="79" t="s">
        <v>37</v>
      </c>
      <c r="M6" s="78" t="s">
        <v>38</v>
      </c>
      <c r="N6" s="79"/>
      <c r="O6" s="79">
        <v>50</v>
      </c>
      <c r="P6" s="79">
        <v>50</v>
      </c>
      <c r="Q6" s="82">
        <v>1</v>
      </c>
      <c r="R6" s="83" t="s">
        <v>46</v>
      </c>
      <c r="T6" s="83" t="s">
        <v>40</v>
      </c>
      <c r="U6" s="83" t="s">
        <v>40</v>
      </c>
    </row>
    <row r="7" spans="1:23">
      <c r="A7" s="74">
        <v>2023</v>
      </c>
      <c r="B7" s="74" t="s">
        <v>47</v>
      </c>
      <c r="C7" s="75">
        <v>30698</v>
      </c>
      <c r="D7" s="76">
        <v>31</v>
      </c>
      <c r="E7" s="77">
        <v>45138</v>
      </c>
      <c r="F7" s="74" t="s">
        <v>32</v>
      </c>
      <c r="G7" s="76" t="s">
        <v>33</v>
      </c>
      <c r="H7" s="76" t="s">
        <v>44</v>
      </c>
      <c r="I7" s="76" t="s">
        <v>33</v>
      </c>
      <c r="J7" s="76" t="s">
        <v>35</v>
      </c>
      <c r="K7" s="74" t="s">
        <v>36</v>
      </c>
      <c r="L7" s="75" t="s">
        <v>37</v>
      </c>
      <c r="M7" s="74" t="s">
        <v>38</v>
      </c>
      <c r="N7" s="75"/>
      <c r="O7" s="75">
        <v>50</v>
      </c>
      <c r="P7" s="75">
        <v>50</v>
      </c>
      <c r="Q7" s="53">
        <v>0</v>
      </c>
      <c r="R7" s="35" t="s">
        <v>39</v>
      </c>
      <c r="T7" s="35" t="s">
        <v>40</v>
      </c>
      <c r="U7" s="35" t="s">
        <v>40</v>
      </c>
    </row>
    <row r="8" spans="1:23">
      <c r="A8" s="74">
        <v>2023</v>
      </c>
      <c r="B8" s="74" t="s">
        <v>48</v>
      </c>
      <c r="C8" s="75">
        <v>30699</v>
      </c>
      <c r="D8" s="76">
        <v>31</v>
      </c>
      <c r="E8" s="77">
        <v>45138</v>
      </c>
      <c r="F8" s="74" t="s">
        <v>32</v>
      </c>
      <c r="G8" s="76" t="s">
        <v>33</v>
      </c>
      <c r="H8" s="76" t="s">
        <v>44</v>
      </c>
      <c r="I8" s="76" t="s">
        <v>33</v>
      </c>
      <c r="J8" s="76" t="s">
        <v>35</v>
      </c>
      <c r="K8" s="74" t="s">
        <v>36</v>
      </c>
      <c r="L8" s="75" t="s">
        <v>49</v>
      </c>
      <c r="M8" s="74" t="s">
        <v>38</v>
      </c>
      <c r="N8" s="75"/>
      <c r="O8" s="75">
        <v>4</v>
      </c>
      <c r="P8" s="75">
        <v>4</v>
      </c>
      <c r="Q8" s="53">
        <v>0</v>
      </c>
      <c r="R8" s="35" t="s">
        <v>39</v>
      </c>
      <c r="T8" s="35" t="s">
        <v>50</v>
      </c>
      <c r="U8" s="35" t="s">
        <v>50</v>
      </c>
      <c r="W8" s="35" t="s">
        <v>51</v>
      </c>
    </row>
    <row r="9" spans="1:23" s="83" customFormat="1">
      <c r="A9" s="78">
        <v>2023</v>
      </c>
      <c r="B9" s="78" t="s">
        <v>52</v>
      </c>
      <c r="C9" s="79">
        <v>30700</v>
      </c>
      <c r="D9" s="80">
        <v>31</v>
      </c>
      <c r="E9" s="81">
        <v>45138</v>
      </c>
      <c r="F9" s="78" t="s">
        <v>32</v>
      </c>
      <c r="G9" s="80" t="s">
        <v>53</v>
      </c>
      <c r="H9" s="80" t="s">
        <v>54</v>
      </c>
      <c r="I9" s="80" t="s">
        <v>55</v>
      </c>
      <c r="J9" s="80" t="s">
        <v>35</v>
      </c>
      <c r="K9" s="78" t="s">
        <v>36</v>
      </c>
      <c r="L9" s="79" t="s">
        <v>37</v>
      </c>
      <c r="M9" s="78" t="s">
        <v>38</v>
      </c>
      <c r="N9" s="79"/>
      <c r="O9" s="79">
        <v>50</v>
      </c>
      <c r="P9" s="79">
        <v>50</v>
      </c>
      <c r="Q9" s="82">
        <v>1</v>
      </c>
      <c r="R9" s="83" t="s">
        <v>46</v>
      </c>
      <c r="T9" s="83" t="s">
        <v>56</v>
      </c>
      <c r="U9" s="83" t="s">
        <v>57</v>
      </c>
    </row>
    <row r="10" spans="1:23">
      <c r="A10" s="74">
        <v>2023</v>
      </c>
      <c r="B10" s="74" t="s">
        <v>58</v>
      </c>
      <c r="C10" s="75">
        <v>30701</v>
      </c>
      <c r="D10" s="76">
        <v>31</v>
      </c>
      <c r="E10" s="77">
        <v>45138</v>
      </c>
      <c r="F10" s="74" t="s">
        <v>32</v>
      </c>
      <c r="G10" s="76" t="s">
        <v>53</v>
      </c>
      <c r="H10" s="76" t="s">
        <v>54</v>
      </c>
      <c r="I10" s="76" t="s">
        <v>55</v>
      </c>
      <c r="J10" s="76" t="s">
        <v>35</v>
      </c>
      <c r="K10" s="74" t="s">
        <v>36</v>
      </c>
      <c r="L10" s="75" t="s">
        <v>37</v>
      </c>
      <c r="M10" s="74" t="s">
        <v>38</v>
      </c>
      <c r="N10" s="75"/>
      <c r="O10" s="75">
        <v>50</v>
      </c>
      <c r="P10" s="75">
        <v>50</v>
      </c>
      <c r="Q10" s="53">
        <v>0</v>
      </c>
      <c r="R10" s="35" t="s">
        <v>39</v>
      </c>
      <c r="T10" s="35" t="s">
        <v>56</v>
      </c>
      <c r="U10" s="35" t="s">
        <v>57</v>
      </c>
    </row>
    <row r="11" spans="1:23">
      <c r="A11" s="74">
        <v>2023</v>
      </c>
      <c r="B11" s="74" t="s">
        <v>59</v>
      </c>
      <c r="C11" s="75">
        <v>30702</v>
      </c>
      <c r="D11" s="76">
        <v>31</v>
      </c>
      <c r="E11" s="77">
        <v>45138</v>
      </c>
      <c r="F11" s="74" t="s">
        <v>32</v>
      </c>
      <c r="G11" s="76" t="s">
        <v>53</v>
      </c>
      <c r="H11" s="76" t="s">
        <v>54</v>
      </c>
      <c r="I11" s="76" t="s">
        <v>55</v>
      </c>
      <c r="J11" s="76" t="s">
        <v>35</v>
      </c>
      <c r="K11" s="74" t="s">
        <v>36</v>
      </c>
      <c r="L11" s="75" t="s">
        <v>37</v>
      </c>
      <c r="M11" s="74" t="s">
        <v>38</v>
      </c>
      <c r="N11" s="75"/>
      <c r="O11" s="75">
        <v>50</v>
      </c>
      <c r="P11" s="75">
        <v>50</v>
      </c>
      <c r="Q11" s="53">
        <v>0</v>
      </c>
      <c r="R11" s="35" t="s">
        <v>39</v>
      </c>
      <c r="T11" s="35" t="s">
        <v>56</v>
      </c>
      <c r="U11" s="35" t="s">
        <v>57</v>
      </c>
    </row>
    <row r="12" spans="1:23">
      <c r="A12" s="74">
        <v>2023</v>
      </c>
      <c r="B12" s="74" t="s">
        <v>60</v>
      </c>
      <c r="C12" s="75">
        <v>30703</v>
      </c>
      <c r="D12" s="76">
        <v>31</v>
      </c>
      <c r="E12" s="77">
        <v>45138</v>
      </c>
      <c r="F12" s="74" t="s">
        <v>32</v>
      </c>
      <c r="G12" s="76" t="s">
        <v>53</v>
      </c>
      <c r="H12" s="76" t="s">
        <v>54</v>
      </c>
      <c r="I12" s="76" t="s">
        <v>55</v>
      </c>
      <c r="J12" s="76" t="s">
        <v>35</v>
      </c>
      <c r="K12" s="74" t="s">
        <v>36</v>
      </c>
      <c r="L12" s="75" t="s">
        <v>37</v>
      </c>
      <c r="M12" s="74" t="s">
        <v>38</v>
      </c>
      <c r="N12" s="75"/>
      <c r="O12" s="75">
        <v>31</v>
      </c>
      <c r="P12" s="75">
        <v>31</v>
      </c>
      <c r="Q12" s="53">
        <v>0</v>
      </c>
      <c r="R12" s="35" t="s">
        <v>39</v>
      </c>
      <c r="T12" s="35" t="s">
        <v>56</v>
      </c>
      <c r="U12" s="35" t="s">
        <v>57</v>
      </c>
    </row>
    <row r="13" spans="1:23">
      <c r="A13" s="74">
        <v>2023</v>
      </c>
      <c r="B13" s="74" t="s">
        <v>61</v>
      </c>
      <c r="C13" s="75">
        <v>30704</v>
      </c>
      <c r="D13" s="76">
        <v>31</v>
      </c>
      <c r="E13" s="77">
        <v>45138</v>
      </c>
      <c r="F13" s="74" t="s">
        <v>32</v>
      </c>
      <c r="G13" s="76" t="s">
        <v>53</v>
      </c>
      <c r="H13" s="76" t="s">
        <v>54</v>
      </c>
      <c r="I13" s="76" t="s">
        <v>55</v>
      </c>
      <c r="J13" s="76" t="s">
        <v>35</v>
      </c>
      <c r="K13" s="74" t="s">
        <v>36</v>
      </c>
      <c r="L13" s="75" t="s">
        <v>49</v>
      </c>
      <c r="M13" s="74" t="s">
        <v>38</v>
      </c>
      <c r="N13" s="75"/>
      <c r="O13" s="75">
        <v>45</v>
      </c>
      <c r="P13" s="75">
        <v>45</v>
      </c>
      <c r="Q13" s="53">
        <v>0</v>
      </c>
      <c r="R13" s="35" t="s">
        <v>39</v>
      </c>
      <c r="T13" s="35" t="s">
        <v>62</v>
      </c>
      <c r="U13" s="35" t="s">
        <v>63</v>
      </c>
    </row>
    <row r="14" spans="1:23">
      <c r="A14" s="74">
        <v>2023</v>
      </c>
      <c r="B14" s="74" t="s">
        <v>64</v>
      </c>
      <c r="C14" s="75">
        <v>30705</v>
      </c>
      <c r="D14" s="76">
        <v>31</v>
      </c>
      <c r="E14" s="77">
        <v>45138</v>
      </c>
      <c r="F14" s="74" t="s">
        <v>32</v>
      </c>
      <c r="G14" s="76" t="s">
        <v>53</v>
      </c>
      <c r="H14" s="76" t="s">
        <v>65</v>
      </c>
      <c r="I14" s="76" t="s">
        <v>55</v>
      </c>
      <c r="J14" s="76" t="s">
        <v>35</v>
      </c>
      <c r="K14" s="74" t="s">
        <v>36</v>
      </c>
      <c r="L14" s="75" t="s">
        <v>37</v>
      </c>
      <c r="M14" s="74" t="s">
        <v>38</v>
      </c>
      <c r="N14" s="75"/>
      <c r="O14" s="75">
        <v>50</v>
      </c>
      <c r="P14" s="75">
        <v>50</v>
      </c>
      <c r="Q14" s="53">
        <v>0</v>
      </c>
      <c r="R14" s="35" t="s">
        <v>39</v>
      </c>
      <c r="T14" s="35" t="s">
        <v>56</v>
      </c>
      <c r="U14" s="35" t="s">
        <v>57</v>
      </c>
    </row>
    <row r="15" spans="1:23" s="83" customFormat="1">
      <c r="A15" s="78">
        <v>2023</v>
      </c>
      <c r="B15" s="78" t="s">
        <v>66</v>
      </c>
      <c r="C15" s="79">
        <v>30706</v>
      </c>
      <c r="D15" s="80">
        <v>31</v>
      </c>
      <c r="E15" s="81">
        <v>45138</v>
      </c>
      <c r="F15" s="78" t="s">
        <v>32</v>
      </c>
      <c r="G15" s="80" t="s">
        <v>53</v>
      </c>
      <c r="H15" s="80" t="s">
        <v>65</v>
      </c>
      <c r="I15" s="80" t="s">
        <v>55</v>
      </c>
      <c r="J15" s="80" t="s">
        <v>35</v>
      </c>
      <c r="K15" s="78" t="s">
        <v>36</v>
      </c>
      <c r="L15" s="79" t="s">
        <v>37</v>
      </c>
      <c r="M15" s="78" t="s">
        <v>38</v>
      </c>
      <c r="N15" s="79"/>
      <c r="O15" s="79">
        <v>50</v>
      </c>
      <c r="P15" s="79">
        <v>50</v>
      </c>
      <c r="Q15" s="82">
        <v>1</v>
      </c>
      <c r="R15" s="83" t="s">
        <v>46</v>
      </c>
      <c r="T15" s="83" t="s">
        <v>56</v>
      </c>
      <c r="U15" s="83" t="s">
        <v>57</v>
      </c>
    </row>
    <row r="16" spans="1:23">
      <c r="A16" s="74">
        <v>2023</v>
      </c>
      <c r="B16" s="74" t="s">
        <v>67</v>
      </c>
      <c r="C16" s="75">
        <v>30707</v>
      </c>
      <c r="D16" s="76">
        <v>31</v>
      </c>
      <c r="E16" s="77">
        <v>45138</v>
      </c>
      <c r="F16" s="74" t="s">
        <v>32</v>
      </c>
      <c r="G16" s="76" t="s">
        <v>53</v>
      </c>
      <c r="H16" s="76" t="s">
        <v>65</v>
      </c>
      <c r="I16" s="76" t="s">
        <v>55</v>
      </c>
      <c r="J16" s="76" t="s">
        <v>35</v>
      </c>
      <c r="K16" s="74" t="s">
        <v>36</v>
      </c>
      <c r="L16" s="75" t="s">
        <v>37</v>
      </c>
      <c r="M16" s="74" t="s">
        <v>38</v>
      </c>
      <c r="N16" s="75"/>
      <c r="O16" s="75">
        <v>40</v>
      </c>
      <c r="P16" s="75">
        <v>40</v>
      </c>
      <c r="Q16" s="53">
        <v>0</v>
      </c>
      <c r="R16" s="35" t="s">
        <v>39</v>
      </c>
      <c r="T16" s="35" t="s">
        <v>56</v>
      </c>
      <c r="U16" s="35" t="s">
        <v>57</v>
      </c>
    </row>
    <row r="17" spans="1:21">
      <c r="A17" s="74">
        <v>2023</v>
      </c>
      <c r="B17" s="74" t="s">
        <v>68</v>
      </c>
      <c r="C17" s="75">
        <v>30708</v>
      </c>
      <c r="D17" s="76">
        <v>31</v>
      </c>
      <c r="E17" s="77">
        <v>45138</v>
      </c>
      <c r="F17" s="74" t="s">
        <v>32</v>
      </c>
      <c r="G17" s="76" t="s">
        <v>53</v>
      </c>
      <c r="H17" s="76" t="s">
        <v>65</v>
      </c>
      <c r="I17" s="76" t="s">
        <v>55</v>
      </c>
      <c r="J17" s="76" t="s">
        <v>35</v>
      </c>
      <c r="K17" s="74" t="s">
        <v>36</v>
      </c>
      <c r="L17" s="75" t="s">
        <v>49</v>
      </c>
      <c r="M17" s="74" t="s">
        <v>38</v>
      </c>
      <c r="N17" s="75"/>
      <c r="O17" s="75">
        <v>1</v>
      </c>
      <c r="P17" s="75">
        <v>1</v>
      </c>
      <c r="Q17" s="53">
        <v>0</v>
      </c>
      <c r="R17" s="35" t="s">
        <v>39</v>
      </c>
      <c r="T17" s="35" t="s">
        <v>62</v>
      </c>
      <c r="U17" s="35" t="s">
        <v>63</v>
      </c>
    </row>
    <row r="18" spans="1:21" s="83" customFormat="1">
      <c r="A18" s="78">
        <v>2023</v>
      </c>
      <c r="B18" s="78" t="s">
        <v>69</v>
      </c>
      <c r="C18" s="79">
        <v>30709</v>
      </c>
      <c r="D18" s="80">
        <v>31</v>
      </c>
      <c r="E18" s="81">
        <v>45138</v>
      </c>
      <c r="F18" s="78" t="s">
        <v>32</v>
      </c>
      <c r="G18" s="80" t="s">
        <v>53</v>
      </c>
      <c r="H18" s="80" t="s">
        <v>70</v>
      </c>
      <c r="I18" s="80" t="s">
        <v>55</v>
      </c>
      <c r="J18" s="80" t="s">
        <v>71</v>
      </c>
      <c r="K18" s="78" t="s">
        <v>36</v>
      </c>
      <c r="L18" s="79" t="s">
        <v>49</v>
      </c>
      <c r="M18" s="78" t="s">
        <v>38</v>
      </c>
      <c r="N18" s="79">
        <v>48</v>
      </c>
      <c r="O18" s="79"/>
      <c r="P18" s="79">
        <v>48</v>
      </c>
      <c r="Q18" s="82">
        <v>1</v>
      </c>
      <c r="R18" s="83" t="s">
        <v>46</v>
      </c>
      <c r="T18" s="83" t="s">
        <v>62</v>
      </c>
      <c r="U18" s="83" t="s">
        <v>63</v>
      </c>
    </row>
    <row r="19" spans="1:21" s="83" customFormat="1">
      <c r="A19" s="78">
        <v>2023</v>
      </c>
      <c r="B19" s="78" t="s">
        <v>72</v>
      </c>
      <c r="C19" s="79">
        <v>30710</v>
      </c>
      <c r="D19" s="80">
        <v>31</v>
      </c>
      <c r="E19" s="81">
        <v>45138</v>
      </c>
      <c r="F19" s="78" t="s">
        <v>32</v>
      </c>
      <c r="G19" s="80" t="s">
        <v>53</v>
      </c>
      <c r="H19" s="80" t="s">
        <v>73</v>
      </c>
      <c r="I19" s="80" t="s">
        <v>55</v>
      </c>
      <c r="J19" s="80" t="s">
        <v>35</v>
      </c>
      <c r="K19" s="78" t="s">
        <v>36</v>
      </c>
      <c r="L19" s="79" t="s">
        <v>37</v>
      </c>
      <c r="M19" s="78" t="s">
        <v>38</v>
      </c>
      <c r="N19" s="79"/>
      <c r="O19" s="79">
        <v>50</v>
      </c>
      <c r="P19" s="79">
        <v>50</v>
      </c>
      <c r="Q19" s="82">
        <v>1</v>
      </c>
      <c r="R19" s="83" t="s">
        <v>46</v>
      </c>
      <c r="T19" s="83" t="s">
        <v>56</v>
      </c>
      <c r="U19" s="83" t="s">
        <v>57</v>
      </c>
    </row>
    <row r="20" spans="1:21">
      <c r="A20" s="74">
        <v>2023</v>
      </c>
      <c r="B20" s="74" t="s">
        <v>74</v>
      </c>
      <c r="C20" s="75">
        <v>30711</v>
      </c>
      <c r="D20" s="76">
        <v>31</v>
      </c>
      <c r="E20" s="77">
        <v>45138</v>
      </c>
      <c r="F20" s="74" t="s">
        <v>32</v>
      </c>
      <c r="G20" s="76" t="s">
        <v>53</v>
      </c>
      <c r="H20" s="76" t="s">
        <v>73</v>
      </c>
      <c r="I20" s="76" t="s">
        <v>55</v>
      </c>
      <c r="J20" s="76" t="s">
        <v>35</v>
      </c>
      <c r="K20" s="74" t="s">
        <v>36</v>
      </c>
      <c r="L20" s="75" t="s">
        <v>37</v>
      </c>
      <c r="M20" s="74" t="s">
        <v>38</v>
      </c>
      <c r="N20" s="75"/>
      <c r="O20" s="75">
        <v>12</v>
      </c>
      <c r="P20" s="75">
        <v>12</v>
      </c>
      <c r="Q20" s="53">
        <v>0</v>
      </c>
      <c r="R20" s="35" t="s">
        <v>39</v>
      </c>
      <c r="T20" s="35" t="s">
        <v>56</v>
      </c>
      <c r="U20" s="35" t="s">
        <v>57</v>
      </c>
    </row>
    <row r="21" spans="1:21">
      <c r="A21" s="74">
        <v>2023</v>
      </c>
      <c r="B21" s="74" t="s">
        <v>75</v>
      </c>
      <c r="C21" s="75">
        <v>30712</v>
      </c>
      <c r="D21" s="76">
        <v>31</v>
      </c>
      <c r="E21" s="77">
        <v>45138</v>
      </c>
      <c r="F21" s="74" t="s">
        <v>32</v>
      </c>
      <c r="G21" s="76" t="s">
        <v>53</v>
      </c>
      <c r="H21" s="76" t="s">
        <v>73</v>
      </c>
      <c r="I21" s="76" t="s">
        <v>55</v>
      </c>
      <c r="J21" s="76" t="s">
        <v>35</v>
      </c>
      <c r="K21" s="74" t="s">
        <v>36</v>
      </c>
      <c r="L21" s="75" t="s">
        <v>49</v>
      </c>
      <c r="M21" s="74" t="s">
        <v>38</v>
      </c>
      <c r="N21" s="75"/>
      <c r="O21" s="75">
        <v>2</v>
      </c>
      <c r="P21" s="75">
        <v>2</v>
      </c>
      <c r="Q21" s="53">
        <v>0</v>
      </c>
      <c r="R21" s="35" t="s">
        <v>39</v>
      </c>
      <c r="T21" s="35" t="s">
        <v>62</v>
      </c>
      <c r="U21" s="35" t="s">
        <v>63</v>
      </c>
    </row>
    <row r="22" spans="1:21">
      <c r="A22" s="74">
        <v>2023</v>
      </c>
      <c r="B22" s="74" t="s">
        <v>76</v>
      </c>
      <c r="C22" s="75">
        <v>30713</v>
      </c>
      <c r="D22" s="76">
        <v>31</v>
      </c>
      <c r="E22" s="77">
        <v>45138</v>
      </c>
      <c r="F22" s="74" t="s">
        <v>32</v>
      </c>
      <c r="G22" s="76" t="s">
        <v>53</v>
      </c>
      <c r="H22" s="76" t="s">
        <v>77</v>
      </c>
      <c r="I22" s="76" t="s">
        <v>55</v>
      </c>
      <c r="J22" s="76" t="s">
        <v>35</v>
      </c>
      <c r="K22" s="74" t="s">
        <v>36</v>
      </c>
      <c r="L22" s="75" t="s">
        <v>37</v>
      </c>
      <c r="M22" s="74" t="s">
        <v>38</v>
      </c>
      <c r="N22" s="75"/>
      <c r="O22" s="75">
        <v>50</v>
      </c>
      <c r="P22" s="75">
        <v>50</v>
      </c>
      <c r="Q22" s="53">
        <v>0</v>
      </c>
      <c r="R22" s="35" t="s">
        <v>39</v>
      </c>
      <c r="T22" s="35" t="s">
        <v>56</v>
      </c>
      <c r="U22" s="35" t="s">
        <v>57</v>
      </c>
    </row>
    <row r="23" spans="1:21">
      <c r="A23" s="74">
        <v>2023</v>
      </c>
      <c r="B23" s="74" t="s">
        <v>78</v>
      </c>
      <c r="C23" s="75">
        <v>30714</v>
      </c>
      <c r="D23" s="76">
        <v>31</v>
      </c>
      <c r="E23" s="77">
        <v>45138</v>
      </c>
      <c r="F23" s="74" t="s">
        <v>32</v>
      </c>
      <c r="G23" s="76" t="s">
        <v>53</v>
      </c>
      <c r="H23" s="76" t="s">
        <v>77</v>
      </c>
      <c r="I23" s="76" t="s">
        <v>55</v>
      </c>
      <c r="J23" s="76" t="s">
        <v>35</v>
      </c>
      <c r="K23" s="74" t="s">
        <v>36</v>
      </c>
      <c r="L23" s="75" t="s">
        <v>37</v>
      </c>
      <c r="M23" s="74" t="s">
        <v>38</v>
      </c>
      <c r="N23" s="75"/>
      <c r="O23" s="75">
        <v>29</v>
      </c>
      <c r="P23" s="75">
        <v>29</v>
      </c>
      <c r="Q23" s="53">
        <v>0</v>
      </c>
      <c r="R23" s="35" t="s">
        <v>39</v>
      </c>
      <c r="T23" s="35" t="s">
        <v>56</v>
      </c>
      <c r="U23" s="35" t="s">
        <v>57</v>
      </c>
    </row>
    <row r="24" spans="1:21" s="83" customFormat="1">
      <c r="A24" s="78">
        <v>2023</v>
      </c>
      <c r="B24" s="78" t="s">
        <v>79</v>
      </c>
      <c r="C24" s="79">
        <v>30715</v>
      </c>
      <c r="D24" s="80">
        <v>31</v>
      </c>
      <c r="E24" s="81">
        <v>45138</v>
      </c>
      <c r="F24" s="78" t="s">
        <v>32</v>
      </c>
      <c r="G24" s="80" t="s">
        <v>53</v>
      </c>
      <c r="H24" s="80" t="s">
        <v>77</v>
      </c>
      <c r="I24" s="80" t="s">
        <v>55</v>
      </c>
      <c r="J24" s="80" t="s">
        <v>35</v>
      </c>
      <c r="K24" s="78" t="s">
        <v>36</v>
      </c>
      <c r="L24" s="79" t="s">
        <v>49</v>
      </c>
      <c r="M24" s="78" t="s">
        <v>38</v>
      </c>
      <c r="N24" s="79"/>
      <c r="O24" s="79">
        <v>20</v>
      </c>
      <c r="P24" s="79">
        <v>20</v>
      </c>
      <c r="Q24" s="82">
        <v>1</v>
      </c>
      <c r="R24" s="83" t="s">
        <v>46</v>
      </c>
      <c r="T24" s="83" t="s">
        <v>62</v>
      </c>
      <c r="U24" s="83" t="s">
        <v>63</v>
      </c>
    </row>
    <row r="25" spans="1:21" s="83" customFormat="1">
      <c r="A25" s="78">
        <v>2023</v>
      </c>
      <c r="B25" s="78" t="s">
        <v>80</v>
      </c>
      <c r="C25" s="79">
        <v>30716</v>
      </c>
      <c r="D25" s="80">
        <v>31</v>
      </c>
      <c r="E25" s="81">
        <v>45138</v>
      </c>
      <c r="F25" s="78" t="s">
        <v>32</v>
      </c>
      <c r="G25" s="80" t="s">
        <v>53</v>
      </c>
      <c r="H25" s="80" t="s">
        <v>81</v>
      </c>
      <c r="I25" s="80" t="s">
        <v>55</v>
      </c>
      <c r="J25" s="80" t="s">
        <v>35</v>
      </c>
      <c r="K25" s="78" t="s">
        <v>36</v>
      </c>
      <c r="L25" s="79" t="s">
        <v>37</v>
      </c>
      <c r="M25" s="78" t="s">
        <v>38</v>
      </c>
      <c r="N25" s="79"/>
      <c r="O25" s="79">
        <v>50</v>
      </c>
      <c r="P25" s="79">
        <v>50</v>
      </c>
      <c r="Q25" s="82">
        <v>1</v>
      </c>
      <c r="R25" s="83" t="s">
        <v>46</v>
      </c>
      <c r="T25" s="83" t="s">
        <v>56</v>
      </c>
      <c r="U25" s="83" t="s">
        <v>57</v>
      </c>
    </row>
    <row r="26" spans="1:21" s="83" customFormat="1">
      <c r="A26" s="78">
        <v>2023</v>
      </c>
      <c r="B26" s="78" t="s">
        <v>82</v>
      </c>
      <c r="C26" s="79">
        <v>30717</v>
      </c>
      <c r="D26" s="80">
        <v>31</v>
      </c>
      <c r="E26" s="81">
        <v>45138</v>
      </c>
      <c r="F26" s="78" t="s">
        <v>32</v>
      </c>
      <c r="G26" s="80" t="s">
        <v>53</v>
      </c>
      <c r="H26" s="80" t="s">
        <v>81</v>
      </c>
      <c r="I26" s="80" t="s">
        <v>55</v>
      </c>
      <c r="J26" s="80" t="s">
        <v>35</v>
      </c>
      <c r="K26" s="78" t="s">
        <v>36</v>
      </c>
      <c r="L26" s="79" t="s">
        <v>37</v>
      </c>
      <c r="M26" s="78" t="s">
        <v>38</v>
      </c>
      <c r="N26" s="79"/>
      <c r="O26" s="79">
        <v>50</v>
      </c>
      <c r="P26" s="79">
        <v>50</v>
      </c>
      <c r="Q26" s="82">
        <v>1</v>
      </c>
      <c r="R26" s="83" t="s">
        <v>46</v>
      </c>
      <c r="T26" s="83" t="s">
        <v>56</v>
      </c>
      <c r="U26" s="83" t="s">
        <v>57</v>
      </c>
    </row>
    <row r="27" spans="1:21" s="83" customFormat="1">
      <c r="A27" s="78">
        <v>2023</v>
      </c>
      <c r="B27" s="78" t="s">
        <v>83</v>
      </c>
      <c r="C27" s="79">
        <v>30718</v>
      </c>
      <c r="D27" s="80">
        <v>31</v>
      </c>
      <c r="E27" s="81">
        <v>45138</v>
      </c>
      <c r="F27" s="78" t="s">
        <v>32</v>
      </c>
      <c r="G27" s="80" t="s">
        <v>53</v>
      </c>
      <c r="H27" s="80" t="s">
        <v>81</v>
      </c>
      <c r="I27" s="80" t="s">
        <v>55</v>
      </c>
      <c r="J27" s="80" t="s">
        <v>35</v>
      </c>
      <c r="K27" s="78" t="s">
        <v>36</v>
      </c>
      <c r="L27" s="79" t="s">
        <v>37</v>
      </c>
      <c r="M27" s="78" t="s">
        <v>38</v>
      </c>
      <c r="N27" s="79"/>
      <c r="O27" s="79">
        <v>50</v>
      </c>
      <c r="P27" s="79">
        <v>50</v>
      </c>
      <c r="Q27" s="82">
        <v>1</v>
      </c>
      <c r="R27" s="83" t="s">
        <v>46</v>
      </c>
      <c r="T27" s="83" t="s">
        <v>56</v>
      </c>
      <c r="U27" s="83" t="s">
        <v>57</v>
      </c>
    </row>
    <row r="28" spans="1:21" s="83" customFormat="1">
      <c r="A28" s="78">
        <v>2023</v>
      </c>
      <c r="B28" s="78" t="s">
        <v>84</v>
      </c>
      <c r="C28" s="79">
        <v>30719</v>
      </c>
      <c r="D28" s="80">
        <v>31</v>
      </c>
      <c r="E28" s="81">
        <v>45138</v>
      </c>
      <c r="F28" s="78" t="s">
        <v>32</v>
      </c>
      <c r="G28" s="80" t="s">
        <v>53</v>
      </c>
      <c r="H28" s="80" t="s">
        <v>81</v>
      </c>
      <c r="I28" s="80" t="s">
        <v>55</v>
      </c>
      <c r="J28" s="80" t="s">
        <v>35</v>
      </c>
      <c r="K28" s="78" t="s">
        <v>36</v>
      </c>
      <c r="L28" s="79" t="s">
        <v>37</v>
      </c>
      <c r="M28" s="78" t="s">
        <v>38</v>
      </c>
      <c r="N28" s="79"/>
      <c r="O28" s="79">
        <v>50</v>
      </c>
      <c r="P28" s="79">
        <v>50</v>
      </c>
      <c r="Q28" s="82">
        <v>1</v>
      </c>
      <c r="R28" s="83" t="s">
        <v>46</v>
      </c>
      <c r="T28" s="83" t="s">
        <v>56</v>
      </c>
      <c r="U28" s="83" t="s">
        <v>57</v>
      </c>
    </row>
    <row r="29" spans="1:21" s="83" customFormat="1">
      <c r="A29" s="78">
        <v>2023</v>
      </c>
      <c r="B29" s="78" t="s">
        <v>85</v>
      </c>
      <c r="C29" s="79">
        <v>30720</v>
      </c>
      <c r="D29" s="80">
        <v>31</v>
      </c>
      <c r="E29" s="81">
        <v>45138</v>
      </c>
      <c r="F29" s="78" t="s">
        <v>32</v>
      </c>
      <c r="G29" s="80" t="s">
        <v>53</v>
      </c>
      <c r="H29" s="80" t="s">
        <v>81</v>
      </c>
      <c r="I29" s="80" t="s">
        <v>55</v>
      </c>
      <c r="J29" s="80" t="s">
        <v>35</v>
      </c>
      <c r="K29" s="78" t="s">
        <v>36</v>
      </c>
      <c r="L29" s="79" t="s">
        <v>37</v>
      </c>
      <c r="M29" s="78" t="s">
        <v>38</v>
      </c>
      <c r="N29" s="79"/>
      <c r="O29" s="79">
        <v>29</v>
      </c>
      <c r="P29" s="79">
        <v>29</v>
      </c>
      <c r="Q29" s="82">
        <v>1</v>
      </c>
      <c r="R29" s="83" t="s">
        <v>46</v>
      </c>
      <c r="T29" s="83" t="s">
        <v>56</v>
      </c>
      <c r="U29" s="83" t="s">
        <v>57</v>
      </c>
    </row>
    <row r="30" spans="1:21">
      <c r="A30" s="74">
        <v>2023</v>
      </c>
      <c r="B30" s="74" t="s">
        <v>86</v>
      </c>
      <c r="C30" s="75">
        <v>30721</v>
      </c>
      <c r="D30" s="76">
        <v>31</v>
      </c>
      <c r="E30" s="77">
        <v>45138</v>
      </c>
      <c r="F30" s="74" t="s">
        <v>32</v>
      </c>
      <c r="G30" s="76" t="s">
        <v>53</v>
      </c>
      <c r="H30" s="76" t="s">
        <v>81</v>
      </c>
      <c r="I30" s="76" t="s">
        <v>55</v>
      </c>
      <c r="J30" s="76" t="s">
        <v>35</v>
      </c>
      <c r="K30" s="74" t="s">
        <v>36</v>
      </c>
      <c r="L30" s="75" t="s">
        <v>49</v>
      </c>
      <c r="M30" s="74" t="s">
        <v>38</v>
      </c>
      <c r="N30" s="75"/>
      <c r="O30" s="75">
        <v>6</v>
      </c>
      <c r="P30" s="75">
        <v>6</v>
      </c>
      <c r="Q30" s="53">
        <v>0</v>
      </c>
      <c r="R30" s="35" t="s">
        <v>39</v>
      </c>
      <c r="T30" s="35" t="s">
        <v>62</v>
      </c>
      <c r="U30" s="35" t="s">
        <v>63</v>
      </c>
    </row>
    <row r="31" spans="1:21" s="83" customFormat="1">
      <c r="A31" s="78">
        <v>2023</v>
      </c>
      <c r="B31" s="78" t="s">
        <v>87</v>
      </c>
      <c r="C31" s="79">
        <v>30722</v>
      </c>
      <c r="D31" s="80">
        <v>31</v>
      </c>
      <c r="E31" s="81">
        <v>45138</v>
      </c>
      <c r="F31" s="78" t="s">
        <v>32</v>
      </c>
      <c r="G31" s="80" t="s">
        <v>53</v>
      </c>
      <c r="H31" s="80" t="s">
        <v>88</v>
      </c>
      <c r="I31" s="80" t="s">
        <v>55</v>
      </c>
      <c r="J31" s="80" t="s">
        <v>71</v>
      </c>
      <c r="K31" s="78" t="s">
        <v>36</v>
      </c>
      <c r="L31" s="79" t="s">
        <v>49</v>
      </c>
      <c r="M31" s="78" t="s">
        <v>38</v>
      </c>
      <c r="N31" s="79">
        <v>50</v>
      </c>
      <c r="O31" s="79"/>
      <c r="P31" s="79">
        <v>50</v>
      </c>
      <c r="Q31" s="82">
        <v>1</v>
      </c>
      <c r="R31" s="83" t="s">
        <v>46</v>
      </c>
      <c r="T31" s="83" t="s">
        <v>62</v>
      </c>
      <c r="U31" s="83" t="s">
        <v>63</v>
      </c>
    </row>
    <row r="32" spans="1:21" s="83" customFormat="1">
      <c r="A32" s="78">
        <v>2023</v>
      </c>
      <c r="B32" s="78" t="s">
        <v>89</v>
      </c>
      <c r="C32" s="79">
        <v>30723</v>
      </c>
      <c r="D32" s="80">
        <v>31</v>
      </c>
      <c r="E32" s="81">
        <v>45138</v>
      </c>
      <c r="F32" s="78" t="s">
        <v>32</v>
      </c>
      <c r="G32" s="80" t="s">
        <v>53</v>
      </c>
      <c r="H32" s="80" t="s">
        <v>88</v>
      </c>
      <c r="I32" s="80" t="s">
        <v>55</v>
      </c>
      <c r="J32" s="80" t="s">
        <v>71</v>
      </c>
      <c r="K32" s="78" t="s">
        <v>36</v>
      </c>
      <c r="L32" s="79" t="s">
        <v>49</v>
      </c>
      <c r="M32" s="78" t="s">
        <v>38</v>
      </c>
      <c r="N32" s="79">
        <v>50</v>
      </c>
      <c r="O32" s="79"/>
      <c r="P32" s="79">
        <v>50</v>
      </c>
      <c r="Q32" s="82">
        <v>1</v>
      </c>
      <c r="R32" s="83" t="s">
        <v>46</v>
      </c>
      <c r="T32" s="83" t="s">
        <v>62</v>
      </c>
      <c r="U32" s="83" t="s">
        <v>63</v>
      </c>
    </row>
    <row r="33" spans="1:21">
      <c r="A33" s="74">
        <v>2023</v>
      </c>
      <c r="B33" s="74" t="s">
        <v>90</v>
      </c>
      <c r="C33" s="75">
        <v>30724</v>
      </c>
      <c r="D33" s="76">
        <v>31</v>
      </c>
      <c r="E33" s="77">
        <v>45138</v>
      </c>
      <c r="F33" s="74" t="s">
        <v>32</v>
      </c>
      <c r="G33" s="76" t="s">
        <v>53</v>
      </c>
      <c r="H33" s="76" t="s">
        <v>88</v>
      </c>
      <c r="I33" s="76" t="s">
        <v>55</v>
      </c>
      <c r="J33" s="76" t="s">
        <v>71</v>
      </c>
      <c r="K33" s="74" t="s">
        <v>36</v>
      </c>
      <c r="L33" s="75" t="s">
        <v>49</v>
      </c>
      <c r="M33" s="74" t="s">
        <v>38</v>
      </c>
      <c r="N33" s="75">
        <v>24</v>
      </c>
      <c r="O33" s="75"/>
      <c r="P33" s="75">
        <v>24</v>
      </c>
      <c r="Q33" s="53">
        <v>0</v>
      </c>
      <c r="R33" s="35" t="s">
        <v>39</v>
      </c>
      <c r="T33" s="35" t="s">
        <v>62</v>
      </c>
      <c r="U33" s="35" t="s">
        <v>63</v>
      </c>
    </row>
    <row r="34" spans="1:21">
      <c r="A34" s="74">
        <v>2023</v>
      </c>
      <c r="B34" s="74" t="s">
        <v>91</v>
      </c>
      <c r="C34" s="75">
        <v>30725</v>
      </c>
      <c r="D34" s="76">
        <v>31</v>
      </c>
      <c r="E34" s="77">
        <v>45138</v>
      </c>
      <c r="F34" s="74" t="s">
        <v>32</v>
      </c>
      <c r="G34" s="76" t="s">
        <v>53</v>
      </c>
      <c r="H34" s="76" t="s">
        <v>92</v>
      </c>
      <c r="I34" s="76" t="s">
        <v>55</v>
      </c>
      <c r="J34" s="76" t="s">
        <v>35</v>
      </c>
      <c r="K34" s="74" t="s">
        <v>36</v>
      </c>
      <c r="L34" s="75" t="s">
        <v>37</v>
      </c>
      <c r="M34" s="74" t="s">
        <v>38</v>
      </c>
      <c r="N34" s="75"/>
      <c r="O34" s="75">
        <v>26</v>
      </c>
      <c r="P34" s="75">
        <v>26</v>
      </c>
      <c r="Q34" s="53">
        <v>0</v>
      </c>
      <c r="R34" s="35" t="s">
        <v>39</v>
      </c>
      <c r="T34" s="35" t="s">
        <v>56</v>
      </c>
      <c r="U34" s="35" t="s">
        <v>57</v>
      </c>
    </row>
    <row r="35" spans="1:21">
      <c r="A35" s="74">
        <v>2023</v>
      </c>
      <c r="B35" s="74" t="s">
        <v>93</v>
      </c>
      <c r="C35" s="75">
        <v>30726</v>
      </c>
      <c r="D35" s="76">
        <v>31</v>
      </c>
      <c r="E35" s="77">
        <v>45138</v>
      </c>
      <c r="F35" s="74" t="s">
        <v>32</v>
      </c>
      <c r="G35" s="76" t="s">
        <v>53</v>
      </c>
      <c r="H35" s="76" t="s">
        <v>94</v>
      </c>
      <c r="I35" s="76" t="s">
        <v>55</v>
      </c>
      <c r="J35" s="76" t="s">
        <v>35</v>
      </c>
      <c r="K35" s="74" t="s">
        <v>36</v>
      </c>
      <c r="L35" s="75" t="s">
        <v>37</v>
      </c>
      <c r="M35" s="74" t="s">
        <v>38</v>
      </c>
      <c r="N35" s="75"/>
      <c r="O35" s="75">
        <v>50</v>
      </c>
      <c r="P35" s="75">
        <v>50</v>
      </c>
      <c r="Q35" s="53">
        <v>0</v>
      </c>
      <c r="R35" s="35" t="s">
        <v>39</v>
      </c>
      <c r="T35" s="35" t="s">
        <v>56</v>
      </c>
      <c r="U35" s="35" t="s">
        <v>57</v>
      </c>
    </row>
    <row r="36" spans="1:21">
      <c r="A36" s="74">
        <v>2023</v>
      </c>
      <c r="B36" s="74" t="s">
        <v>95</v>
      </c>
      <c r="C36" s="75">
        <v>30727</v>
      </c>
      <c r="D36" s="76">
        <v>31</v>
      </c>
      <c r="E36" s="77">
        <v>45138</v>
      </c>
      <c r="F36" s="74" t="s">
        <v>32</v>
      </c>
      <c r="G36" s="76" t="s">
        <v>53</v>
      </c>
      <c r="H36" s="76" t="s">
        <v>94</v>
      </c>
      <c r="I36" s="76" t="s">
        <v>55</v>
      </c>
      <c r="J36" s="76" t="s">
        <v>35</v>
      </c>
      <c r="K36" s="74" t="s">
        <v>36</v>
      </c>
      <c r="L36" s="75" t="s">
        <v>37</v>
      </c>
      <c r="M36" s="74" t="s">
        <v>38</v>
      </c>
      <c r="N36" s="75"/>
      <c r="O36" s="75">
        <v>29</v>
      </c>
      <c r="P36" s="75">
        <v>29</v>
      </c>
      <c r="Q36" s="53">
        <v>0</v>
      </c>
      <c r="R36" s="35" t="s">
        <v>39</v>
      </c>
      <c r="T36" s="35" t="s">
        <v>56</v>
      </c>
      <c r="U36" s="35" t="s">
        <v>57</v>
      </c>
    </row>
    <row r="37" spans="1:21">
      <c r="A37" s="74">
        <v>2023</v>
      </c>
      <c r="B37" s="74" t="s">
        <v>96</v>
      </c>
      <c r="C37" s="75">
        <v>30728</v>
      </c>
      <c r="D37" s="76">
        <v>31</v>
      </c>
      <c r="E37" s="77">
        <v>45138</v>
      </c>
      <c r="F37" s="74" t="s">
        <v>32</v>
      </c>
      <c r="G37" s="76" t="s">
        <v>53</v>
      </c>
      <c r="H37" s="76" t="s">
        <v>94</v>
      </c>
      <c r="I37" s="76" t="s">
        <v>55</v>
      </c>
      <c r="J37" s="76" t="s">
        <v>35</v>
      </c>
      <c r="K37" s="74" t="s">
        <v>36</v>
      </c>
      <c r="L37" s="75" t="s">
        <v>49</v>
      </c>
      <c r="M37" s="74" t="s">
        <v>38</v>
      </c>
      <c r="N37" s="75"/>
      <c r="O37" s="75">
        <v>8</v>
      </c>
      <c r="P37" s="75">
        <v>8</v>
      </c>
      <c r="Q37" s="53">
        <v>0</v>
      </c>
      <c r="R37" s="35" t="s">
        <v>39</v>
      </c>
      <c r="T37" s="35" t="s">
        <v>62</v>
      </c>
      <c r="U37" s="35" t="s">
        <v>63</v>
      </c>
    </row>
    <row r="38" spans="1:21">
      <c r="A38" s="74">
        <v>2023</v>
      </c>
      <c r="B38" s="74" t="s">
        <v>97</v>
      </c>
      <c r="C38" s="75">
        <v>30729</v>
      </c>
      <c r="D38" s="76">
        <v>31</v>
      </c>
      <c r="E38" s="77">
        <v>45138</v>
      </c>
      <c r="F38" s="74" t="s">
        <v>32</v>
      </c>
      <c r="G38" s="76" t="s">
        <v>53</v>
      </c>
      <c r="H38" s="76" t="s">
        <v>98</v>
      </c>
      <c r="I38" s="76" t="s">
        <v>55</v>
      </c>
      <c r="J38" s="76" t="s">
        <v>35</v>
      </c>
      <c r="K38" s="74" t="s">
        <v>36</v>
      </c>
      <c r="L38" s="75" t="s">
        <v>37</v>
      </c>
      <c r="M38" s="74" t="s">
        <v>38</v>
      </c>
      <c r="N38" s="75"/>
      <c r="O38" s="75">
        <v>14</v>
      </c>
      <c r="P38" s="75">
        <v>14</v>
      </c>
      <c r="Q38" s="53">
        <v>0</v>
      </c>
      <c r="R38" s="35" t="s">
        <v>39</v>
      </c>
      <c r="T38" s="35" t="s">
        <v>56</v>
      </c>
      <c r="U38" s="35" t="s">
        <v>57</v>
      </c>
    </row>
    <row r="39" spans="1:21">
      <c r="A39" s="74">
        <v>2023</v>
      </c>
      <c r="B39" s="74" t="s">
        <v>99</v>
      </c>
      <c r="C39" s="75">
        <v>30730</v>
      </c>
      <c r="D39" s="76">
        <v>31</v>
      </c>
      <c r="E39" s="77">
        <v>45138</v>
      </c>
      <c r="F39" s="74" t="s">
        <v>32</v>
      </c>
      <c r="G39" s="76" t="s">
        <v>53</v>
      </c>
      <c r="H39" s="76" t="s">
        <v>98</v>
      </c>
      <c r="I39" s="76" t="s">
        <v>55</v>
      </c>
      <c r="J39" s="76" t="s">
        <v>35</v>
      </c>
      <c r="K39" s="74" t="s">
        <v>36</v>
      </c>
      <c r="L39" s="75" t="s">
        <v>49</v>
      </c>
      <c r="M39" s="74" t="s">
        <v>38</v>
      </c>
      <c r="N39" s="75"/>
      <c r="O39" s="75">
        <v>1</v>
      </c>
      <c r="P39" s="75">
        <v>1</v>
      </c>
      <c r="Q39" s="53">
        <v>0</v>
      </c>
      <c r="R39" s="35" t="s">
        <v>39</v>
      </c>
      <c r="T39" s="35" t="s">
        <v>62</v>
      </c>
      <c r="U39" s="35" t="s">
        <v>63</v>
      </c>
    </row>
    <row r="40" spans="1:21">
      <c r="A40" s="74">
        <v>2023</v>
      </c>
      <c r="B40" s="74" t="s">
        <v>100</v>
      </c>
      <c r="C40" s="75">
        <v>30731</v>
      </c>
      <c r="D40" s="76">
        <v>31</v>
      </c>
      <c r="E40" s="77">
        <v>45138</v>
      </c>
      <c r="F40" s="74" t="s">
        <v>32</v>
      </c>
      <c r="G40" s="76" t="s">
        <v>53</v>
      </c>
      <c r="H40" s="76" t="s">
        <v>101</v>
      </c>
      <c r="I40" s="76" t="s">
        <v>55</v>
      </c>
      <c r="J40" s="76" t="s">
        <v>35</v>
      </c>
      <c r="K40" s="74" t="s">
        <v>36</v>
      </c>
      <c r="L40" s="75" t="s">
        <v>37</v>
      </c>
      <c r="M40" s="74" t="s">
        <v>38</v>
      </c>
      <c r="N40" s="75"/>
      <c r="O40" s="75">
        <v>50</v>
      </c>
      <c r="P40" s="75">
        <v>50</v>
      </c>
      <c r="Q40" s="53">
        <v>0</v>
      </c>
      <c r="R40" s="35" t="s">
        <v>39</v>
      </c>
      <c r="T40" s="35" t="s">
        <v>56</v>
      </c>
      <c r="U40" s="35" t="s">
        <v>57</v>
      </c>
    </row>
    <row r="41" spans="1:21">
      <c r="A41" s="74">
        <v>2023</v>
      </c>
      <c r="B41" s="74" t="s">
        <v>102</v>
      </c>
      <c r="C41" s="75">
        <v>30732</v>
      </c>
      <c r="D41" s="76">
        <v>31</v>
      </c>
      <c r="E41" s="77">
        <v>45138</v>
      </c>
      <c r="F41" s="74" t="s">
        <v>32</v>
      </c>
      <c r="G41" s="76" t="s">
        <v>53</v>
      </c>
      <c r="H41" s="76" t="s">
        <v>101</v>
      </c>
      <c r="I41" s="76" t="s">
        <v>55</v>
      </c>
      <c r="J41" s="76" t="s">
        <v>35</v>
      </c>
      <c r="K41" s="74" t="s">
        <v>36</v>
      </c>
      <c r="L41" s="75" t="s">
        <v>37</v>
      </c>
      <c r="M41" s="74" t="s">
        <v>38</v>
      </c>
      <c r="N41" s="75"/>
      <c r="O41" s="75">
        <v>32</v>
      </c>
      <c r="P41" s="75">
        <v>32</v>
      </c>
      <c r="Q41" s="53">
        <v>0</v>
      </c>
      <c r="R41" s="35" t="s">
        <v>39</v>
      </c>
      <c r="T41" s="35" t="s">
        <v>56</v>
      </c>
      <c r="U41" s="35" t="s">
        <v>57</v>
      </c>
    </row>
    <row r="42" spans="1:21">
      <c r="A42" s="74">
        <v>2023</v>
      </c>
      <c r="B42" s="74" t="s">
        <v>103</v>
      </c>
      <c r="C42" s="75">
        <v>30733</v>
      </c>
      <c r="D42" s="76">
        <v>31</v>
      </c>
      <c r="E42" s="77">
        <v>45138</v>
      </c>
      <c r="F42" s="74" t="s">
        <v>32</v>
      </c>
      <c r="G42" s="76" t="s">
        <v>53</v>
      </c>
      <c r="H42" s="76" t="s">
        <v>101</v>
      </c>
      <c r="I42" s="76" t="s">
        <v>55</v>
      </c>
      <c r="J42" s="76" t="s">
        <v>35</v>
      </c>
      <c r="K42" s="74" t="s">
        <v>36</v>
      </c>
      <c r="L42" s="75" t="s">
        <v>49</v>
      </c>
      <c r="M42" s="74" t="s">
        <v>38</v>
      </c>
      <c r="N42" s="75"/>
      <c r="O42" s="75">
        <v>4</v>
      </c>
      <c r="P42" s="75">
        <v>4</v>
      </c>
      <c r="Q42" s="53">
        <v>0</v>
      </c>
      <c r="R42" s="35" t="s">
        <v>39</v>
      </c>
      <c r="T42" s="35" t="s">
        <v>62</v>
      </c>
      <c r="U42" s="35" t="s">
        <v>63</v>
      </c>
    </row>
    <row r="43" spans="1:21">
      <c r="A43" s="74">
        <v>2023</v>
      </c>
      <c r="B43" s="74" t="s">
        <v>104</v>
      </c>
      <c r="C43" s="75">
        <v>30734</v>
      </c>
      <c r="D43" s="76">
        <v>31</v>
      </c>
      <c r="E43" s="77">
        <v>45138</v>
      </c>
      <c r="F43" s="74" t="s">
        <v>32</v>
      </c>
      <c r="G43" s="76" t="s">
        <v>53</v>
      </c>
      <c r="H43" s="76" t="s">
        <v>105</v>
      </c>
      <c r="I43" s="76" t="s">
        <v>55</v>
      </c>
      <c r="J43" s="76" t="s">
        <v>35</v>
      </c>
      <c r="K43" s="74" t="s">
        <v>36</v>
      </c>
      <c r="L43" s="75" t="s">
        <v>37</v>
      </c>
      <c r="M43" s="74" t="s">
        <v>38</v>
      </c>
      <c r="N43" s="75"/>
      <c r="O43" s="75">
        <v>50</v>
      </c>
      <c r="P43" s="75">
        <v>50</v>
      </c>
      <c r="Q43" s="53">
        <v>0</v>
      </c>
      <c r="R43" s="35" t="s">
        <v>39</v>
      </c>
      <c r="T43" s="35" t="s">
        <v>56</v>
      </c>
      <c r="U43" s="35" t="s">
        <v>57</v>
      </c>
    </row>
    <row r="44" spans="1:21" s="83" customFormat="1">
      <c r="A44" s="78">
        <v>2023</v>
      </c>
      <c r="B44" s="78" t="s">
        <v>106</v>
      </c>
      <c r="C44" s="79">
        <v>30735</v>
      </c>
      <c r="D44" s="80">
        <v>31</v>
      </c>
      <c r="E44" s="81">
        <v>45138</v>
      </c>
      <c r="F44" s="78" t="s">
        <v>32</v>
      </c>
      <c r="G44" s="80" t="s">
        <v>53</v>
      </c>
      <c r="H44" s="80" t="s">
        <v>105</v>
      </c>
      <c r="I44" s="80" t="s">
        <v>55</v>
      </c>
      <c r="J44" s="80" t="s">
        <v>35</v>
      </c>
      <c r="K44" s="78" t="s">
        <v>36</v>
      </c>
      <c r="L44" s="79" t="s">
        <v>37</v>
      </c>
      <c r="M44" s="78" t="s">
        <v>38</v>
      </c>
      <c r="N44" s="79"/>
      <c r="O44" s="79">
        <v>50</v>
      </c>
      <c r="P44" s="79">
        <v>50</v>
      </c>
      <c r="Q44" s="82">
        <v>1</v>
      </c>
      <c r="R44" s="83" t="s">
        <v>46</v>
      </c>
      <c r="T44" s="83" t="s">
        <v>56</v>
      </c>
      <c r="U44" s="83" t="s">
        <v>57</v>
      </c>
    </row>
    <row r="45" spans="1:21">
      <c r="A45" s="74">
        <v>2023</v>
      </c>
      <c r="B45" s="74" t="s">
        <v>107</v>
      </c>
      <c r="C45" s="75">
        <v>30736</v>
      </c>
      <c r="D45" s="76">
        <v>31</v>
      </c>
      <c r="E45" s="77">
        <v>45138</v>
      </c>
      <c r="F45" s="74" t="s">
        <v>32</v>
      </c>
      <c r="G45" s="76" t="s">
        <v>53</v>
      </c>
      <c r="H45" s="76" t="s">
        <v>105</v>
      </c>
      <c r="I45" s="76" t="s">
        <v>55</v>
      </c>
      <c r="J45" s="76" t="s">
        <v>35</v>
      </c>
      <c r="K45" s="74" t="s">
        <v>36</v>
      </c>
      <c r="L45" s="75" t="s">
        <v>37</v>
      </c>
      <c r="M45" s="74" t="s">
        <v>38</v>
      </c>
      <c r="N45" s="75"/>
      <c r="O45" s="75">
        <v>50</v>
      </c>
      <c r="P45" s="75">
        <v>50</v>
      </c>
      <c r="Q45" s="53">
        <v>0</v>
      </c>
      <c r="R45" s="35" t="s">
        <v>39</v>
      </c>
      <c r="T45" s="35" t="s">
        <v>56</v>
      </c>
      <c r="U45" s="35" t="s">
        <v>57</v>
      </c>
    </row>
    <row r="46" spans="1:21">
      <c r="A46" s="74">
        <v>2023</v>
      </c>
      <c r="B46" s="74" t="s">
        <v>108</v>
      </c>
      <c r="C46" s="75">
        <v>30737</v>
      </c>
      <c r="D46" s="76">
        <v>31</v>
      </c>
      <c r="E46" s="77">
        <v>45138</v>
      </c>
      <c r="F46" s="74" t="s">
        <v>32</v>
      </c>
      <c r="G46" s="76" t="s">
        <v>53</v>
      </c>
      <c r="H46" s="76" t="s">
        <v>105</v>
      </c>
      <c r="I46" s="76" t="s">
        <v>55</v>
      </c>
      <c r="J46" s="76" t="s">
        <v>35</v>
      </c>
      <c r="K46" s="74" t="s">
        <v>36</v>
      </c>
      <c r="L46" s="75" t="s">
        <v>37</v>
      </c>
      <c r="M46" s="74" t="s">
        <v>38</v>
      </c>
      <c r="N46" s="75"/>
      <c r="O46" s="75">
        <v>50</v>
      </c>
      <c r="P46" s="75">
        <v>50</v>
      </c>
      <c r="Q46" s="53">
        <v>0</v>
      </c>
      <c r="R46" s="35" t="s">
        <v>39</v>
      </c>
      <c r="T46" s="35" t="s">
        <v>56</v>
      </c>
      <c r="U46" s="35" t="s">
        <v>57</v>
      </c>
    </row>
    <row r="47" spans="1:21">
      <c r="A47" s="74">
        <v>2023</v>
      </c>
      <c r="B47" s="74" t="s">
        <v>109</v>
      </c>
      <c r="C47" s="75">
        <v>30738</v>
      </c>
      <c r="D47" s="76">
        <v>31</v>
      </c>
      <c r="E47" s="77">
        <v>45138</v>
      </c>
      <c r="F47" s="74" t="s">
        <v>32</v>
      </c>
      <c r="G47" s="76" t="s">
        <v>53</v>
      </c>
      <c r="H47" s="76" t="s">
        <v>105</v>
      </c>
      <c r="I47" s="76" t="s">
        <v>55</v>
      </c>
      <c r="J47" s="76" t="s">
        <v>35</v>
      </c>
      <c r="K47" s="74" t="s">
        <v>36</v>
      </c>
      <c r="L47" s="75" t="s">
        <v>37</v>
      </c>
      <c r="M47" s="74" t="s">
        <v>38</v>
      </c>
      <c r="N47" s="75"/>
      <c r="O47" s="75">
        <v>50</v>
      </c>
      <c r="P47" s="75">
        <v>50</v>
      </c>
      <c r="Q47" s="53">
        <v>0</v>
      </c>
      <c r="R47" s="35" t="s">
        <v>39</v>
      </c>
      <c r="T47" s="35" t="s">
        <v>56</v>
      </c>
      <c r="U47" s="35" t="s">
        <v>57</v>
      </c>
    </row>
    <row r="48" spans="1:21">
      <c r="A48" s="74">
        <v>2023</v>
      </c>
      <c r="B48" s="74" t="s">
        <v>110</v>
      </c>
      <c r="C48" s="75">
        <v>30739</v>
      </c>
      <c r="D48" s="76">
        <v>31</v>
      </c>
      <c r="E48" s="77">
        <v>45138</v>
      </c>
      <c r="F48" s="74" t="s">
        <v>32</v>
      </c>
      <c r="G48" s="76" t="s">
        <v>53</v>
      </c>
      <c r="H48" s="76" t="s">
        <v>105</v>
      </c>
      <c r="I48" s="76" t="s">
        <v>55</v>
      </c>
      <c r="J48" s="76" t="s">
        <v>35</v>
      </c>
      <c r="K48" s="74" t="s">
        <v>36</v>
      </c>
      <c r="L48" s="75" t="s">
        <v>37</v>
      </c>
      <c r="M48" s="74" t="s">
        <v>38</v>
      </c>
      <c r="N48" s="75"/>
      <c r="O48" s="75">
        <v>21</v>
      </c>
      <c r="P48" s="75">
        <v>21</v>
      </c>
      <c r="Q48" s="53">
        <v>0</v>
      </c>
      <c r="R48" s="35" t="s">
        <v>39</v>
      </c>
      <c r="T48" s="35" t="s">
        <v>56</v>
      </c>
      <c r="U48" s="35" t="s">
        <v>57</v>
      </c>
    </row>
    <row r="49" spans="1:21">
      <c r="A49" s="74">
        <v>2023</v>
      </c>
      <c r="B49" s="74" t="s">
        <v>111</v>
      </c>
      <c r="C49" s="75">
        <v>30740</v>
      </c>
      <c r="D49" s="76">
        <v>31</v>
      </c>
      <c r="E49" s="77">
        <v>45138</v>
      </c>
      <c r="F49" s="74" t="s">
        <v>32</v>
      </c>
      <c r="G49" s="76" t="s">
        <v>53</v>
      </c>
      <c r="H49" s="76" t="s">
        <v>105</v>
      </c>
      <c r="I49" s="76" t="s">
        <v>55</v>
      </c>
      <c r="J49" s="76" t="s">
        <v>35</v>
      </c>
      <c r="K49" s="74" t="s">
        <v>36</v>
      </c>
      <c r="L49" s="75" t="s">
        <v>49</v>
      </c>
      <c r="M49" s="74" t="s">
        <v>38</v>
      </c>
      <c r="N49" s="75"/>
      <c r="O49" s="75">
        <v>24</v>
      </c>
      <c r="P49" s="75">
        <v>24</v>
      </c>
      <c r="Q49" s="53">
        <v>0</v>
      </c>
      <c r="R49" s="35" t="s">
        <v>39</v>
      </c>
      <c r="T49" s="35" t="s">
        <v>62</v>
      </c>
      <c r="U49" s="35" t="s">
        <v>63</v>
      </c>
    </row>
    <row r="50" spans="1:21">
      <c r="A50" s="74">
        <v>2023</v>
      </c>
      <c r="B50" s="74" t="s">
        <v>112</v>
      </c>
      <c r="C50" s="75">
        <v>30741</v>
      </c>
      <c r="D50" s="76">
        <v>31</v>
      </c>
      <c r="E50" s="77">
        <v>45138</v>
      </c>
      <c r="F50" s="74" t="s">
        <v>32</v>
      </c>
      <c r="G50" s="76" t="s">
        <v>53</v>
      </c>
      <c r="H50" s="76" t="s">
        <v>113</v>
      </c>
      <c r="I50" s="76" t="s">
        <v>55</v>
      </c>
      <c r="J50" s="76" t="s">
        <v>35</v>
      </c>
      <c r="K50" s="74" t="s">
        <v>36</v>
      </c>
      <c r="L50" s="75" t="s">
        <v>37</v>
      </c>
      <c r="M50" s="74" t="s">
        <v>38</v>
      </c>
      <c r="N50" s="75"/>
      <c r="O50" s="75">
        <v>50</v>
      </c>
      <c r="P50" s="75">
        <v>50</v>
      </c>
      <c r="Q50" s="53">
        <v>0</v>
      </c>
      <c r="R50" s="35" t="s">
        <v>39</v>
      </c>
      <c r="T50" s="35" t="s">
        <v>56</v>
      </c>
      <c r="U50" s="35" t="s">
        <v>57</v>
      </c>
    </row>
    <row r="51" spans="1:21">
      <c r="A51" s="74">
        <v>2023</v>
      </c>
      <c r="B51" s="74" t="s">
        <v>114</v>
      </c>
      <c r="C51" s="75">
        <v>30742</v>
      </c>
      <c r="D51" s="76">
        <v>31</v>
      </c>
      <c r="E51" s="77">
        <v>45138</v>
      </c>
      <c r="F51" s="74" t="s">
        <v>32</v>
      </c>
      <c r="G51" s="76" t="s">
        <v>53</v>
      </c>
      <c r="H51" s="76" t="s">
        <v>113</v>
      </c>
      <c r="I51" s="76" t="s">
        <v>55</v>
      </c>
      <c r="J51" s="76" t="s">
        <v>35</v>
      </c>
      <c r="K51" s="74" t="s">
        <v>36</v>
      </c>
      <c r="L51" s="75" t="s">
        <v>37</v>
      </c>
      <c r="M51" s="74" t="s">
        <v>38</v>
      </c>
      <c r="N51" s="75"/>
      <c r="O51" s="75">
        <v>30</v>
      </c>
      <c r="P51" s="75">
        <v>30</v>
      </c>
      <c r="Q51" s="53">
        <v>0</v>
      </c>
      <c r="R51" s="35" t="s">
        <v>39</v>
      </c>
      <c r="T51" s="35" t="s">
        <v>56</v>
      </c>
      <c r="U51" s="35" t="s">
        <v>57</v>
      </c>
    </row>
    <row r="52" spans="1:21">
      <c r="A52" s="74">
        <v>2023</v>
      </c>
      <c r="B52" s="74" t="s">
        <v>115</v>
      </c>
      <c r="C52" s="75">
        <v>30743</v>
      </c>
      <c r="D52" s="76">
        <v>31</v>
      </c>
      <c r="E52" s="77">
        <v>45138</v>
      </c>
      <c r="F52" s="74" t="s">
        <v>32</v>
      </c>
      <c r="G52" s="76" t="s">
        <v>53</v>
      </c>
      <c r="H52" s="76" t="s">
        <v>113</v>
      </c>
      <c r="I52" s="76" t="s">
        <v>55</v>
      </c>
      <c r="J52" s="76" t="s">
        <v>35</v>
      </c>
      <c r="K52" s="74" t="s">
        <v>36</v>
      </c>
      <c r="L52" s="75" t="s">
        <v>49</v>
      </c>
      <c r="M52" s="74" t="s">
        <v>38</v>
      </c>
      <c r="N52" s="75"/>
      <c r="O52" s="75">
        <v>6</v>
      </c>
      <c r="P52" s="75">
        <v>6</v>
      </c>
      <c r="Q52" s="53">
        <v>0</v>
      </c>
      <c r="R52" s="35" t="s">
        <v>39</v>
      </c>
      <c r="T52" s="35" t="s">
        <v>62</v>
      </c>
      <c r="U52" s="35" t="s">
        <v>63</v>
      </c>
    </row>
    <row r="53" spans="1:21">
      <c r="A53" s="74">
        <v>2023</v>
      </c>
      <c r="B53" s="74" t="s">
        <v>116</v>
      </c>
      <c r="C53" s="75">
        <v>30744</v>
      </c>
      <c r="D53" s="76">
        <v>31</v>
      </c>
      <c r="E53" s="77">
        <v>45138</v>
      </c>
      <c r="F53" s="74" t="s">
        <v>32</v>
      </c>
      <c r="G53" s="76" t="s">
        <v>53</v>
      </c>
      <c r="H53" s="76" t="s">
        <v>117</v>
      </c>
      <c r="I53" s="76" t="s">
        <v>55</v>
      </c>
      <c r="J53" s="76" t="s">
        <v>35</v>
      </c>
      <c r="K53" s="74" t="s">
        <v>36</v>
      </c>
      <c r="L53" s="75" t="s">
        <v>37</v>
      </c>
      <c r="M53" s="74" t="s">
        <v>38</v>
      </c>
      <c r="N53" s="75"/>
      <c r="O53" s="75">
        <v>50</v>
      </c>
      <c r="P53" s="75">
        <v>50</v>
      </c>
      <c r="Q53" s="53">
        <v>0</v>
      </c>
      <c r="R53" s="35" t="s">
        <v>39</v>
      </c>
      <c r="T53" s="35" t="s">
        <v>56</v>
      </c>
      <c r="U53" s="35" t="s">
        <v>57</v>
      </c>
    </row>
    <row r="54" spans="1:21">
      <c r="A54" s="74">
        <v>2023</v>
      </c>
      <c r="B54" s="74" t="s">
        <v>118</v>
      </c>
      <c r="C54" s="75">
        <v>30745</v>
      </c>
      <c r="D54" s="76">
        <v>31</v>
      </c>
      <c r="E54" s="77">
        <v>45138</v>
      </c>
      <c r="F54" s="74" t="s">
        <v>32</v>
      </c>
      <c r="G54" s="76" t="s">
        <v>53</v>
      </c>
      <c r="H54" s="76" t="s">
        <v>117</v>
      </c>
      <c r="I54" s="76" t="s">
        <v>55</v>
      </c>
      <c r="J54" s="76" t="s">
        <v>35</v>
      </c>
      <c r="K54" s="74" t="s">
        <v>36</v>
      </c>
      <c r="L54" s="75" t="s">
        <v>37</v>
      </c>
      <c r="M54" s="74" t="s">
        <v>38</v>
      </c>
      <c r="N54" s="75"/>
      <c r="O54" s="75">
        <v>29</v>
      </c>
      <c r="P54" s="75">
        <v>29</v>
      </c>
      <c r="Q54" s="53">
        <v>0</v>
      </c>
      <c r="R54" s="35" t="s">
        <v>39</v>
      </c>
      <c r="T54" s="35" t="s">
        <v>56</v>
      </c>
      <c r="U54" s="35" t="s">
        <v>57</v>
      </c>
    </row>
    <row r="55" spans="1:21">
      <c r="A55" s="74">
        <v>2023</v>
      </c>
      <c r="B55" s="74" t="s">
        <v>119</v>
      </c>
      <c r="C55" s="75">
        <v>30746</v>
      </c>
      <c r="D55" s="76">
        <v>31</v>
      </c>
      <c r="E55" s="77">
        <v>45138</v>
      </c>
      <c r="F55" s="74" t="s">
        <v>32</v>
      </c>
      <c r="G55" s="76" t="s">
        <v>53</v>
      </c>
      <c r="H55" s="76" t="s">
        <v>117</v>
      </c>
      <c r="I55" s="76" t="s">
        <v>55</v>
      </c>
      <c r="J55" s="76" t="s">
        <v>35</v>
      </c>
      <c r="K55" s="74" t="s">
        <v>36</v>
      </c>
      <c r="L55" s="75" t="s">
        <v>49</v>
      </c>
      <c r="M55" s="74" t="s">
        <v>38</v>
      </c>
      <c r="N55" s="75"/>
      <c r="O55" s="75">
        <v>7</v>
      </c>
      <c r="P55" s="75">
        <v>7</v>
      </c>
      <c r="Q55" s="53">
        <v>0</v>
      </c>
      <c r="R55" s="35" t="s">
        <v>39</v>
      </c>
      <c r="T55" s="35" t="s">
        <v>62</v>
      </c>
      <c r="U55" s="35" t="s">
        <v>63</v>
      </c>
    </row>
    <row r="56" spans="1:21" s="83" customFormat="1">
      <c r="A56" s="78">
        <v>2023</v>
      </c>
      <c r="B56" s="78" t="s">
        <v>120</v>
      </c>
      <c r="C56" s="79">
        <v>30747</v>
      </c>
      <c r="D56" s="80">
        <v>31</v>
      </c>
      <c r="E56" s="81">
        <v>45138</v>
      </c>
      <c r="F56" s="78" t="s">
        <v>32</v>
      </c>
      <c r="G56" s="80" t="s">
        <v>53</v>
      </c>
      <c r="H56" s="80" t="s">
        <v>121</v>
      </c>
      <c r="I56" s="80" t="s">
        <v>55</v>
      </c>
      <c r="J56" s="80" t="s">
        <v>35</v>
      </c>
      <c r="K56" s="78" t="s">
        <v>36</v>
      </c>
      <c r="L56" s="79" t="s">
        <v>37</v>
      </c>
      <c r="M56" s="78" t="s">
        <v>38</v>
      </c>
      <c r="N56" s="79"/>
      <c r="O56" s="79">
        <v>50</v>
      </c>
      <c r="P56" s="79">
        <v>50</v>
      </c>
      <c r="Q56" s="82">
        <v>1</v>
      </c>
      <c r="R56" s="83" t="s">
        <v>46</v>
      </c>
      <c r="T56" s="83" t="s">
        <v>56</v>
      </c>
      <c r="U56" s="83" t="s">
        <v>57</v>
      </c>
    </row>
    <row r="57" spans="1:21">
      <c r="A57" s="74">
        <v>2023</v>
      </c>
      <c r="B57" s="74" t="s">
        <v>122</v>
      </c>
      <c r="C57" s="75">
        <v>30748</v>
      </c>
      <c r="D57" s="76">
        <v>31</v>
      </c>
      <c r="E57" s="77">
        <v>45138</v>
      </c>
      <c r="F57" s="74" t="s">
        <v>32</v>
      </c>
      <c r="G57" s="76" t="s">
        <v>53</v>
      </c>
      <c r="H57" s="76" t="s">
        <v>121</v>
      </c>
      <c r="I57" s="76" t="s">
        <v>55</v>
      </c>
      <c r="J57" s="76" t="s">
        <v>35</v>
      </c>
      <c r="K57" s="74" t="s">
        <v>36</v>
      </c>
      <c r="L57" s="75" t="s">
        <v>37</v>
      </c>
      <c r="M57" s="74" t="s">
        <v>38</v>
      </c>
      <c r="N57" s="75"/>
      <c r="O57" s="75">
        <v>50</v>
      </c>
      <c r="P57" s="75">
        <v>50</v>
      </c>
      <c r="Q57" s="53">
        <v>0</v>
      </c>
      <c r="R57" s="35" t="s">
        <v>39</v>
      </c>
      <c r="T57" s="35" t="s">
        <v>56</v>
      </c>
      <c r="U57" s="35" t="s">
        <v>57</v>
      </c>
    </row>
    <row r="58" spans="1:21">
      <c r="A58" s="74">
        <v>2023</v>
      </c>
      <c r="B58" s="74" t="s">
        <v>123</v>
      </c>
      <c r="C58" s="75">
        <v>30749</v>
      </c>
      <c r="D58" s="76">
        <v>31</v>
      </c>
      <c r="E58" s="77">
        <v>45138</v>
      </c>
      <c r="F58" s="74" t="s">
        <v>32</v>
      </c>
      <c r="G58" s="76" t="s">
        <v>53</v>
      </c>
      <c r="H58" s="76" t="s">
        <v>121</v>
      </c>
      <c r="I58" s="76" t="s">
        <v>55</v>
      </c>
      <c r="J58" s="76" t="s">
        <v>35</v>
      </c>
      <c r="K58" s="74" t="s">
        <v>36</v>
      </c>
      <c r="L58" s="75" t="s">
        <v>37</v>
      </c>
      <c r="M58" s="74" t="s">
        <v>38</v>
      </c>
      <c r="N58" s="75"/>
      <c r="O58" s="75">
        <v>50</v>
      </c>
      <c r="P58" s="75">
        <v>50</v>
      </c>
      <c r="Q58" s="53">
        <v>0</v>
      </c>
      <c r="R58" s="35" t="s">
        <v>39</v>
      </c>
      <c r="T58" s="35" t="s">
        <v>56</v>
      </c>
      <c r="U58" s="35" t="s">
        <v>57</v>
      </c>
    </row>
    <row r="59" spans="1:21">
      <c r="A59" s="74">
        <v>2023</v>
      </c>
      <c r="B59" s="74" t="s">
        <v>124</v>
      </c>
      <c r="C59" s="75">
        <v>30750</v>
      </c>
      <c r="D59" s="76">
        <v>31</v>
      </c>
      <c r="E59" s="77">
        <v>45138</v>
      </c>
      <c r="F59" s="74" t="s">
        <v>32</v>
      </c>
      <c r="G59" s="76" t="s">
        <v>53</v>
      </c>
      <c r="H59" s="76" t="s">
        <v>121</v>
      </c>
      <c r="I59" s="76" t="s">
        <v>55</v>
      </c>
      <c r="J59" s="76" t="s">
        <v>35</v>
      </c>
      <c r="K59" s="74" t="s">
        <v>36</v>
      </c>
      <c r="L59" s="75" t="s">
        <v>37</v>
      </c>
      <c r="M59" s="74" t="s">
        <v>38</v>
      </c>
      <c r="N59" s="75"/>
      <c r="O59" s="75">
        <v>50</v>
      </c>
      <c r="P59" s="75">
        <v>50</v>
      </c>
      <c r="Q59" s="53">
        <v>0</v>
      </c>
      <c r="R59" s="35" t="s">
        <v>39</v>
      </c>
      <c r="T59" s="35" t="s">
        <v>56</v>
      </c>
      <c r="U59" s="35" t="s">
        <v>57</v>
      </c>
    </row>
    <row r="60" spans="1:21">
      <c r="A60" s="74">
        <v>2023</v>
      </c>
      <c r="B60" s="74" t="s">
        <v>125</v>
      </c>
      <c r="C60" s="75">
        <v>30751</v>
      </c>
      <c r="D60" s="76">
        <v>31</v>
      </c>
      <c r="E60" s="77">
        <v>45138</v>
      </c>
      <c r="F60" s="74" t="s">
        <v>32</v>
      </c>
      <c r="G60" s="76" t="s">
        <v>53</v>
      </c>
      <c r="H60" s="76" t="s">
        <v>121</v>
      </c>
      <c r="I60" s="76" t="s">
        <v>55</v>
      </c>
      <c r="J60" s="76" t="s">
        <v>35</v>
      </c>
      <c r="K60" s="74" t="s">
        <v>36</v>
      </c>
      <c r="L60" s="75" t="s">
        <v>37</v>
      </c>
      <c r="M60" s="74" t="s">
        <v>38</v>
      </c>
      <c r="N60" s="75"/>
      <c r="O60" s="75">
        <v>50</v>
      </c>
      <c r="P60" s="75">
        <v>50</v>
      </c>
      <c r="Q60" s="53">
        <v>0</v>
      </c>
      <c r="R60" s="35" t="s">
        <v>39</v>
      </c>
      <c r="T60" s="35" t="s">
        <v>56</v>
      </c>
      <c r="U60" s="35" t="s">
        <v>57</v>
      </c>
    </row>
    <row r="61" spans="1:21" s="83" customFormat="1">
      <c r="A61" s="78">
        <v>2023</v>
      </c>
      <c r="B61" s="78" t="s">
        <v>126</v>
      </c>
      <c r="C61" s="79">
        <v>30752</v>
      </c>
      <c r="D61" s="80">
        <v>31</v>
      </c>
      <c r="E61" s="81">
        <v>45138</v>
      </c>
      <c r="F61" s="78" t="s">
        <v>32</v>
      </c>
      <c r="G61" s="80" t="s">
        <v>53</v>
      </c>
      <c r="H61" s="80" t="s">
        <v>121</v>
      </c>
      <c r="I61" s="80" t="s">
        <v>55</v>
      </c>
      <c r="J61" s="80" t="s">
        <v>35</v>
      </c>
      <c r="K61" s="78" t="s">
        <v>36</v>
      </c>
      <c r="L61" s="79" t="s">
        <v>37</v>
      </c>
      <c r="M61" s="78" t="s">
        <v>38</v>
      </c>
      <c r="N61" s="79"/>
      <c r="O61" s="79">
        <v>50</v>
      </c>
      <c r="P61" s="79">
        <v>50</v>
      </c>
      <c r="Q61" s="82">
        <v>1</v>
      </c>
      <c r="R61" s="83" t="s">
        <v>46</v>
      </c>
      <c r="T61" s="83" t="s">
        <v>56</v>
      </c>
      <c r="U61" s="83" t="s">
        <v>57</v>
      </c>
    </row>
    <row r="62" spans="1:21">
      <c r="A62" s="74">
        <v>2023</v>
      </c>
      <c r="B62" s="74" t="s">
        <v>127</v>
      </c>
      <c r="C62" s="75">
        <v>30753</v>
      </c>
      <c r="D62" s="76">
        <v>31</v>
      </c>
      <c r="E62" s="77">
        <v>45138</v>
      </c>
      <c r="F62" s="74" t="s">
        <v>32</v>
      </c>
      <c r="G62" s="76" t="s">
        <v>53</v>
      </c>
      <c r="H62" s="76" t="s">
        <v>121</v>
      </c>
      <c r="I62" s="76" t="s">
        <v>55</v>
      </c>
      <c r="J62" s="76" t="s">
        <v>35</v>
      </c>
      <c r="K62" s="74" t="s">
        <v>36</v>
      </c>
      <c r="L62" s="75" t="s">
        <v>37</v>
      </c>
      <c r="M62" s="74" t="s">
        <v>38</v>
      </c>
      <c r="N62" s="75"/>
      <c r="O62" s="75">
        <v>50</v>
      </c>
      <c r="P62" s="75">
        <v>50</v>
      </c>
      <c r="Q62" s="53">
        <v>0</v>
      </c>
      <c r="R62" s="35" t="s">
        <v>39</v>
      </c>
      <c r="T62" s="35" t="s">
        <v>56</v>
      </c>
      <c r="U62" s="35" t="s">
        <v>57</v>
      </c>
    </row>
    <row r="63" spans="1:21">
      <c r="A63" s="74">
        <v>2023</v>
      </c>
      <c r="B63" s="74" t="s">
        <v>128</v>
      </c>
      <c r="C63" s="75">
        <v>30754</v>
      </c>
      <c r="D63" s="76">
        <v>31</v>
      </c>
      <c r="E63" s="77">
        <v>45138</v>
      </c>
      <c r="F63" s="74" t="s">
        <v>32</v>
      </c>
      <c r="G63" s="76" t="s">
        <v>53</v>
      </c>
      <c r="H63" s="76" t="s">
        <v>121</v>
      </c>
      <c r="I63" s="76" t="s">
        <v>55</v>
      </c>
      <c r="J63" s="76" t="s">
        <v>35</v>
      </c>
      <c r="K63" s="74" t="s">
        <v>36</v>
      </c>
      <c r="L63" s="75" t="s">
        <v>37</v>
      </c>
      <c r="M63" s="74" t="s">
        <v>38</v>
      </c>
      <c r="N63" s="75"/>
      <c r="O63" s="75">
        <v>50</v>
      </c>
      <c r="P63" s="75">
        <v>50</v>
      </c>
      <c r="Q63" s="53">
        <v>0</v>
      </c>
      <c r="R63" s="35" t="s">
        <v>39</v>
      </c>
      <c r="T63" s="35" t="s">
        <v>56</v>
      </c>
      <c r="U63" s="35" t="s">
        <v>57</v>
      </c>
    </row>
    <row r="64" spans="1:21">
      <c r="A64" s="74">
        <v>2023</v>
      </c>
      <c r="B64" s="74" t="s">
        <v>129</v>
      </c>
      <c r="C64" s="75">
        <v>30755</v>
      </c>
      <c r="D64" s="76">
        <v>31</v>
      </c>
      <c r="E64" s="77">
        <v>45138</v>
      </c>
      <c r="F64" s="74" t="s">
        <v>32</v>
      </c>
      <c r="G64" s="76" t="s">
        <v>53</v>
      </c>
      <c r="H64" s="76" t="s">
        <v>121</v>
      </c>
      <c r="I64" s="76" t="s">
        <v>55</v>
      </c>
      <c r="J64" s="76" t="s">
        <v>35</v>
      </c>
      <c r="K64" s="74" t="s">
        <v>36</v>
      </c>
      <c r="L64" s="75" t="s">
        <v>37</v>
      </c>
      <c r="M64" s="74" t="s">
        <v>38</v>
      </c>
      <c r="N64" s="75"/>
      <c r="O64" s="75">
        <v>50</v>
      </c>
      <c r="P64" s="75">
        <v>50</v>
      </c>
      <c r="Q64" s="53">
        <v>0</v>
      </c>
      <c r="R64" s="35" t="s">
        <v>39</v>
      </c>
      <c r="T64" s="35" t="s">
        <v>56</v>
      </c>
      <c r="U64" s="35" t="s">
        <v>57</v>
      </c>
    </row>
    <row r="65" spans="1:21">
      <c r="A65" s="74">
        <v>2023</v>
      </c>
      <c r="B65" s="74" t="s">
        <v>130</v>
      </c>
      <c r="C65" s="75">
        <v>30756</v>
      </c>
      <c r="D65" s="76">
        <v>31</v>
      </c>
      <c r="E65" s="77">
        <v>45138</v>
      </c>
      <c r="F65" s="74" t="s">
        <v>32</v>
      </c>
      <c r="G65" s="76" t="s">
        <v>53</v>
      </c>
      <c r="H65" s="76" t="s">
        <v>121</v>
      </c>
      <c r="I65" s="76" t="s">
        <v>55</v>
      </c>
      <c r="J65" s="76" t="s">
        <v>35</v>
      </c>
      <c r="K65" s="74" t="s">
        <v>36</v>
      </c>
      <c r="L65" s="75" t="s">
        <v>37</v>
      </c>
      <c r="M65" s="74" t="s">
        <v>38</v>
      </c>
      <c r="N65" s="75"/>
      <c r="O65" s="75">
        <v>50</v>
      </c>
      <c r="P65" s="75">
        <v>50</v>
      </c>
      <c r="Q65" s="53">
        <v>0</v>
      </c>
      <c r="R65" s="35" t="s">
        <v>39</v>
      </c>
      <c r="T65" s="35" t="s">
        <v>56</v>
      </c>
      <c r="U65" s="35" t="s">
        <v>57</v>
      </c>
    </row>
    <row r="66" spans="1:21">
      <c r="A66" s="74">
        <v>2023</v>
      </c>
      <c r="B66" s="74" t="s">
        <v>131</v>
      </c>
      <c r="C66" s="75">
        <v>30757</v>
      </c>
      <c r="D66" s="76">
        <v>31</v>
      </c>
      <c r="E66" s="77">
        <v>45138</v>
      </c>
      <c r="F66" s="74" t="s">
        <v>32</v>
      </c>
      <c r="G66" s="76" t="s">
        <v>53</v>
      </c>
      <c r="H66" s="76" t="s">
        <v>121</v>
      </c>
      <c r="I66" s="76" t="s">
        <v>55</v>
      </c>
      <c r="J66" s="76" t="s">
        <v>35</v>
      </c>
      <c r="K66" s="74" t="s">
        <v>36</v>
      </c>
      <c r="L66" s="75" t="s">
        <v>37</v>
      </c>
      <c r="M66" s="74" t="s">
        <v>38</v>
      </c>
      <c r="N66" s="75"/>
      <c r="O66" s="75">
        <v>50</v>
      </c>
      <c r="P66" s="75">
        <v>50</v>
      </c>
      <c r="Q66" s="53">
        <v>0</v>
      </c>
      <c r="R66" s="35" t="s">
        <v>39</v>
      </c>
      <c r="T66" s="35" t="s">
        <v>56</v>
      </c>
      <c r="U66" s="35" t="s">
        <v>57</v>
      </c>
    </row>
    <row r="67" spans="1:21" s="83" customFormat="1">
      <c r="A67" s="78">
        <v>2023</v>
      </c>
      <c r="B67" s="78" t="s">
        <v>132</v>
      </c>
      <c r="C67" s="79">
        <v>30758</v>
      </c>
      <c r="D67" s="80">
        <v>31</v>
      </c>
      <c r="E67" s="81">
        <v>45138</v>
      </c>
      <c r="F67" s="78" t="s">
        <v>32</v>
      </c>
      <c r="G67" s="80" t="s">
        <v>53</v>
      </c>
      <c r="H67" s="80" t="s">
        <v>121</v>
      </c>
      <c r="I67" s="80" t="s">
        <v>55</v>
      </c>
      <c r="J67" s="80" t="s">
        <v>35</v>
      </c>
      <c r="K67" s="78" t="s">
        <v>36</v>
      </c>
      <c r="L67" s="79" t="s">
        <v>37</v>
      </c>
      <c r="M67" s="78" t="s">
        <v>38</v>
      </c>
      <c r="N67" s="79"/>
      <c r="O67" s="79">
        <v>50</v>
      </c>
      <c r="P67" s="79">
        <v>50</v>
      </c>
      <c r="Q67" s="82">
        <v>1</v>
      </c>
      <c r="R67" s="83" t="s">
        <v>46</v>
      </c>
      <c r="T67" s="83" t="s">
        <v>56</v>
      </c>
      <c r="U67" s="83" t="s">
        <v>57</v>
      </c>
    </row>
    <row r="68" spans="1:21">
      <c r="A68" s="74">
        <v>2023</v>
      </c>
      <c r="B68" s="74" t="s">
        <v>133</v>
      </c>
      <c r="C68" s="75">
        <v>30759</v>
      </c>
      <c r="D68" s="76">
        <v>31</v>
      </c>
      <c r="E68" s="77">
        <v>45138</v>
      </c>
      <c r="F68" s="74" t="s">
        <v>32</v>
      </c>
      <c r="G68" s="76" t="s">
        <v>53</v>
      </c>
      <c r="H68" s="76" t="s">
        <v>121</v>
      </c>
      <c r="I68" s="76" t="s">
        <v>55</v>
      </c>
      <c r="J68" s="76" t="s">
        <v>35</v>
      </c>
      <c r="K68" s="74" t="s">
        <v>36</v>
      </c>
      <c r="L68" s="75" t="s">
        <v>37</v>
      </c>
      <c r="M68" s="74" t="s">
        <v>38</v>
      </c>
      <c r="N68" s="75"/>
      <c r="O68" s="75">
        <v>27</v>
      </c>
      <c r="P68" s="75">
        <v>27</v>
      </c>
      <c r="Q68" s="53">
        <v>0</v>
      </c>
      <c r="R68" s="35" t="s">
        <v>39</v>
      </c>
      <c r="T68" s="35" t="s">
        <v>56</v>
      </c>
      <c r="U68" s="35" t="s">
        <v>57</v>
      </c>
    </row>
    <row r="69" spans="1:21" s="83" customFormat="1">
      <c r="A69" s="78">
        <v>2023</v>
      </c>
      <c r="B69" s="78" t="s">
        <v>134</v>
      </c>
      <c r="C69" s="79">
        <v>30760</v>
      </c>
      <c r="D69" s="80">
        <v>31</v>
      </c>
      <c r="E69" s="81">
        <v>45138</v>
      </c>
      <c r="F69" s="78" t="s">
        <v>32</v>
      </c>
      <c r="G69" s="80" t="s">
        <v>53</v>
      </c>
      <c r="H69" s="80" t="s">
        <v>121</v>
      </c>
      <c r="I69" s="80" t="s">
        <v>55</v>
      </c>
      <c r="J69" s="80" t="s">
        <v>35</v>
      </c>
      <c r="K69" s="78" t="s">
        <v>36</v>
      </c>
      <c r="L69" s="79" t="s">
        <v>49</v>
      </c>
      <c r="M69" s="78" t="s">
        <v>38</v>
      </c>
      <c r="N69" s="79"/>
      <c r="O69" s="79">
        <v>44</v>
      </c>
      <c r="P69" s="79">
        <v>44</v>
      </c>
      <c r="Q69" s="82">
        <v>1</v>
      </c>
      <c r="R69" s="83" t="s">
        <v>46</v>
      </c>
      <c r="T69" s="83" t="s">
        <v>62</v>
      </c>
      <c r="U69" s="83" t="s">
        <v>63</v>
      </c>
    </row>
    <row r="70" spans="1:21">
      <c r="A70" s="74">
        <v>2023</v>
      </c>
      <c r="B70" s="74" t="s">
        <v>135</v>
      </c>
      <c r="C70" s="75">
        <v>30761</v>
      </c>
      <c r="D70" s="76">
        <v>31</v>
      </c>
      <c r="E70" s="77">
        <v>45139</v>
      </c>
      <c r="F70" s="74" t="s">
        <v>32</v>
      </c>
      <c r="G70" s="76" t="s">
        <v>33</v>
      </c>
      <c r="H70" s="76" t="s">
        <v>136</v>
      </c>
      <c r="I70" s="76" t="s">
        <v>33</v>
      </c>
      <c r="J70" s="76" t="s">
        <v>35</v>
      </c>
      <c r="K70" s="74" t="s">
        <v>36</v>
      </c>
      <c r="L70" s="75" t="s">
        <v>37</v>
      </c>
      <c r="M70" s="74" t="s">
        <v>38</v>
      </c>
      <c r="N70" s="75"/>
      <c r="O70" s="75">
        <v>50</v>
      </c>
      <c r="P70" s="75">
        <v>50</v>
      </c>
      <c r="Q70" s="53">
        <v>0</v>
      </c>
      <c r="R70" s="35" t="s">
        <v>39</v>
      </c>
      <c r="T70" s="35" t="s">
        <v>40</v>
      </c>
      <c r="U70" s="35" t="s">
        <v>40</v>
      </c>
    </row>
    <row r="71" spans="1:21">
      <c r="A71" s="74">
        <v>2023</v>
      </c>
      <c r="B71" s="74" t="s">
        <v>137</v>
      </c>
      <c r="C71" s="75">
        <v>30762</v>
      </c>
      <c r="D71" s="76">
        <v>31</v>
      </c>
      <c r="E71" s="77">
        <v>45139</v>
      </c>
      <c r="F71" s="74" t="s">
        <v>32</v>
      </c>
      <c r="G71" s="76" t="s">
        <v>33</v>
      </c>
      <c r="H71" s="76" t="s">
        <v>136</v>
      </c>
      <c r="I71" s="76" t="s">
        <v>33</v>
      </c>
      <c r="J71" s="76" t="s">
        <v>35</v>
      </c>
      <c r="K71" s="74" t="s">
        <v>36</v>
      </c>
      <c r="L71" s="75" t="s">
        <v>37</v>
      </c>
      <c r="M71" s="74" t="s">
        <v>38</v>
      </c>
      <c r="N71" s="75"/>
      <c r="O71" s="75">
        <v>50</v>
      </c>
      <c r="P71" s="75">
        <v>50</v>
      </c>
      <c r="Q71" s="53">
        <v>0</v>
      </c>
      <c r="R71" s="35" t="s">
        <v>39</v>
      </c>
      <c r="T71" s="35" t="s">
        <v>40</v>
      </c>
      <c r="U71" s="35" t="s">
        <v>40</v>
      </c>
    </row>
    <row r="72" spans="1:21">
      <c r="A72" s="74">
        <v>2023</v>
      </c>
      <c r="B72" s="74" t="s">
        <v>138</v>
      </c>
      <c r="C72" s="75">
        <v>30763</v>
      </c>
      <c r="D72" s="76">
        <v>31</v>
      </c>
      <c r="E72" s="77">
        <v>45139</v>
      </c>
      <c r="F72" s="74" t="s">
        <v>32</v>
      </c>
      <c r="G72" s="76" t="s">
        <v>33</v>
      </c>
      <c r="H72" s="76" t="s">
        <v>136</v>
      </c>
      <c r="I72" s="76" t="s">
        <v>33</v>
      </c>
      <c r="J72" s="76" t="s">
        <v>35</v>
      </c>
      <c r="K72" s="74" t="s">
        <v>36</v>
      </c>
      <c r="L72" s="75" t="s">
        <v>37</v>
      </c>
      <c r="M72" s="74" t="s">
        <v>38</v>
      </c>
      <c r="N72" s="75"/>
      <c r="O72" s="75">
        <v>50</v>
      </c>
      <c r="P72" s="75">
        <v>50</v>
      </c>
      <c r="Q72" s="53">
        <v>0</v>
      </c>
      <c r="R72" s="35" t="s">
        <v>39</v>
      </c>
      <c r="T72" s="35" t="s">
        <v>40</v>
      </c>
      <c r="U72" s="35" t="s">
        <v>40</v>
      </c>
    </row>
    <row r="73" spans="1:21">
      <c r="A73" s="74">
        <v>2023</v>
      </c>
      <c r="B73" s="74" t="s">
        <v>139</v>
      </c>
      <c r="C73" s="75">
        <v>30764</v>
      </c>
      <c r="D73" s="76">
        <v>31</v>
      </c>
      <c r="E73" s="77">
        <v>45139</v>
      </c>
      <c r="F73" s="74" t="s">
        <v>32</v>
      </c>
      <c r="G73" s="76" t="s">
        <v>33</v>
      </c>
      <c r="H73" s="76" t="s">
        <v>140</v>
      </c>
      <c r="I73" s="76" t="s">
        <v>33</v>
      </c>
      <c r="J73" s="76" t="s">
        <v>35</v>
      </c>
      <c r="K73" s="74" t="s">
        <v>36</v>
      </c>
      <c r="L73" s="75" t="s">
        <v>37</v>
      </c>
      <c r="M73" s="74" t="s">
        <v>38</v>
      </c>
      <c r="N73" s="75"/>
      <c r="O73" s="75">
        <v>50</v>
      </c>
      <c r="P73" s="75">
        <v>50</v>
      </c>
      <c r="Q73" s="53">
        <v>0</v>
      </c>
      <c r="R73" s="35" t="s">
        <v>39</v>
      </c>
      <c r="T73" s="35" t="s">
        <v>40</v>
      </c>
      <c r="U73" s="35" t="s">
        <v>40</v>
      </c>
    </row>
    <row r="74" spans="1:21">
      <c r="A74" s="74">
        <v>2023</v>
      </c>
      <c r="B74" s="74" t="s">
        <v>141</v>
      </c>
      <c r="C74" s="75">
        <v>30765</v>
      </c>
      <c r="D74" s="76">
        <v>31</v>
      </c>
      <c r="E74" s="77">
        <v>45139</v>
      </c>
      <c r="F74" s="74" t="s">
        <v>32</v>
      </c>
      <c r="G74" s="76" t="s">
        <v>33</v>
      </c>
      <c r="H74" s="76" t="s">
        <v>140</v>
      </c>
      <c r="I74" s="76" t="s">
        <v>33</v>
      </c>
      <c r="J74" s="76" t="s">
        <v>35</v>
      </c>
      <c r="K74" s="74" t="s">
        <v>36</v>
      </c>
      <c r="L74" s="75" t="s">
        <v>37</v>
      </c>
      <c r="M74" s="74" t="s">
        <v>38</v>
      </c>
      <c r="N74" s="75"/>
      <c r="O74" s="75">
        <v>50</v>
      </c>
      <c r="P74" s="75">
        <v>50</v>
      </c>
      <c r="Q74" s="53">
        <v>0</v>
      </c>
      <c r="R74" s="35" t="s">
        <v>39</v>
      </c>
      <c r="T74" s="35" t="s">
        <v>40</v>
      </c>
      <c r="U74" s="35" t="s">
        <v>40</v>
      </c>
    </row>
    <row r="75" spans="1:21">
      <c r="A75" s="74">
        <v>2023</v>
      </c>
      <c r="B75" s="74" t="s">
        <v>142</v>
      </c>
      <c r="C75" s="75">
        <v>30766</v>
      </c>
      <c r="D75" s="76">
        <v>31</v>
      </c>
      <c r="E75" s="77">
        <v>45139</v>
      </c>
      <c r="F75" s="74" t="s">
        <v>32</v>
      </c>
      <c r="G75" s="76" t="s">
        <v>33</v>
      </c>
      <c r="H75" s="76" t="s">
        <v>140</v>
      </c>
      <c r="I75" s="76" t="s">
        <v>33</v>
      </c>
      <c r="J75" s="76" t="s">
        <v>35</v>
      </c>
      <c r="K75" s="74" t="s">
        <v>36</v>
      </c>
      <c r="L75" s="75" t="s">
        <v>37</v>
      </c>
      <c r="M75" s="74" t="s">
        <v>38</v>
      </c>
      <c r="N75" s="75"/>
      <c r="O75" s="75">
        <v>18</v>
      </c>
      <c r="P75" s="75">
        <v>18</v>
      </c>
      <c r="Q75" s="53">
        <v>0</v>
      </c>
      <c r="R75" s="35" t="s">
        <v>39</v>
      </c>
      <c r="T75" s="35" t="s">
        <v>40</v>
      </c>
      <c r="U75" s="35" t="s">
        <v>40</v>
      </c>
    </row>
    <row r="76" spans="1:21">
      <c r="A76" s="74">
        <v>2023</v>
      </c>
      <c r="B76" s="74" t="s">
        <v>143</v>
      </c>
      <c r="C76" s="75">
        <v>30767</v>
      </c>
      <c r="D76" s="76">
        <v>31</v>
      </c>
      <c r="E76" s="77">
        <v>45139</v>
      </c>
      <c r="F76" s="74" t="s">
        <v>32</v>
      </c>
      <c r="G76" s="76" t="s">
        <v>33</v>
      </c>
      <c r="H76" s="76" t="s">
        <v>140</v>
      </c>
      <c r="I76" s="76" t="s">
        <v>33</v>
      </c>
      <c r="J76" s="76" t="s">
        <v>35</v>
      </c>
      <c r="K76" s="74" t="s">
        <v>36</v>
      </c>
      <c r="L76" s="75" t="s">
        <v>49</v>
      </c>
      <c r="M76" s="74" t="s">
        <v>38</v>
      </c>
      <c r="N76" s="75"/>
      <c r="O76" s="75">
        <v>19</v>
      </c>
      <c r="P76" s="75">
        <v>19</v>
      </c>
      <c r="Q76" s="53">
        <v>0</v>
      </c>
      <c r="R76" s="35" t="s">
        <v>39</v>
      </c>
      <c r="T76" s="35" t="s">
        <v>50</v>
      </c>
      <c r="U76" s="35" t="s">
        <v>50</v>
      </c>
    </row>
    <row r="77" spans="1:21">
      <c r="A77" s="74">
        <v>2023</v>
      </c>
      <c r="B77" s="74" t="s">
        <v>144</v>
      </c>
      <c r="C77" s="75">
        <v>30768</v>
      </c>
      <c r="D77" s="76">
        <v>31</v>
      </c>
      <c r="E77" s="77">
        <v>45139</v>
      </c>
      <c r="F77" s="74" t="s">
        <v>32</v>
      </c>
      <c r="G77" s="76" t="s">
        <v>53</v>
      </c>
      <c r="H77" s="76" t="s">
        <v>145</v>
      </c>
      <c r="I77" s="76" t="s">
        <v>146</v>
      </c>
      <c r="J77" s="76" t="s">
        <v>35</v>
      </c>
      <c r="K77" s="74" t="s">
        <v>36</v>
      </c>
      <c r="L77" s="75" t="s">
        <v>37</v>
      </c>
      <c r="M77" s="74" t="s">
        <v>38</v>
      </c>
      <c r="N77" s="75"/>
      <c r="O77" s="75">
        <v>2</v>
      </c>
      <c r="P77" s="75">
        <v>2</v>
      </c>
      <c r="Q77" s="53">
        <v>0</v>
      </c>
      <c r="R77" s="35" t="s">
        <v>39</v>
      </c>
      <c r="T77" s="35" t="s">
        <v>56</v>
      </c>
      <c r="U77" s="35" t="s">
        <v>147</v>
      </c>
    </row>
    <row r="78" spans="1:21">
      <c r="A78" s="74">
        <v>2023</v>
      </c>
      <c r="B78" s="74" t="s">
        <v>148</v>
      </c>
      <c r="C78" s="75">
        <v>30769</v>
      </c>
      <c r="D78" s="76">
        <v>31</v>
      </c>
      <c r="E78" s="77">
        <v>45139</v>
      </c>
      <c r="F78" s="74" t="s">
        <v>32</v>
      </c>
      <c r="G78" s="76" t="s">
        <v>33</v>
      </c>
      <c r="H78" s="76" t="s">
        <v>149</v>
      </c>
      <c r="I78" s="76" t="s">
        <v>33</v>
      </c>
      <c r="J78" s="76" t="s">
        <v>35</v>
      </c>
      <c r="K78" s="74" t="s">
        <v>36</v>
      </c>
      <c r="L78" s="75" t="s">
        <v>37</v>
      </c>
      <c r="M78" s="74" t="s">
        <v>38</v>
      </c>
      <c r="N78" s="75"/>
      <c r="O78" s="75">
        <v>9</v>
      </c>
      <c r="P78" s="75">
        <v>9</v>
      </c>
      <c r="Q78" s="53">
        <v>0</v>
      </c>
      <c r="R78" s="35" t="s">
        <v>39</v>
      </c>
      <c r="T78" s="35" t="s">
        <v>40</v>
      </c>
      <c r="U78" s="35" t="s">
        <v>40</v>
      </c>
    </row>
    <row r="79" spans="1:21">
      <c r="A79" s="74">
        <v>2023</v>
      </c>
      <c r="B79" s="74" t="s">
        <v>150</v>
      </c>
      <c r="C79" s="75">
        <v>30770</v>
      </c>
      <c r="D79" s="76">
        <v>31</v>
      </c>
      <c r="E79" s="77">
        <v>45139</v>
      </c>
      <c r="F79" s="74" t="s">
        <v>32</v>
      </c>
      <c r="G79" s="76" t="s">
        <v>53</v>
      </c>
      <c r="H79" s="76" t="s">
        <v>151</v>
      </c>
      <c r="I79" s="76" t="s">
        <v>146</v>
      </c>
      <c r="J79" s="76" t="s">
        <v>35</v>
      </c>
      <c r="K79" s="74" t="s">
        <v>36</v>
      </c>
      <c r="L79" s="75" t="s">
        <v>37</v>
      </c>
      <c r="M79" s="74" t="s">
        <v>38</v>
      </c>
      <c r="N79" s="75"/>
      <c r="O79" s="75">
        <v>2</v>
      </c>
      <c r="P79" s="75">
        <v>2</v>
      </c>
      <c r="Q79" s="53">
        <v>0</v>
      </c>
      <c r="R79" s="35" t="s">
        <v>39</v>
      </c>
      <c r="T79" s="35" t="s">
        <v>56</v>
      </c>
      <c r="U79" s="35" t="s">
        <v>147</v>
      </c>
    </row>
    <row r="80" spans="1:21">
      <c r="A80" s="74">
        <v>2023</v>
      </c>
      <c r="B80" s="74" t="s">
        <v>152</v>
      </c>
      <c r="C80" s="75">
        <v>30771</v>
      </c>
      <c r="D80" s="76">
        <v>31</v>
      </c>
      <c r="E80" s="77">
        <v>45139</v>
      </c>
      <c r="F80" s="74" t="s">
        <v>32</v>
      </c>
      <c r="G80" s="76" t="s">
        <v>53</v>
      </c>
      <c r="H80" s="76" t="s">
        <v>153</v>
      </c>
      <c r="I80" s="76" t="s">
        <v>146</v>
      </c>
      <c r="J80" s="76" t="s">
        <v>35</v>
      </c>
      <c r="K80" s="74" t="s">
        <v>36</v>
      </c>
      <c r="L80" s="75" t="s">
        <v>37</v>
      </c>
      <c r="M80" s="74" t="s">
        <v>38</v>
      </c>
      <c r="N80" s="75"/>
      <c r="O80" s="75">
        <v>20</v>
      </c>
      <c r="P80" s="75">
        <v>20</v>
      </c>
      <c r="Q80" s="53">
        <v>0</v>
      </c>
      <c r="R80" s="35" t="s">
        <v>39</v>
      </c>
      <c r="T80" s="35" t="s">
        <v>56</v>
      </c>
      <c r="U80" s="35" t="s">
        <v>147</v>
      </c>
    </row>
    <row r="81" spans="1:21">
      <c r="A81" s="74">
        <v>2023</v>
      </c>
      <c r="B81" s="74" t="s">
        <v>154</v>
      </c>
      <c r="C81" s="75">
        <v>30772</v>
      </c>
      <c r="D81" s="76">
        <v>31</v>
      </c>
      <c r="E81" s="77">
        <v>45139</v>
      </c>
      <c r="F81" s="74" t="s">
        <v>32</v>
      </c>
      <c r="G81" s="76" t="s">
        <v>53</v>
      </c>
      <c r="H81" s="76" t="s">
        <v>153</v>
      </c>
      <c r="I81" s="76" t="s">
        <v>146</v>
      </c>
      <c r="J81" s="76" t="s">
        <v>35</v>
      </c>
      <c r="K81" s="74" t="s">
        <v>36</v>
      </c>
      <c r="L81" s="75" t="s">
        <v>49</v>
      </c>
      <c r="M81" s="74" t="s">
        <v>38</v>
      </c>
      <c r="N81" s="75"/>
      <c r="O81" s="75">
        <v>6</v>
      </c>
      <c r="P81" s="75">
        <v>6</v>
      </c>
      <c r="Q81" s="53">
        <v>0</v>
      </c>
      <c r="R81" s="35" t="s">
        <v>39</v>
      </c>
      <c r="T81" s="35" t="s">
        <v>62</v>
      </c>
      <c r="U81" s="35" t="s">
        <v>155</v>
      </c>
    </row>
    <row r="82" spans="1:21" s="83" customFormat="1">
      <c r="A82" s="78">
        <v>2023</v>
      </c>
      <c r="B82" s="78" t="s">
        <v>156</v>
      </c>
      <c r="C82" s="79">
        <v>30773</v>
      </c>
      <c r="D82" s="80">
        <v>31</v>
      </c>
      <c r="E82" s="81">
        <v>45139</v>
      </c>
      <c r="F82" s="78" t="s">
        <v>32</v>
      </c>
      <c r="G82" s="80" t="s">
        <v>53</v>
      </c>
      <c r="H82" s="80" t="s">
        <v>157</v>
      </c>
      <c r="I82" s="80" t="s">
        <v>146</v>
      </c>
      <c r="J82" s="80" t="s">
        <v>35</v>
      </c>
      <c r="K82" s="78" t="s">
        <v>36</v>
      </c>
      <c r="L82" s="79" t="s">
        <v>37</v>
      </c>
      <c r="M82" s="78" t="s">
        <v>38</v>
      </c>
      <c r="N82" s="79"/>
      <c r="O82" s="79">
        <v>12</v>
      </c>
      <c r="P82" s="79">
        <v>12</v>
      </c>
      <c r="Q82" s="82">
        <v>1</v>
      </c>
      <c r="R82" s="83" t="s">
        <v>46</v>
      </c>
      <c r="T82" s="83" t="s">
        <v>56</v>
      </c>
      <c r="U82" s="83" t="s">
        <v>147</v>
      </c>
    </row>
    <row r="83" spans="1:21">
      <c r="A83" s="74">
        <v>2023</v>
      </c>
      <c r="B83" s="74" t="s">
        <v>158</v>
      </c>
      <c r="C83" s="75">
        <v>30774</v>
      </c>
      <c r="D83" s="76">
        <v>31</v>
      </c>
      <c r="E83" s="77">
        <v>45139</v>
      </c>
      <c r="F83" s="74" t="s">
        <v>32</v>
      </c>
      <c r="G83" s="76" t="s">
        <v>53</v>
      </c>
      <c r="H83" s="76" t="s">
        <v>157</v>
      </c>
      <c r="I83" s="76" t="s">
        <v>146</v>
      </c>
      <c r="J83" s="76" t="s">
        <v>35</v>
      </c>
      <c r="K83" s="74" t="s">
        <v>36</v>
      </c>
      <c r="L83" s="75" t="s">
        <v>49</v>
      </c>
      <c r="M83" s="74" t="s">
        <v>38</v>
      </c>
      <c r="N83" s="75"/>
      <c r="O83" s="75">
        <v>1</v>
      </c>
      <c r="P83" s="75">
        <v>1</v>
      </c>
      <c r="Q83" s="53">
        <v>0</v>
      </c>
      <c r="R83" s="35" t="s">
        <v>39</v>
      </c>
      <c r="T83" s="35" t="s">
        <v>62</v>
      </c>
      <c r="U83" s="35" t="s">
        <v>155</v>
      </c>
    </row>
    <row r="84" spans="1:21">
      <c r="A84" s="74">
        <v>2023</v>
      </c>
      <c r="B84" s="74" t="s">
        <v>159</v>
      </c>
      <c r="C84" s="75">
        <v>30775</v>
      </c>
      <c r="D84" s="76">
        <v>31</v>
      </c>
      <c r="E84" s="77">
        <v>45139</v>
      </c>
      <c r="F84" s="74" t="s">
        <v>32</v>
      </c>
      <c r="G84" s="76" t="s">
        <v>53</v>
      </c>
      <c r="H84" s="76" t="s">
        <v>160</v>
      </c>
      <c r="I84" s="76" t="s">
        <v>146</v>
      </c>
      <c r="J84" s="76" t="s">
        <v>35</v>
      </c>
      <c r="K84" s="74" t="s">
        <v>36</v>
      </c>
      <c r="L84" s="75" t="s">
        <v>37</v>
      </c>
      <c r="M84" s="74" t="s">
        <v>38</v>
      </c>
      <c r="N84" s="75"/>
      <c r="O84" s="75">
        <v>26</v>
      </c>
      <c r="P84" s="75">
        <v>26</v>
      </c>
      <c r="Q84" s="53">
        <v>0</v>
      </c>
      <c r="R84" s="35" t="s">
        <v>39</v>
      </c>
      <c r="T84" s="35" t="s">
        <v>56</v>
      </c>
      <c r="U84" s="35" t="s">
        <v>147</v>
      </c>
    </row>
    <row r="85" spans="1:21">
      <c r="A85" s="74">
        <v>2023</v>
      </c>
      <c r="B85" s="74" t="s">
        <v>161</v>
      </c>
      <c r="C85" s="75">
        <v>30776</v>
      </c>
      <c r="D85" s="76">
        <v>31</v>
      </c>
      <c r="E85" s="77">
        <v>45139</v>
      </c>
      <c r="F85" s="74" t="s">
        <v>32</v>
      </c>
      <c r="G85" s="76" t="s">
        <v>53</v>
      </c>
      <c r="H85" s="76" t="s">
        <v>160</v>
      </c>
      <c r="I85" s="76" t="s">
        <v>146</v>
      </c>
      <c r="J85" s="76" t="s">
        <v>35</v>
      </c>
      <c r="K85" s="74" t="s">
        <v>36</v>
      </c>
      <c r="L85" s="75" t="s">
        <v>49</v>
      </c>
      <c r="M85" s="74" t="s">
        <v>38</v>
      </c>
      <c r="N85" s="75"/>
      <c r="O85" s="75">
        <v>11</v>
      </c>
      <c r="P85" s="75">
        <v>11</v>
      </c>
      <c r="Q85" s="53">
        <v>0</v>
      </c>
      <c r="R85" s="35" t="s">
        <v>39</v>
      </c>
      <c r="T85" s="35" t="s">
        <v>62</v>
      </c>
      <c r="U85" s="35" t="s">
        <v>155</v>
      </c>
    </row>
    <row r="86" spans="1:21">
      <c r="A86" s="74">
        <v>2023</v>
      </c>
      <c r="B86" s="74" t="s">
        <v>162</v>
      </c>
      <c r="C86" s="75">
        <v>30777</v>
      </c>
      <c r="D86" s="76">
        <v>31</v>
      </c>
      <c r="E86" s="77">
        <v>45139</v>
      </c>
      <c r="F86" s="74" t="s">
        <v>32</v>
      </c>
      <c r="G86" s="76" t="s">
        <v>53</v>
      </c>
      <c r="H86" s="76" t="s">
        <v>163</v>
      </c>
      <c r="I86" s="76" t="s">
        <v>164</v>
      </c>
      <c r="J86" s="76" t="s">
        <v>35</v>
      </c>
      <c r="K86" s="74" t="s">
        <v>36</v>
      </c>
      <c r="L86" s="75" t="s">
        <v>37</v>
      </c>
      <c r="M86" s="74" t="s">
        <v>38</v>
      </c>
      <c r="N86" s="75"/>
      <c r="O86" s="75">
        <v>20</v>
      </c>
      <c r="P86" s="75">
        <v>20</v>
      </c>
      <c r="Q86" s="53">
        <v>0</v>
      </c>
      <c r="R86" s="35" t="s">
        <v>39</v>
      </c>
      <c r="T86" s="35" t="s">
        <v>56</v>
      </c>
      <c r="U86" s="35" t="s">
        <v>165</v>
      </c>
    </row>
    <row r="87" spans="1:21">
      <c r="A87" s="74">
        <v>2023</v>
      </c>
      <c r="B87" s="74" t="s">
        <v>166</v>
      </c>
      <c r="C87" s="75">
        <v>30778</v>
      </c>
      <c r="D87" s="76">
        <v>31</v>
      </c>
      <c r="E87" s="77">
        <v>45139</v>
      </c>
      <c r="F87" s="74" t="s">
        <v>32</v>
      </c>
      <c r="G87" s="76" t="s">
        <v>53</v>
      </c>
      <c r="H87" s="76" t="s">
        <v>163</v>
      </c>
      <c r="I87" s="76" t="s">
        <v>164</v>
      </c>
      <c r="J87" s="76" t="s">
        <v>35</v>
      </c>
      <c r="K87" s="74" t="s">
        <v>36</v>
      </c>
      <c r="L87" s="75" t="s">
        <v>49</v>
      </c>
      <c r="M87" s="74" t="s">
        <v>38</v>
      </c>
      <c r="N87" s="75"/>
      <c r="O87" s="75">
        <v>6</v>
      </c>
      <c r="P87" s="75">
        <v>6</v>
      </c>
      <c r="Q87" s="53">
        <v>0</v>
      </c>
      <c r="R87" s="35" t="s">
        <v>39</v>
      </c>
      <c r="T87" s="35" t="s">
        <v>62</v>
      </c>
      <c r="U87" s="35" t="s">
        <v>167</v>
      </c>
    </row>
    <row r="88" spans="1:21">
      <c r="A88" s="74">
        <v>2023</v>
      </c>
      <c r="B88" s="74" t="s">
        <v>168</v>
      </c>
      <c r="C88" s="75">
        <v>30779</v>
      </c>
      <c r="D88" s="76">
        <v>31</v>
      </c>
      <c r="E88" s="77">
        <v>45139</v>
      </c>
      <c r="F88" s="74" t="s">
        <v>32</v>
      </c>
      <c r="G88" s="76" t="s">
        <v>53</v>
      </c>
      <c r="H88" s="76" t="s">
        <v>169</v>
      </c>
      <c r="I88" s="76" t="s">
        <v>146</v>
      </c>
      <c r="J88" s="76" t="s">
        <v>71</v>
      </c>
      <c r="K88" s="74" t="s">
        <v>36</v>
      </c>
      <c r="L88" s="75" t="s">
        <v>49</v>
      </c>
      <c r="M88" s="74" t="s">
        <v>38</v>
      </c>
      <c r="N88" s="75">
        <v>1</v>
      </c>
      <c r="O88" s="75"/>
      <c r="P88" s="75">
        <v>1</v>
      </c>
      <c r="Q88" s="53">
        <v>0</v>
      </c>
      <c r="R88" s="35" t="s">
        <v>39</v>
      </c>
      <c r="T88" s="35" t="s">
        <v>62</v>
      </c>
      <c r="U88" s="35" t="s">
        <v>155</v>
      </c>
    </row>
    <row r="89" spans="1:21">
      <c r="A89" s="74">
        <v>2023</v>
      </c>
      <c r="B89" s="74" t="s">
        <v>170</v>
      </c>
      <c r="C89" s="75">
        <v>30780</v>
      </c>
      <c r="D89" s="76">
        <v>31</v>
      </c>
      <c r="E89" s="77">
        <v>45139</v>
      </c>
      <c r="F89" s="74" t="s">
        <v>32</v>
      </c>
      <c r="G89" s="76" t="s">
        <v>53</v>
      </c>
      <c r="H89" s="76" t="s">
        <v>171</v>
      </c>
      <c r="I89" s="76" t="s">
        <v>146</v>
      </c>
      <c r="J89" s="76" t="s">
        <v>35</v>
      </c>
      <c r="K89" s="74" t="s">
        <v>36</v>
      </c>
      <c r="L89" s="75" t="s">
        <v>37</v>
      </c>
      <c r="M89" s="74" t="s">
        <v>38</v>
      </c>
      <c r="N89" s="75"/>
      <c r="O89" s="75">
        <v>14</v>
      </c>
      <c r="P89" s="75">
        <v>14</v>
      </c>
      <c r="Q89" s="53">
        <v>0</v>
      </c>
      <c r="R89" s="35" t="s">
        <v>39</v>
      </c>
      <c r="T89" s="35" t="s">
        <v>56</v>
      </c>
      <c r="U89" s="35" t="s">
        <v>147</v>
      </c>
    </row>
    <row r="90" spans="1:21">
      <c r="A90" s="74">
        <v>2023</v>
      </c>
      <c r="B90" s="74" t="s">
        <v>172</v>
      </c>
      <c r="C90" s="75">
        <v>30781</v>
      </c>
      <c r="D90" s="76">
        <v>31</v>
      </c>
      <c r="E90" s="77">
        <v>45139</v>
      </c>
      <c r="F90" s="74" t="s">
        <v>32</v>
      </c>
      <c r="G90" s="76" t="s">
        <v>53</v>
      </c>
      <c r="H90" s="76" t="s">
        <v>173</v>
      </c>
      <c r="I90" s="76" t="s">
        <v>146</v>
      </c>
      <c r="J90" s="76" t="s">
        <v>35</v>
      </c>
      <c r="K90" s="74" t="s">
        <v>36</v>
      </c>
      <c r="L90" s="75" t="s">
        <v>37</v>
      </c>
      <c r="M90" s="74" t="s">
        <v>38</v>
      </c>
      <c r="N90" s="75"/>
      <c r="O90" s="75">
        <v>6</v>
      </c>
      <c r="P90" s="75">
        <v>6</v>
      </c>
      <c r="Q90" s="53">
        <v>0</v>
      </c>
      <c r="R90" s="35" t="s">
        <v>39</v>
      </c>
      <c r="T90" s="35" t="s">
        <v>56</v>
      </c>
      <c r="U90" s="35" t="s">
        <v>147</v>
      </c>
    </row>
    <row r="91" spans="1:21">
      <c r="A91" s="74">
        <v>2023</v>
      </c>
      <c r="B91" s="74" t="s">
        <v>174</v>
      </c>
      <c r="C91" s="75">
        <v>30782</v>
      </c>
      <c r="D91" s="76">
        <v>31</v>
      </c>
      <c r="E91" s="77">
        <v>45139</v>
      </c>
      <c r="F91" s="74" t="s">
        <v>32</v>
      </c>
      <c r="G91" s="76" t="s">
        <v>53</v>
      </c>
      <c r="H91" s="76" t="s">
        <v>175</v>
      </c>
      <c r="I91" s="76" t="s">
        <v>146</v>
      </c>
      <c r="J91" s="76" t="s">
        <v>35</v>
      </c>
      <c r="K91" s="74" t="s">
        <v>36</v>
      </c>
      <c r="L91" s="75" t="s">
        <v>37</v>
      </c>
      <c r="M91" s="74" t="s">
        <v>38</v>
      </c>
      <c r="N91" s="75"/>
      <c r="O91" s="75">
        <v>24</v>
      </c>
      <c r="P91" s="75">
        <v>24</v>
      </c>
      <c r="Q91" s="53">
        <v>0</v>
      </c>
      <c r="R91" s="35" t="s">
        <v>39</v>
      </c>
      <c r="T91" s="35" t="s">
        <v>56</v>
      </c>
      <c r="U91" s="35" t="s">
        <v>147</v>
      </c>
    </row>
    <row r="92" spans="1:21">
      <c r="A92" s="74">
        <v>2023</v>
      </c>
      <c r="B92" s="74" t="s">
        <v>176</v>
      </c>
      <c r="C92" s="75">
        <v>30783</v>
      </c>
      <c r="D92" s="76">
        <v>31</v>
      </c>
      <c r="E92" s="77">
        <v>45139</v>
      </c>
      <c r="F92" s="74" t="s">
        <v>32</v>
      </c>
      <c r="G92" s="76" t="s">
        <v>53</v>
      </c>
      <c r="H92" s="76" t="s">
        <v>177</v>
      </c>
      <c r="I92" s="76" t="s">
        <v>146</v>
      </c>
      <c r="J92" s="76" t="s">
        <v>35</v>
      </c>
      <c r="K92" s="74" t="s">
        <v>36</v>
      </c>
      <c r="L92" s="75" t="s">
        <v>37</v>
      </c>
      <c r="M92" s="74" t="s">
        <v>38</v>
      </c>
      <c r="N92" s="75"/>
      <c r="O92" s="75">
        <v>22</v>
      </c>
      <c r="P92" s="75">
        <v>22</v>
      </c>
      <c r="Q92" s="53">
        <v>0</v>
      </c>
      <c r="R92" s="35" t="s">
        <v>39</v>
      </c>
      <c r="T92" s="35" t="s">
        <v>56</v>
      </c>
      <c r="U92" s="35" t="s">
        <v>147</v>
      </c>
    </row>
    <row r="93" spans="1:21">
      <c r="A93" s="74">
        <v>2023</v>
      </c>
      <c r="B93" s="74" t="s">
        <v>178</v>
      </c>
      <c r="C93" s="75">
        <v>30784</v>
      </c>
      <c r="D93" s="76">
        <v>31</v>
      </c>
      <c r="E93" s="77">
        <v>45139</v>
      </c>
      <c r="F93" s="74" t="s">
        <v>32</v>
      </c>
      <c r="G93" s="76" t="s">
        <v>53</v>
      </c>
      <c r="H93" s="76" t="s">
        <v>177</v>
      </c>
      <c r="I93" s="76" t="s">
        <v>146</v>
      </c>
      <c r="J93" s="76" t="s">
        <v>35</v>
      </c>
      <c r="K93" s="74" t="s">
        <v>36</v>
      </c>
      <c r="L93" s="75" t="s">
        <v>49</v>
      </c>
      <c r="M93" s="74" t="s">
        <v>38</v>
      </c>
      <c r="N93" s="75"/>
      <c r="O93" s="75">
        <v>8</v>
      </c>
      <c r="P93" s="75">
        <v>8</v>
      </c>
      <c r="Q93" s="53">
        <v>0</v>
      </c>
      <c r="R93" s="35" t="s">
        <v>39</v>
      </c>
      <c r="T93" s="35" t="s">
        <v>62</v>
      </c>
      <c r="U93" s="35" t="s">
        <v>155</v>
      </c>
    </row>
    <row r="94" spans="1:21">
      <c r="A94" s="74">
        <v>2023</v>
      </c>
      <c r="B94" s="74" t="s">
        <v>179</v>
      </c>
      <c r="C94" s="75">
        <v>30785</v>
      </c>
      <c r="D94" s="76">
        <v>31</v>
      </c>
      <c r="E94" s="77">
        <v>45139</v>
      </c>
      <c r="F94" s="74" t="s">
        <v>32</v>
      </c>
      <c r="G94" s="76" t="s">
        <v>53</v>
      </c>
      <c r="H94" s="76" t="s">
        <v>180</v>
      </c>
      <c r="I94" s="76" t="s">
        <v>146</v>
      </c>
      <c r="J94" s="76" t="s">
        <v>35</v>
      </c>
      <c r="K94" s="74" t="s">
        <v>36</v>
      </c>
      <c r="L94" s="75" t="s">
        <v>37</v>
      </c>
      <c r="M94" s="74" t="s">
        <v>38</v>
      </c>
      <c r="N94" s="75"/>
      <c r="O94" s="75">
        <v>50</v>
      </c>
      <c r="P94" s="75">
        <v>50</v>
      </c>
      <c r="Q94" s="53">
        <v>0</v>
      </c>
      <c r="R94" s="35" t="s">
        <v>39</v>
      </c>
      <c r="T94" s="35" t="s">
        <v>56</v>
      </c>
      <c r="U94" s="35" t="s">
        <v>147</v>
      </c>
    </row>
    <row r="95" spans="1:21">
      <c r="A95" s="74">
        <v>2023</v>
      </c>
      <c r="B95" s="74" t="s">
        <v>181</v>
      </c>
      <c r="C95" s="75">
        <v>30786</v>
      </c>
      <c r="D95" s="76">
        <v>31</v>
      </c>
      <c r="E95" s="77">
        <v>45139</v>
      </c>
      <c r="F95" s="74" t="s">
        <v>32</v>
      </c>
      <c r="G95" s="76" t="s">
        <v>53</v>
      </c>
      <c r="H95" s="76" t="s">
        <v>180</v>
      </c>
      <c r="I95" s="76" t="s">
        <v>146</v>
      </c>
      <c r="J95" s="76" t="s">
        <v>35</v>
      </c>
      <c r="K95" s="74" t="s">
        <v>36</v>
      </c>
      <c r="L95" s="75" t="s">
        <v>37</v>
      </c>
      <c r="M95" s="74" t="s">
        <v>38</v>
      </c>
      <c r="N95" s="75"/>
      <c r="O95" s="75">
        <v>1</v>
      </c>
      <c r="P95" s="75">
        <v>1</v>
      </c>
      <c r="Q95" s="53">
        <v>0</v>
      </c>
      <c r="R95" s="35" t="s">
        <v>39</v>
      </c>
      <c r="T95" s="35" t="s">
        <v>56</v>
      </c>
      <c r="U95" s="35" t="s">
        <v>147</v>
      </c>
    </row>
    <row r="96" spans="1:21">
      <c r="A96" s="74">
        <v>2023</v>
      </c>
      <c r="B96" s="74" t="s">
        <v>182</v>
      </c>
      <c r="C96" s="75">
        <v>30787</v>
      </c>
      <c r="D96" s="76">
        <v>31</v>
      </c>
      <c r="E96" s="77">
        <v>45139</v>
      </c>
      <c r="F96" s="74" t="s">
        <v>32</v>
      </c>
      <c r="G96" s="76" t="s">
        <v>53</v>
      </c>
      <c r="H96" s="76" t="s">
        <v>180</v>
      </c>
      <c r="I96" s="76" t="s">
        <v>146</v>
      </c>
      <c r="J96" s="76" t="s">
        <v>35</v>
      </c>
      <c r="K96" s="74" t="s">
        <v>36</v>
      </c>
      <c r="L96" s="75" t="s">
        <v>49</v>
      </c>
      <c r="M96" s="74" t="s">
        <v>38</v>
      </c>
      <c r="N96" s="75"/>
      <c r="O96" s="75">
        <v>50</v>
      </c>
      <c r="P96" s="75">
        <v>50</v>
      </c>
      <c r="Q96" s="53">
        <v>0</v>
      </c>
      <c r="R96" s="35" t="s">
        <v>39</v>
      </c>
      <c r="T96" s="35" t="s">
        <v>62</v>
      </c>
      <c r="U96" s="35" t="s">
        <v>155</v>
      </c>
    </row>
    <row r="97" spans="1:21">
      <c r="A97" s="74">
        <v>2023</v>
      </c>
      <c r="B97" s="74" t="s">
        <v>183</v>
      </c>
      <c r="C97" s="75">
        <v>30788</v>
      </c>
      <c r="D97" s="76">
        <v>31</v>
      </c>
      <c r="E97" s="77">
        <v>45139</v>
      </c>
      <c r="F97" s="74" t="s">
        <v>32</v>
      </c>
      <c r="G97" s="76" t="s">
        <v>53</v>
      </c>
      <c r="H97" s="76" t="s">
        <v>180</v>
      </c>
      <c r="I97" s="76" t="s">
        <v>146</v>
      </c>
      <c r="J97" s="76" t="s">
        <v>35</v>
      </c>
      <c r="K97" s="74" t="s">
        <v>36</v>
      </c>
      <c r="L97" s="75" t="s">
        <v>49</v>
      </c>
      <c r="M97" s="74" t="s">
        <v>38</v>
      </c>
      <c r="N97" s="75"/>
      <c r="O97" s="75">
        <v>15</v>
      </c>
      <c r="P97" s="75">
        <v>15</v>
      </c>
      <c r="Q97" s="53">
        <v>0</v>
      </c>
      <c r="R97" s="35" t="s">
        <v>39</v>
      </c>
      <c r="T97" s="35" t="s">
        <v>62</v>
      </c>
      <c r="U97" s="35" t="s">
        <v>155</v>
      </c>
    </row>
    <row r="98" spans="1:21">
      <c r="A98" s="74">
        <v>2023</v>
      </c>
      <c r="B98" s="74" t="s">
        <v>184</v>
      </c>
      <c r="C98" s="75">
        <v>30789</v>
      </c>
      <c r="D98" s="76">
        <v>31</v>
      </c>
      <c r="E98" s="77">
        <v>45140</v>
      </c>
      <c r="F98" s="74" t="s">
        <v>32</v>
      </c>
      <c r="G98" s="76" t="s">
        <v>53</v>
      </c>
      <c r="H98" s="76" t="s">
        <v>185</v>
      </c>
      <c r="I98" s="76" t="s">
        <v>186</v>
      </c>
      <c r="J98" s="76" t="s">
        <v>35</v>
      </c>
      <c r="K98" s="74" t="s">
        <v>36</v>
      </c>
      <c r="L98" s="75" t="s">
        <v>37</v>
      </c>
      <c r="M98" s="74" t="s">
        <v>38</v>
      </c>
      <c r="N98" s="75"/>
      <c r="O98" s="75">
        <v>12</v>
      </c>
      <c r="P98" s="75">
        <v>12</v>
      </c>
      <c r="Q98" s="53">
        <v>0</v>
      </c>
      <c r="R98" s="35" t="s">
        <v>39</v>
      </c>
      <c r="T98" s="35" t="s">
        <v>56</v>
      </c>
      <c r="U98" s="35" t="s">
        <v>187</v>
      </c>
    </row>
    <row r="99" spans="1:21">
      <c r="A99" s="74">
        <v>2023</v>
      </c>
      <c r="B99" s="74" t="s">
        <v>188</v>
      </c>
      <c r="C99" s="75">
        <v>30790</v>
      </c>
      <c r="D99" s="76">
        <v>31</v>
      </c>
      <c r="E99" s="77">
        <v>45140</v>
      </c>
      <c r="F99" s="74" t="s">
        <v>32</v>
      </c>
      <c r="G99" s="76" t="s">
        <v>53</v>
      </c>
      <c r="H99" s="76" t="s">
        <v>189</v>
      </c>
      <c r="I99" s="76" t="s">
        <v>186</v>
      </c>
      <c r="J99" s="76" t="s">
        <v>35</v>
      </c>
      <c r="K99" s="74" t="s">
        <v>36</v>
      </c>
      <c r="L99" s="75" t="s">
        <v>37</v>
      </c>
      <c r="M99" s="74" t="s">
        <v>38</v>
      </c>
      <c r="N99" s="75"/>
      <c r="O99" s="75">
        <v>12</v>
      </c>
      <c r="P99" s="75">
        <v>12</v>
      </c>
      <c r="Q99" s="53">
        <v>0</v>
      </c>
      <c r="R99" s="35" t="s">
        <v>39</v>
      </c>
      <c r="T99" s="35" t="s">
        <v>56</v>
      </c>
      <c r="U99" s="35" t="s">
        <v>187</v>
      </c>
    </row>
    <row r="100" spans="1:21">
      <c r="A100" s="74">
        <v>2023</v>
      </c>
      <c r="B100" s="74" t="s">
        <v>190</v>
      </c>
      <c r="C100" s="75">
        <v>30791</v>
      </c>
      <c r="D100" s="76">
        <v>31</v>
      </c>
      <c r="E100" s="77">
        <v>45140</v>
      </c>
      <c r="F100" s="74" t="s">
        <v>32</v>
      </c>
      <c r="G100" s="76" t="s">
        <v>53</v>
      </c>
      <c r="H100" s="76" t="s">
        <v>189</v>
      </c>
      <c r="I100" s="76" t="s">
        <v>186</v>
      </c>
      <c r="J100" s="76" t="s">
        <v>35</v>
      </c>
      <c r="K100" s="74" t="s">
        <v>36</v>
      </c>
      <c r="L100" s="75" t="s">
        <v>49</v>
      </c>
      <c r="M100" s="74" t="s">
        <v>38</v>
      </c>
      <c r="N100" s="75"/>
      <c r="O100" s="75">
        <v>10</v>
      </c>
      <c r="P100" s="75">
        <v>10</v>
      </c>
      <c r="Q100" s="53">
        <v>0</v>
      </c>
      <c r="R100" s="35" t="s">
        <v>39</v>
      </c>
      <c r="T100" s="35" t="s">
        <v>62</v>
      </c>
      <c r="U100" s="35" t="s">
        <v>191</v>
      </c>
    </row>
    <row r="101" spans="1:21">
      <c r="A101" s="74">
        <v>2023</v>
      </c>
      <c r="B101" s="74" t="s">
        <v>192</v>
      </c>
      <c r="C101" s="75">
        <v>30792</v>
      </c>
      <c r="D101" s="76">
        <v>31</v>
      </c>
      <c r="E101" s="77">
        <v>45140</v>
      </c>
      <c r="F101" s="74" t="s">
        <v>32</v>
      </c>
      <c r="G101" s="76" t="s">
        <v>53</v>
      </c>
      <c r="H101" s="76" t="s">
        <v>193</v>
      </c>
      <c r="I101" s="76" t="s">
        <v>164</v>
      </c>
      <c r="J101" s="76" t="s">
        <v>35</v>
      </c>
      <c r="K101" s="74" t="s">
        <v>36</v>
      </c>
      <c r="L101" s="75" t="s">
        <v>37</v>
      </c>
      <c r="M101" s="74" t="s">
        <v>38</v>
      </c>
      <c r="N101" s="75"/>
      <c r="O101" s="75">
        <v>29</v>
      </c>
      <c r="P101" s="75">
        <v>29</v>
      </c>
      <c r="Q101" s="53">
        <v>0</v>
      </c>
      <c r="R101" s="35" t="s">
        <v>39</v>
      </c>
      <c r="T101" s="35" t="s">
        <v>56</v>
      </c>
      <c r="U101" s="35" t="s">
        <v>165</v>
      </c>
    </row>
    <row r="102" spans="1:21">
      <c r="A102" s="74">
        <v>2023</v>
      </c>
      <c r="B102" s="74" t="s">
        <v>194</v>
      </c>
      <c r="C102" s="75">
        <v>30793</v>
      </c>
      <c r="D102" s="76">
        <v>31</v>
      </c>
      <c r="E102" s="77">
        <v>45140</v>
      </c>
      <c r="F102" s="74" t="s">
        <v>32</v>
      </c>
      <c r="G102" s="76" t="s">
        <v>53</v>
      </c>
      <c r="H102" s="76" t="s">
        <v>193</v>
      </c>
      <c r="I102" s="76" t="s">
        <v>164</v>
      </c>
      <c r="J102" s="76" t="s">
        <v>35</v>
      </c>
      <c r="K102" s="74" t="s">
        <v>36</v>
      </c>
      <c r="L102" s="75" t="s">
        <v>49</v>
      </c>
      <c r="M102" s="74" t="s">
        <v>38</v>
      </c>
      <c r="N102" s="75"/>
      <c r="O102" s="75">
        <v>2</v>
      </c>
      <c r="P102" s="75">
        <v>2</v>
      </c>
      <c r="Q102" s="53">
        <v>0</v>
      </c>
      <c r="R102" s="35" t="s">
        <v>39</v>
      </c>
      <c r="T102" s="35" t="s">
        <v>62</v>
      </c>
      <c r="U102" s="35" t="s">
        <v>167</v>
      </c>
    </row>
    <row r="103" spans="1:21">
      <c r="A103" s="74">
        <v>2023</v>
      </c>
      <c r="B103" s="74" t="s">
        <v>195</v>
      </c>
      <c r="C103" s="75">
        <v>30794</v>
      </c>
      <c r="D103" s="76">
        <v>31</v>
      </c>
      <c r="E103" s="77">
        <v>45140</v>
      </c>
      <c r="F103" s="74" t="s">
        <v>32</v>
      </c>
      <c r="G103" s="76" t="s">
        <v>53</v>
      </c>
      <c r="H103" s="76" t="s">
        <v>196</v>
      </c>
      <c r="I103" s="76" t="s">
        <v>164</v>
      </c>
      <c r="J103" s="76" t="s">
        <v>35</v>
      </c>
      <c r="K103" s="74" t="s">
        <v>36</v>
      </c>
      <c r="L103" s="75" t="s">
        <v>37</v>
      </c>
      <c r="M103" s="74" t="s">
        <v>38</v>
      </c>
      <c r="N103" s="75"/>
      <c r="O103" s="75">
        <v>15</v>
      </c>
      <c r="P103" s="75">
        <v>15</v>
      </c>
      <c r="Q103" s="53">
        <v>0</v>
      </c>
      <c r="R103" s="35" t="s">
        <v>39</v>
      </c>
      <c r="T103" s="35" t="s">
        <v>56</v>
      </c>
      <c r="U103" s="35" t="s">
        <v>165</v>
      </c>
    </row>
    <row r="104" spans="1:21">
      <c r="A104" s="74">
        <v>2023</v>
      </c>
      <c r="B104" s="74" t="s">
        <v>197</v>
      </c>
      <c r="C104" s="75">
        <v>30795</v>
      </c>
      <c r="D104" s="76">
        <v>31</v>
      </c>
      <c r="E104" s="77">
        <v>45140</v>
      </c>
      <c r="F104" s="74" t="s">
        <v>32</v>
      </c>
      <c r="G104" s="76" t="s">
        <v>53</v>
      </c>
      <c r="H104" s="76" t="s">
        <v>196</v>
      </c>
      <c r="I104" s="76" t="s">
        <v>164</v>
      </c>
      <c r="J104" s="76" t="s">
        <v>35</v>
      </c>
      <c r="K104" s="74" t="s">
        <v>36</v>
      </c>
      <c r="L104" s="75" t="s">
        <v>49</v>
      </c>
      <c r="M104" s="74" t="s">
        <v>38</v>
      </c>
      <c r="N104" s="75"/>
      <c r="O104" s="75">
        <v>2</v>
      </c>
      <c r="P104" s="75">
        <v>2</v>
      </c>
      <c r="Q104" s="53">
        <v>0</v>
      </c>
      <c r="R104" s="35" t="s">
        <v>39</v>
      </c>
      <c r="T104" s="35" t="s">
        <v>62</v>
      </c>
      <c r="U104" s="35" t="s">
        <v>167</v>
      </c>
    </row>
    <row r="105" spans="1:21" s="83" customFormat="1">
      <c r="A105" s="78">
        <v>2023</v>
      </c>
      <c r="B105" s="78" t="s">
        <v>198</v>
      </c>
      <c r="C105" s="79">
        <v>30796</v>
      </c>
      <c r="D105" s="80">
        <v>31</v>
      </c>
      <c r="E105" s="81">
        <v>45140</v>
      </c>
      <c r="F105" s="78" t="s">
        <v>32</v>
      </c>
      <c r="G105" s="80" t="s">
        <v>53</v>
      </c>
      <c r="H105" s="80" t="s">
        <v>199</v>
      </c>
      <c r="I105" s="80" t="s">
        <v>164</v>
      </c>
      <c r="J105" s="80" t="s">
        <v>71</v>
      </c>
      <c r="K105" s="78" t="s">
        <v>36</v>
      </c>
      <c r="L105" s="79" t="s">
        <v>37</v>
      </c>
      <c r="M105" s="78" t="s">
        <v>38</v>
      </c>
      <c r="N105" s="79">
        <v>1</v>
      </c>
      <c r="O105" s="79"/>
      <c r="P105" s="79">
        <v>1</v>
      </c>
      <c r="Q105" s="82">
        <v>1</v>
      </c>
      <c r="R105" s="83" t="s">
        <v>46</v>
      </c>
      <c r="T105" s="83" t="s">
        <v>56</v>
      </c>
      <c r="U105" s="83" t="s">
        <v>165</v>
      </c>
    </row>
    <row r="106" spans="1:21" s="83" customFormat="1">
      <c r="A106" s="78">
        <v>2023</v>
      </c>
      <c r="B106" s="78" t="s">
        <v>200</v>
      </c>
      <c r="C106" s="79">
        <v>30797</v>
      </c>
      <c r="D106" s="80">
        <v>31</v>
      </c>
      <c r="E106" s="81">
        <v>45140</v>
      </c>
      <c r="F106" s="78" t="s">
        <v>32</v>
      </c>
      <c r="G106" s="80" t="s">
        <v>53</v>
      </c>
      <c r="H106" s="80" t="s">
        <v>199</v>
      </c>
      <c r="I106" s="80" t="s">
        <v>164</v>
      </c>
      <c r="J106" s="80" t="s">
        <v>71</v>
      </c>
      <c r="K106" s="78" t="s">
        <v>36</v>
      </c>
      <c r="L106" s="79" t="s">
        <v>49</v>
      </c>
      <c r="M106" s="78" t="s">
        <v>38</v>
      </c>
      <c r="N106" s="79">
        <v>50</v>
      </c>
      <c r="O106" s="79"/>
      <c r="P106" s="79">
        <v>50</v>
      </c>
      <c r="Q106" s="82">
        <v>1</v>
      </c>
      <c r="R106" s="83" t="s">
        <v>46</v>
      </c>
      <c r="T106" s="83" t="s">
        <v>62</v>
      </c>
      <c r="U106" s="83" t="s">
        <v>167</v>
      </c>
    </row>
    <row r="107" spans="1:21">
      <c r="A107" s="74">
        <v>2023</v>
      </c>
      <c r="B107" s="74" t="s">
        <v>201</v>
      </c>
      <c r="C107" s="75">
        <v>30798</v>
      </c>
      <c r="D107" s="76">
        <v>31</v>
      </c>
      <c r="E107" s="77">
        <v>45140</v>
      </c>
      <c r="F107" s="74" t="s">
        <v>32</v>
      </c>
      <c r="G107" s="76" t="s">
        <v>53</v>
      </c>
      <c r="H107" s="76" t="s">
        <v>199</v>
      </c>
      <c r="I107" s="76" t="s">
        <v>164</v>
      </c>
      <c r="J107" s="76" t="s">
        <v>71</v>
      </c>
      <c r="K107" s="74" t="s">
        <v>36</v>
      </c>
      <c r="L107" s="75" t="s">
        <v>49</v>
      </c>
      <c r="M107" s="74" t="s">
        <v>38</v>
      </c>
      <c r="N107" s="75">
        <v>36</v>
      </c>
      <c r="O107" s="75"/>
      <c r="P107" s="75">
        <v>36</v>
      </c>
      <c r="Q107" s="53">
        <v>0</v>
      </c>
      <c r="R107" s="35" t="s">
        <v>39</v>
      </c>
      <c r="T107" s="35" t="s">
        <v>62</v>
      </c>
      <c r="U107" s="35" t="s">
        <v>167</v>
      </c>
    </row>
    <row r="108" spans="1:21">
      <c r="A108" s="74">
        <v>2023</v>
      </c>
      <c r="B108" s="74" t="s">
        <v>202</v>
      </c>
      <c r="C108" s="75">
        <v>30799</v>
      </c>
      <c r="D108" s="76">
        <v>31</v>
      </c>
      <c r="E108" s="77">
        <v>45140</v>
      </c>
      <c r="F108" s="74" t="s">
        <v>32</v>
      </c>
      <c r="G108" s="76" t="s">
        <v>33</v>
      </c>
      <c r="H108" s="76" t="s">
        <v>203</v>
      </c>
      <c r="I108" s="76" t="s">
        <v>33</v>
      </c>
      <c r="J108" s="76" t="s">
        <v>35</v>
      </c>
      <c r="K108" s="74" t="s">
        <v>36</v>
      </c>
      <c r="L108" s="75" t="s">
        <v>37</v>
      </c>
      <c r="M108" s="74" t="s">
        <v>38</v>
      </c>
      <c r="N108" s="75"/>
      <c r="O108" s="75">
        <v>38</v>
      </c>
      <c r="P108" s="75">
        <v>38</v>
      </c>
      <c r="Q108" s="53">
        <v>0</v>
      </c>
      <c r="R108" s="35" t="s">
        <v>39</v>
      </c>
      <c r="T108" s="35" t="s">
        <v>40</v>
      </c>
      <c r="U108" s="35" t="s">
        <v>40</v>
      </c>
    </row>
    <row r="109" spans="1:21">
      <c r="A109" s="74">
        <v>2023</v>
      </c>
      <c r="B109" s="74" t="s">
        <v>204</v>
      </c>
      <c r="C109" s="75">
        <v>30800</v>
      </c>
      <c r="D109" s="76">
        <v>31</v>
      </c>
      <c r="E109" s="77">
        <v>45140</v>
      </c>
      <c r="F109" s="74" t="s">
        <v>32</v>
      </c>
      <c r="G109" s="76" t="s">
        <v>33</v>
      </c>
      <c r="H109" s="76" t="s">
        <v>203</v>
      </c>
      <c r="I109" s="76" t="s">
        <v>33</v>
      </c>
      <c r="J109" s="76" t="s">
        <v>35</v>
      </c>
      <c r="K109" s="74" t="s">
        <v>36</v>
      </c>
      <c r="L109" s="75" t="s">
        <v>49</v>
      </c>
      <c r="M109" s="74" t="s">
        <v>38</v>
      </c>
      <c r="N109" s="75"/>
      <c r="O109" s="75">
        <v>2</v>
      </c>
      <c r="P109" s="75">
        <v>2</v>
      </c>
      <c r="Q109" s="53">
        <v>0</v>
      </c>
      <c r="R109" s="35" t="s">
        <v>39</v>
      </c>
      <c r="T109" s="35" t="s">
        <v>50</v>
      </c>
      <c r="U109" s="35" t="s">
        <v>50</v>
      </c>
    </row>
    <row r="110" spans="1:21">
      <c r="A110" s="74">
        <v>2023</v>
      </c>
      <c r="B110" s="74" t="s">
        <v>205</v>
      </c>
      <c r="C110" s="75">
        <v>30801</v>
      </c>
      <c r="D110" s="76">
        <v>31</v>
      </c>
      <c r="E110" s="77">
        <v>45140</v>
      </c>
      <c r="F110" s="74" t="s">
        <v>32</v>
      </c>
      <c r="G110" s="76" t="s">
        <v>206</v>
      </c>
      <c r="H110" s="76" t="s">
        <v>207</v>
      </c>
      <c r="I110" s="76" t="s">
        <v>206</v>
      </c>
      <c r="J110" s="76" t="s">
        <v>35</v>
      </c>
      <c r="K110" s="74" t="s">
        <v>36</v>
      </c>
      <c r="L110" s="75" t="s">
        <v>37</v>
      </c>
      <c r="M110" s="74" t="s">
        <v>38</v>
      </c>
      <c r="N110" s="75"/>
      <c r="O110" s="75">
        <v>28</v>
      </c>
      <c r="P110" s="75">
        <v>28</v>
      </c>
      <c r="Q110" s="53">
        <v>0</v>
      </c>
      <c r="R110" s="35" t="s">
        <v>39</v>
      </c>
      <c r="T110" s="35" t="s">
        <v>208</v>
      </c>
      <c r="U110" s="35" t="s">
        <v>208</v>
      </c>
    </row>
    <row r="111" spans="1:21">
      <c r="A111" s="74">
        <v>2023</v>
      </c>
      <c r="B111" s="74" t="s">
        <v>209</v>
      </c>
      <c r="C111" s="75">
        <v>30802</v>
      </c>
      <c r="D111" s="76">
        <v>31</v>
      </c>
      <c r="E111" s="77">
        <v>45140</v>
      </c>
      <c r="F111" s="74" t="s">
        <v>32</v>
      </c>
      <c r="G111" s="76" t="s">
        <v>206</v>
      </c>
      <c r="H111" s="76" t="s">
        <v>207</v>
      </c>
      <c r="I111" s="76" t="s">
        <v>206</v>
      </c>
      <c r="J111" s="76" t="s">
        <v>35</v>
      </c>
      <c r="K111" s="74" t="s">
        <v>36</v>
      </c>
      <c r="L111" s="75" t="s">
        <v>49</v>
      </c>
      <c r="M111" s="74" t="s">
        <v>38</v>
      </c>
      <c r="N111" s="75"/>
      <c r="O111" s="75">
        <v>2</v>
      </c>
      <c r="P111" s="75">
        <v>2</v>
      </c>
      <c r="Q111" s="53">
        <v>0</v>
      </c>
      <c r="R111" s="35" t="s">
        <v>39</v>
      </c>
      <c r="T111" s="35" t="s">
        <v>210</v>
      </c>
      <c r="U111" s="35" t="s">
        <v>210</v>
      </c>
    </row>
    <row r="112" spans="1:21">
      <c r="A112" s="74">
        <v>2023</v>
      </c>
      <c r="B112" s="74" t="s">
        <v>211</v>
      </c>
      <c r="C112" s="75">
        <v>30803</v>
      </c>
      <c r="D112" s="76">
        <v>31</v>
      </c>
      <c r="E112" s="77">
        <v>45140</v>
      </c>
      <c r="F112" s="74" t="s">
        <v>32</v>
      </c>
      <c r="G112" s="76" t="s">
        <v>206</v>
      </c>
      <c r="H112" s="76" t="s">
        <v>212</v>
      </c>
      <c r="I112" s="76" t="s">
        <v>206</v>
      </c>
      <c r="J112" s="76" t="s">
        <v>35</v>
      </c>
      <c r="K112" s="74" t="s">
        <v>36</v>
      </c>
      <c r="L112" s="75" t="s">
        <v>37</v>
      </c>
      <c r="M112" s="74" t="s">
        <v>38</v>
      </c>
      <c r="N112" s="75"/>
      <c r="O112" s="75">
        <v>15</v>
      </c>
      <c r="P112" s="75">
        <v>15</v>
      </c>
      <c r="Q112" s="53">
        <v>0</v>
      </c>
      <c r="R112" s="35" t="s">
        <v>39</v>
      </c>
      <c r="T112" s="35" t="s">
        <v>208</v>
      </c>
      <c r="U112" s="35" t="s">
        <v>208</v>
      </c>
    </row>
    <row r="113" spans="1:21">
      <c r="A113" s="74">
        <v>2023</v>
      </c>
      <c r="B113" s="74" t="s">
        <v>213</v>
      </c>
      <c r="C113" s="75">
        <v>30804</v>
      </c>
      <c r="D113" s="76">
        <v>31</v>
      </c>
      <c r="E113" s="77">
        <v>45140</v>
      </c>
      <c r="F113" s="74" t="s">
        <v>32</v>
      </c>
      <c r="G113" s="76" t="s">
        <v>206</v>
      </c>
      <c r="H113" s="76" t="s">
        <v>212</v>
      </c>
      <c r="I113" s="76" t="s">
        <v>206</v>
      </c>
      <c r="J113" s="76" t="s">
        <v>35</v>
      </c>
      <c r="K113" s="74" t="s">
        <v>36</v>
      </c>
      <c r="L113" s="75" t="s">
        <v>49</v>
      </c>
      <c r="M113" s="74" t="s">
        <v>38</v>
      </c>
      <c r="N113" s="75"/>
      <c r="O113" s="75">
        <v>8</v>
      </c>
      <c r="P113" s="75">
        <v>8</v>
      </c>
      <c r="Q113" s="53">
        <v>0</v>
      </c>
      <c r="R113" s="35" t="s">
        <v>39</v>
      </c>
      <c r="T113" s="35" t="s">
        <v>210</v>
      </c>
      <c r="U113" s="35" t="s">
        <v>210</v>
      </c>
    </row>
    <row r="114" spans="1:21">
      <c r="A114" s="74">
        <v>2023</v>
      </c>
      <c r="B114" s="74" t="s">
        <v>214</v>
      </c>
      <c r="C114" s="75">
        <v>30805</v>
      </c>
      <c r="D114" s="76">
        <v>31</v>
      </c>
      <c r="E114" s="77">
        <v>45140</v>
      </c>
      <c r="F114" s="74" t="s">
        <v>32</v>
      </c>
      <c r="G114" s="76" t="s">
        <v>206</v>
      </c>
      <c r="H114" s="76" t="s">
        <v>215</v>
      </c>
      <c r="I114" s="76" t="s">
        <v>206</v>
      </c>
      <c r="J114" s="76" t="s">
        <v>35</v>
      </c>
      <c r="K114" s="74" t="s">
        <v>36</v>
      </c>
      <c r="L114" s="75" t="s">
        <v>37</v>
      </c>
      <c r="M114" s="74" t="s">
        <v>38</v>
      </c>
      <c r="N114" s="75"/>
      <c r="O114" s="75">
        <v>21</v>
      </c>
      <c r="P114" s="75">
        <v>21</v>
      </c>
      <c r="Q114" s="53">
        <v>0</v>
      </c>
      <c r="R114" s="35" t="s">
        <v>39</v>
      </c>
      <c r="T114" s="35" t="s">
        <v>208</v>
      </c>
      <c r="U114" s="35" t="s">
        <v>208</v>
      </c>
    </row>
    <row r="115" spans="1:21">
      <c r="A115" s="74">
        <v>2023</v>
      </c>
      <c r="B115" s="74" t="s">
        <v>216</v>
      </c>
      <c r="C115" s="75">
        <v>30806</v>
      </c>
      <c r="D115" s="76">
        <v>31</v>
      </c>
      <c r="E115" s="77">
        <v>45140</v>
      </c>
      <c r="F115" s="74" t="s">
        <v>32</v>
      </c>
      <c r="G115" s="76" t="s">
        <v>206</v>
      </c>
      <c r="H115" s="76" t="s">
        <v>215</v>
      </c>
      <c r="I115" s="76" t="s">
        <v>206</v>
      </c>
      <c r="J115" s="76" t="s">
        <v>35</v>
      </c>
      <c r="K115" s="74" t="s">
        <v>36</v>
      </c>
      <c r="L115" s="75" t="s">
        <v>49</v>
      </c>
      <c r="M115" s="74" t="s">
        <v>38</v>
      </c>
      <c r="N115" s="75"/>
      <c r="O115" s="75">
        <v>9</v>
      </c>
      <c r="P115" s="75">
        <v>9</v>
      </c>
      <c r="Q115" s="53">
        <v>0</v>
      </c>
      <c r="R115" s="35" t="s">
        <v>39</v>
      </c>
      <c r="T115" s="35" t="s">
        <v>210</v>
      </c>
      <c r="U115" s="35" t="s">
        <v>210</v>
      </c>
    </row>
    <row r="116" spans="1:21">
      <c r="A116" s="74">
        <v>2023</v>
      </c>
      <c r="B116" s="74" t="s">
        <v>217</v>
      </c>
      <c r="C116" s="75">
        <v>30807</v>
      </c>
      <c r="D116" s="76">
        <v>31</v>
      </c>
      <c r="E116" s="77">
        <v>45140</v>
      </c>
      <c r="F116" s="74" t="s">
        <v>32</v>
      </c>
      <c r="G116" s="76" t="s">
        <v>206</v>
      </c>
      <c r="H116" s="76" t="s">
        <v>218</v>
      </c>
      <c r="I116" s="76" t="s">
        <v>206</v>
      </c>
      <c r="J116" s="76" t="s">
        <v>35</v>
      </c>
      <c r="K116" s="74" t="s">
        <v>36</v>
      </c>
      <c r="L116" s="75" t="s">
        <v>37</v>
      </c>
      <c r="M116" s="74" t="s">
        <v>38</v>
      </c>
      <c r="N116" s="75"/>
      <c r="O116" s="75">
        <v>9</v>
      </c>
      <c r="P116" s="75">
        <v>9</v>
      </c>
      <c r="Q116" s="53">
        <v>0</v>
      </c>
      <c r="R116" s="35" t="s">
        <v>39</v>
      </c>
      <c r="T116" s="35" t="s">
        <v>208</v>
      </c>
      <c r="U116" s="35" t="s">
        <v>208</v>
      </c>
    </row>
    <row r="117" spans="1:21">
      <c r="A117" s="74">
        <v>2023</v>
      </c>
      <c r="B117" s="74" t="s">
        <v>219</v>
      </c>
      <c r="C117" s="75">
        <v>30808</v>
      </c>
      <c r="D117" s="76">
        <v>31</v>
      </c>
      <c r="E117" s="77">
        <v>45140</v>
      </c>
      <c r="F117" s="74" t="s">
        <v>32</v>
      </c>
      <c r="G117" s="76" t="s">
        <v>206</v>
      </c>
      <c r="H117" s="76" t="s">
        <v>220</v>
      </c>
      <c r="I117" s="76" t="s">
        <v>206</v>
      </c>
      <c r="J117" s="76" t="s">
        <v>35</v>
      </c>
      <c r="K117" s="74" t="s">
        <v>36</v>
      </c>
      <c r="L117" s="75" t="s">
        <v>37</v>
      </c>
      <c r="M117" s="74" t="s">
        <v>38</v>
      </c>
      <c r="N117" s="75"/>
      <c r="O117" s="75">
        <v>50</v>
      </c>
      <c r="P117" s="75">
        <v>50</v>
      </c>
      <c r="Q117" s="53">
        <v>0</v>
      </c>
      <c r="R117" s="35" t="s">
        <v>39</v>
      </c>
      <c r="T117" s="35" t="s">
        <v>208</v>
      </c>
      <c r="U117" s="35" t="s">
        <v>208</v>
      </c>
    </row>
    <row r="118" spans="1:21">
      <c r="A118" s="74">
        <v>2023</v>
      </c>
      <c r="B118" s="74" t="s">
        <v>221</v>
      </c>
      <c r="C118" s="75">
        <v>30809</v>
      </c>
      <c r="D118" s="76">
        <v>31</v>
      </c>
      <c r="E118" s="77">
        <v>45140</v>
      </c>
      <c r="F118" s="74" t="s">
        <v>32</v>
      </c>
      <c r="G118" s="76" t="s">
        <v>206</v>
      </c>
      <c r="H118" s="76" t="s">
        <v>220</v>
      </c>
      <c r="I118" s="76" t="s">
        <v>206</v>
      </c>
      <c r="J118" s="76" t="s">
        <v>35</v>
      </c>
      <c r="K118" s="74" t="s">
        <v>36</v>
      </c>
      <c r="L118" s="75" t="s">
        <v>37</v>
      </c>
      <c r="M118" s="74" t="s">
        <v>38</v>
      </c>
      <c r="N118" s="75"/>
      <c r="O118" s="75">
        <v>50</v>
      </c>
      <c r="P118" s="75">
        <v>50</v>
      </c>
      <c r="Q118" s="53">
        <v>0</v>
      </c>
      <c r="R118" s="35" t="s">
        <v>39</v>
      </c>
      <c r="T118" s="35" t="s">
        <v>208</v>
      </c>
      <c r="U118" s="35" t="s">
        <v>208</v>
      </c>
    </row>
    <row r="119" spans="1:21">
      <c r="A119" s="74">
        <v>2023</v>
      </c>
      <c r="B119" s="74" t="s">
        <v>222</v>
      </c>
      <c r="C119" s="75">
        <v>30810</v>
      </c>
      <c r="D119" s="76">
        <v>31</v>
      </c>
      <c r="E119" s="77">
        <v>45140</v>
      </c>
      <c r="F119" s="74" t="s">
        <v>32</v>
      </c>
      <c r="G119" s="76" t="s">
        <v>206</v>
      </c>
      <c r="H119" s="76" t="s">
        <v>220</v>
      </c>
      <c r="I119" s="76" t="s">
        <v>206</v>
      </c>
      <c r="J119" s="76" t="s">
        <v>35</v>
      </c>
      <c r="K119" s="74" t="s">
        <v>36</v>
      </c>
      <c r="L119" s="75" t="s">
        <v>37</v>
      </c>
      <c r="M119" s="74" t="s">
        <v>38</v>
      </c>
      <c r="N119" s="75"/>
      <c r="O119" s="75">
        <v>37</v>
      </c>
      <c r="P119" s="75">
        <v>37</v>
      </c>
      <c r="Q119" s="53">
        <v>0</v>
      </c>
      <c r="R119" s="35" t="s">
        <v>39</v>
      </c>
      <c r="T119" s="35" t="s">
        <v>208</v>
      </c>
      <c r="U119" s="35" t="s">
        <v>208</v>
      </c>
    </row>
    <row r="120" spans="1:21">
      <c r="A120" s="74">
        <v>2023</v>
      </c>
      <c r="B120" s="74" t="s">
        <v>223</v>
      </c>
      <c r="C120" s="75">
        <v>30811</v>
      </c>
      <c r="D120" s="76">
        <v>31</v>
      </c>
      <c r="E120" s="77">
        <v>45140</v>
      </c>
      <c r="F120" s="74" t="s">
        <v>32</v>
      </c>
      <c r="G120" s="76" t="s">
        <v>206</v>
      </c>
      <c r="H120" s="76" t="s">
        <v>220</v>
      </c>
      <c r="I120" s="76" t="s">
        <v>206</v>
      </c>
      <c r="J120" s="76" t="s">
        <v>35</v>
      </c>
      <c r="K120" s="74" t="s">
        <v>36</v>
      </c>
      <c r="L120" s="75" t="s">
        <v>49</v>
      </c>
      <c r="M120" s="74" t="s">
        <v>38</v>
      </c>
      <c r="N120" s="75"/>
      <c r="O120" s="75">
        <v>30</v>
      </c>
      <c r="P120" s="75">
        <v>30</v>
      </c>
      <c r="Q120" s="53">
        <v>0</v>
      </c>
      <c r="R120" s="35" t="s">
        <v>39</v>
      </c>
      <c r="T120" s="35" t="s">
        <v>210</v>
      </c>
      <c r="U120" s="35" t="s">
        <v>210</v>
      </c>
    </row>
    <row r="121" spans="1:21">
      <c r="A121" s="74">
        <v>2023</v>
      </c>
      <c r="B121" s="74" t="s">
        <v>224</v>
      </c>
      <c r="C121" s="75">
        <v>30812</v>
      </c>
      <c r="D121" s="76">
        <v>31</v>
      </c>
      <c r="E121" s="77">
        <v>45140</v>
      </c>
      <c r="F121" s="74" t="s">
        <v>32</v>
      </c>
      <c r="G121" s="76" t="s">
        <v>53</v>
      </c>
      <c r="H121" s="76" t="s">
        <v>225</v>
      </c>
      <c r="I121" s="76" t="s">
        <v>164</v>
      </c>
      <c r="J121" s="76" t="s">
        <v>35</v>
      </c>
      <c r="K121" s="74" t="s">
        <v>36</v>
      </c>
      <c r="L121" s="75" t="s">
        <v>37</v>
      </c>
      <c r="M121" s="74" t="s">
        <v>38</v>
      </c>
      <c r="N121" s="75"/>
      <c r="O121" s="75">
        <v>11</v>
      </c>
      <c r="P121" s="75">
        <v>11</v>
      </c>
      <c r="Q121" s="53">
        <v>0</v>
      </c>
      <c r="R121" s="35" t="s">
        <v>39</v>
      </c>
      <c r="T121" s="35" t="s">
        <v>56</v>
      </c>
      <c r="U121" s="35" t="s">
        <v>165</v>
      </c>
    </row>
    <row r="122" spans="1:21" s="83" customFormat="1">
      <c r="A122" s="78">
        <v>2023</v>
      </c>
      <c r="B122" s="78" t="s">
        <v>226</v>
      </c>
      <c r="C122" s="79">
        <v>30813</v>
      </c>
      <c r="D122" s="80">
        <v>31</v>
      </c>
      <c r="E122" s="81">
        <v>45140</v>
      </c>
      <c r="F122" s="78" t="s">
        <v>32</v>
      </c>
      <c r="G122" s="80" t="s">
        <v>53</v>
      </c>
      <c r="H122" s="80" t="s">
        <v>225</v>
      </c>
      <c r="I122" s="80" t="s">
        <v>164</v>
      </c>
      <c r="J122" s="80" t="s">
        <v>35</v>
      </c>
      <c r="K122" s="78" t="s">
        <v>36</v>
      </c>
      <c r="L122" s="79" t="s">
        <v>49</v>
      </c>
      <c r="M122" s="78" t="s">
        <v>38</v>
      </c>
      <c r="N122" s="79"/>
      <c r="O122" s="79">
        <v>2</v>
      </c>
      <c r="P122" s="79">
        <v>2</v>
      </c>
      <c r="Q122" s="82">
        <v>1</v>
      </c>
      <c r="R122" s="83" t="s">
        <v>46</v>
      </c>
      <c r="T122" s="83" t="s">
        <v>62</v>
      </c>
      <c r="U122" s="83" t="s">
        <v>167</v>
      </c>
    </row>
    <row r="123" spans="1:21">
      <c r="A123" s="74">
        <v>2023</v>
      </c>
      <c r="B123" s="74" t="s">
        <v>227</v>
      </c>
      <c r="C123" s="75">
        <v>30814</v>
      </c>
      <c r="D123" s="76">
        <v>31</v>
      </c>
      <c r="E123" s="77">
        <v>45140</v>
      </c>
      <c r="F123" s="74" t="s">
        <v>32</v>
      </c>
      <c r="G123" s="76" t="s">
        <v>53</v>
      </c>
      <c r="H123" s="76" t="s">
        <v>228</v>
      </c>
      <c r="I123" s="76" t="s">
        <v>164</v>
      </c>
      <c r="J123" s="76" t="s">
        <v>35</v>
      </c>
      <c r="K123" s="74" t="s">
        <v>36</v>
      </c>
      <c r="L123" s="75" t="s">
        <v>37</v>
      </c>
      <c r="M123" s="74" t="s">
        <v>38</v>
      </c>
      <c r="N123" s="75"/>
      <c r="O123" s="75">
        <v>25</v>
      </c>
      <c r="P123" s="75">
        <v>25</v>
      </c>
      <c r="Q123" s="53">
        <v>0</v>
      </c>
      <c r="R123" s="35" t="s">
        <v>39</v>
      </c>
      <c r="T123" s="35" t="s">
        <v>56</v>
      </c>
      <c r="U123" s="35" t="s">
        <v>165</v>
      </c>
    </row>
    <row r="124" spans="1:21" s="83" customFormat="1">
      <c r="A124" s="78">
        <v>2023</v>
      </c>
      <c r="B124" s="78" t="s">
        <v>229</v>
      </c>
      <c r="C124" s="79">
        <v>30815</v>
      </c>
      <c r="D124" s="80">
        <v>31</v>
      </c>
      <c r="E124" s="81">
        <v>45140</v>
      </c>
      <c r="F124" s="78" t="s">
        <v>32</v>
      </c>
      <c r="G124" s="80" t="s">
        <v>53</v>
      </c>
      <c r="H124" s="80" t="s">
        <v>228</v>
      </c>
      <c r="I124" s="80" t="s">
        <v>164</v>
      </c>
      <c r="J124" s="80" t="s">
        <v>35</v>
      </c>
      <c r="K124" s="78" t="s">
        <v>36</v>
      </c>
      <c r="L124" s="79" t="s">
        <v>49</v>
      </c>
      <c r="M124" s="78" t="s">
        <v>38</v>
      </c>
      <c r="N124" s="79"/>
      <c r="O124" s="79">
        <v>7</v>
      </c>
      <c r="P124" s="79">
        <v>7</v>
      </c>
      <c r="Q124" s="82">
        <v>1</v>
      </c>
      <c r="R124" s="83" t="s">
        <v>46</v>
      </c>
      <c r="T124" s="83" t="s">
        <v>62</v>
      </c>
      <c r="U124" s="83" t="s">
        <v>167</v>
      </c>
    </row>
    <row r="125" spans="1:21">
      <c r="A125" s="74">
        <v>2023</v>
      </c>
      <c r="B125" s="74" t="s">
        <v>230</v>
      </c>
      <c r="C125" s="75">
        <v>30816</v>
      </c>
      <c r="D125" s="76">
        <v>31</v>
      </c>
      <c r="E125" s="77">
        <v>45140</v>
      </c>
      <c r="F125" s="74" t="s">
        <v>32</v>
      </c>
      <c r="G125" s="76" t="s">
        <v>53</v>
      </c>
      <c r="H125" s="76" t="s">
        <v>231</v>
      </c>
      <c r="I125" s="76" t="s">
        <v>164</v>
      </c>
      <c r="J125" s="76" t="s">
        <v>71</v>
      </c>
      <c r="K125" s="74" t="s">
        <v>36</v>
      </c>
      <c r="L125" s="75" t="s">
        <v>49</v>
      </c>
      <c r="M125" s="74" t="s">
        <v>38</v>
      </c>
      <c r="N125" s="75">
        <v>28</v>
      </c>
      <c r="O125" s="75"/>
      <c r="P125" s="75">
        <v>28</v>
      </c>
      <c r="Q125" s="53">
        <v>0</v>
      </c>
      <c r="R125" s="35" t="s">
        <v>39</v>
      </c>
      <c r="T125" s="35" t="s">
        <v>62</v>
      </c>
      <c r="U125" s="35" t="s">
        <v>167</v>
      </c>
    </row>
    <row r="126" spans="1:21" s="83" customFormat="1">
      <c r="A126" s="78">
        <v>2023</v>
      </c>
      <c r="B126" s="78" t="s">
        <v>232</v>
      </c>
      <c r="C126" s="79">
        <v>30817</v>
      </c>
      <c r="D126" s="80">
        <v>31</v>
      </c>
      <c r="E126" s="81">
        <v>45140</v>
      </c>
      <c r="F126" s="78" t="s">
        <v>32</v>
      </c>
      <c r="G126" s="80" t="s">
        <v>53</v>
      </c>
      <c r="H126" s="80" t="s">
        <v>233</v>
      </c>
      <c r="I126" s="80" t="s">
        <v>164</v>
      </c>
      <c r="J126" s="80" t="s">
        <v>35</v>
      </c>
      <c r="K126" s="78" t="s">
        <v>36</v>
      </c>
      <c r="L126" s="79" t="s">
        <v>37</v>
      </c>
      <c r="M126" s="78" t="s">
        <v>38</v>
      </c>
      <c r="N126" s="79"/>
      <c r="O126" s="79">
        <v>45</v>
      </c>
      <c r="P126" s="79">
        <v>45</v>
      </c>
      <c r="Q126" s="82">
        <v>1</v>
      </c>
      <c r="R126" s="83" t="s">
        <v>46</v>
      </c>
      <c r="T126" s="83" t="s">
        <v>56</v>
      </c>
      <c r="U126" s="83" t="s">
        <v>165</v>
      </c>
    </row>
    <row r="127" spans="1:21">
      <c r="A127" s="74">
        <v>2023</v>
      </c>
      <c r="B127" s="74" t="s">
        <v>234</v>
      </c>
      <c r="C127" s="75">
        <v>30818</v>
      </c>
      <c r="D127" s="76">
        <v>31</v>
      </c>
      <c r="E127" s="77">
        <v>45140</v>
      </c>
      <c r="F127" s="74" t="s">
        <v>32</v>
      </c>
      <c r="G127" s="76" t="s">
        <v>53</v>
      </c>
      <c r="H127" s="76" t="s">
        <v>233</v>
      </c>
      <c r="I127" s="76" t="s">
        <v>164</v>
      </c>
      <c r="J127" s="76" t="s">
        <v>35</v>
      </c>
      <c r="K127" s="74" t="s">
        <v>36</v>
      </c>
      <c r="L127" s="75" t="s">
        <v>49</v>
      </c>
      <c r="M127" s="74" t="s">
        <v>38</v>
      </c>
      <c r="N127" s="75"/>
      <c r="O127" s="75">
        <v>1</v>
      </c>
      <c r="P127" s="75">
        <v>1</v>
      </c>
      <c r="Q127" s="53">
        <v>0</v>
      </c>
      <c r="R127" s="35" t="s">
        <v>39</v>
      </c>
      <c r="T127" s="35" t="s">
        <v>62</v>
      </c>
      <c r="U127" s="35" t="s">
        <v>167</v>
      </c>
    </row>
    <row r="128" spans="1:21" s="83" customFormat="1">
      <c r="A128" s="78">
        <v>2023</v>
      </c>
      <c r="B128" s="78" t="s">
        <v>235</v>
      </c>
      <c r="C128" s="79">
        <v>30819</v>
      </c>
      <c r="D128" s="80">
        <v>31</v>
      </c>
      <c r="E128" s="81">
        <v>45140</v>
      </c>
      <c r="F128" s="78" t="s">
        <v>32</v>
      </c>
      <c r="G128" s="80" t="s">
        <v>53</v>
      </c>
      <c r="H128" s="80" t="s">
        <v>236</v>
      </c>
      <c r="I128" s="80" t="s">
        <v>164</v>
      </c>
      <c r="J128" s="80" t="s">
        <v>35</v>
      </c>
      <c r="K128" s="78" t="s">
        <v>36</v>
      </c>
      <c r="L128" s="79" t="s">
        <v>37</v>
      </c>
      <c r="M128" s="78" t="s">
        <v>38</v>
      </c>
      <c r="N128" s="79"/>
      <c r="O128" s="79">
        <v>50</v>
      </c>
      <c r="P128" s="79">
        <v>50</v>
      </c>
      <c r="Q128" s="82">
        <v>1</v>
      </c>
      <c r="R128" s="83" t="s">
        <v>46</v>
      </c>
      <c r="T128" s="83" t="s">
        <v>56</v>
      </c>
      <c r="U128" s="83" t="s">
        <v>165</v>
      </c>
    </row>
    <row r="129" spans="1:21">
      <c r="A129" s="74">
        <v>2023</v>
      </c>
      <c r="B129" s="74" t="s">
        <v>237</v>
      </c>
      <c r="C129" s="75">
        <v>30820</v>
      </c>
      <c r="D129" s="76">
        <v>31</v>
      </c>
      <c r="E129" s="77">
        <v>45140</v>
      </c>
      <c r="F129" s="74" t="s">
        <v>32</v>
      </c>
      <c r="G129" s="76" t="s">
        <v>53</v>
      </c>
      <c r="H129" s="76" t="s">
        <v>236</v>
      </c>
      <c r="I129" s="76" t="s">
        <v>164</v>
      </c>
      <c r="J129" s="76" t="s">
        <v>35</v>
      </c>
      <c r="K129" s="74" t="s">
        <v>36</v>
      </c>
      <c r="L129" s="75" t="s">
        <v>37</v>
      </c>
      <c r="M129" s="74" t="s">
        <v>38</v>
      </c>
      <c r="N129" s="75"/>
      <c r="O129" s="75">
        <v>24</v>
      </c>
      <c r="P129" s="75">
        <v>24</v>
      </c>
      <c r="Q129" s="53">
        <v>0</v>
      </c>
      <c r="R129" s="35" t="s">
        <v>39</v>
      </c>
      <c r="T129" s="35" t="s">
        <v>56</v>
      </c>
      <c r="U129" s="35" t="s">
        <v>165</v>
      </c>
    </row>
    <row r="130" spans="1:21">
      <c r="A130" s="74">
        <v>2023</v>
      </c>
      <c r="B130" s="74" t="s">
        <v>238</v>
      </c>
      <c r="C130" s="75">
        <v>30821</v>
      </c>
      <c r="D130" s="76">
        <v>31</v>
      </c>
      <c r="E130" s="77">
        <v>45140</v>
      </c>
      <c r="F130" s="74" t="s">
        <v>32</v>
      </c>
      <c r="G130" s="76" t="s">
        <v>53</v>
      </c>
      <c r="H130" s="76" t="s">
        <v>236</v>
      </c>
      <c r="I130" s="76" t="s">
        <v>164</v>
      </c>
      <c r="J130" s="76" t="s">
        <v>35</v>
      </c>
      <c r="K130" s="74" t="s">
        <v>36</v>
      </c>
      <c r="L130" s="75" t="s">
        <v>49</v>
      </c>
      <c r="M130" s="74" t="s">
        <v>38</v>
      </c>
      <c r="N130" s="75"/>
      <c r="O130" s="75">
        <v>9</v>
      </c>
      <c r="P130" s="75">
        <v>9</v>
      </c>
      <c r="Q130" s="53">
        <v>0</v>
      </c>
      <c r="R130" s="35" t="s">
        <v>39</v>
      </c>
      <c r="T130" s="35" t="s">
        <v>62</v>
      </c>
      <c r="U130" s="35" t="s">
        <v>167</v>
      </c>
    </row>
    <row r="131" spans="1:21" s="83" customFormat="1">
      <c r="A131" s="78">
        <v>2023</v>
      </c>
      <c r="B131" s="78" t="s">
        <v>239</v>
      </c>
      <c r="C131" s="79">
        <v>30822</v>
      </c>
      <c r="D131" s="80">
        <v>31</v>
      </c>
      <c r="E131" s="81">
        <v>45140</v>
      </c>
      <c r="F131" s="78" t="s">
        <v>32</v>
      </c>
      <c r="G131" s="80" t="s">
        <v>53</v>
      </c>
      <c r="H131" s="80" t="s">
        <v>240</v>
      </c>
      <c r="I131" s="80" t="s">
        <v>164</v>
      </c>
      <c r="J131" s="80" t="s">
        <v>35</v>
      </c>
      <c r="K131" s="78" t="s">
        <v>36</v>
      </c>
      <c r="L131" s="79" t="s">
        <v>37</v>
      </c>
      <c r="M131" s="78" t="s">
        <v>38</v>
      </c>
      <c r="N131" s="79"/>
      <c r="O131" s="79">
        <v>17</v>
      </c>
      <c r="P131" s="79">
        <v>17</v>
      </c>
      <c r="Q131" s="82">
        <v>1</v>
      </c>
      <c r="R131" s="83" t="s">
        <v>46</v>
      </c>
      <c r="T131" s="83" t="s">
        <v>56</v>
      </c>
      <c r="U131" s="83" t="s">
        <v>165</v>
      </c>
    </row>
    <row r="132" spans="1:21">
      <c r="A132" s="74">
        <v>2023</v>
      </c>
      <c r="B132" s="74" t="s">
        <v>241</v>
      </c>
      <c r="C132" s="75">
        <v>30823</v>
      </c>
      <c r="D132" s="76">
        <v>31</v>
      </c>
      <c r="E132" s="77">
        <v>45140</v>
      </c>
      <c r="F132" s="74" t="s">
        <v>32</v>
      </c>
      <c r="G132" s="76" t="s">
        <v>53</v>
      </c>
      <c r="H132" s="76" t="s">
        <v>240</v>
      </c>
      <c r="I132" s="76" t="s">
        <v>164</v>
      </c>
      <c r="J132" s="76" t="s">
        <v>35</v>
      </c>
      <c r="K132" s="74" t="s">
        <v>36</v>
      </c>
      <c r="L132" s="75" t="s">
        <v>49</v>
      </c>
      <c r="M132" s="74" t="s">
        <v>38</v>
      </c>
      <c r="N132" s="75"/>
      <c r="O132" s="75">
        <v>4</v>
      </c>
      <c r="P132" s="75">
        <v>4</v>
      </c>
      <c r="Q132" s="53">
        <v>0</v>
      </c>
      <c r="R132" s="35" t="s">
        <v>39</v>
      </c>
      <c r="T132" s="35" t="s">
        <v>62</v>
      </c>
      <c r="U132" s="35" t="s">
        <v>167</v>
      </c>
    </row>
    <row r="133" spans="1:21">
      <c r="A133" s="74">
        <v>2023</v>
      </c>
      <c r="B133" s="74" t="s">
        <v>242</v>
      </c>
      <c r="C133" s="75">
        <v>30824</v>
      </c>
      <c r="D133" s="76">
        <v>31</v>
      </c>
      <c r="E133" s="77">
        <v>45141</v>
      </c>
      <c r="F133" s="74" t="s">
        <v>32</v>
      </c>
      <c r="G133" s="76" t="s">
        <v>53</v>
      </c>
      <c r="H133" s="76" t="s">
        <v>243</v>
      </c>
      <c r="I133" s="76" t="s">
        <v>186</v>
      </c>
      <c r="J133" s="76" t="s">
        <v>35</v>
      </c>
      <c r="K133" s="74" t="s">
        <v>36</v>
      </c>
      <c r="L133" s="75" t="s">
        <v>37</v>
      </c>
      <c r="M133" s="74" t="s">
        <v>38</v>
      </c>
      <c r="N133" s="75"/>
      <c r="O133" s="75">
        <v>32</v>
      </c>
      <c r="P133" s="75">
        <v>32</v>
      </c>
      <c r="Q133" s="53">
        <v>0</v>
      </c>
      <c r="R133" s="35" t="s">
        <v>39</v>
      </c>
      <c r="T133" s="35" t="s">
        <v>56</v>
      </c>
      <c r="U133" s="35" t="s">
        <v>187</v>
      </c>
    </row>
    <row r="134" spans="1:21">
      <c r="A134" s="74">
        <v>2023</v>
      </c>
      <c r="B134" s="74" t="s">
        <v>244</v>
      </c>
      <c r="C134" s="75">
        <v>30825</v>
      </c>
      <c r="D134" s="76">
        <v>31</v>
      </c>
      <c r="E134" s="77">
        <v>45141</v>
      </c>
      <c r="F134" s="74" t="s">
        <v>32</v>
      </c>
      <c r="G134" s="76" t="s">
        <v>53</v>
      </c>
      <c r="H134" s="76" t="s">
        <v>243</v>
      </c>
      <c r="I134" s="76" t="s">
        <v>186</v>
      </c>
      <c r="J134" s="76" t="s">
        <v>35</v>
      </c>
      <c r="K134" s="74" t="s">
        <v>36</v>
      </c>
      <c r="L134" s="75" t="s">
        <v>49</v>
      </c>
      <c r="M134" s="74" t="s">
        <v>38</v>
      </c>
      <c r="N134" s="75"/>
      <c r="O134" s="75">
        <v>3</v>
      </c>
      <c r="P134" s="75">
        <v>3</v>
      </c>
      <c r="Q134" s="53">
        <v>0</v>
      </c>
      <c r="R134" s="35" t="s">
        <v>39</v>
      </c>
      <c r="T134" s="35" t="s">
        <v>62</v>
      </c>
      <c r="U134" s="35" t="s">
        <v>191</v>
      </c>
    </row>
    <row r="135" spans="1:21">
      <c r="A135" s="74">
        <v>2023</v>
      </c>
      <c r="B135" s="74" t="s">
        <v>245</v>
      </c>
      <c r="C135" s="75">
        <v>30826</v>
      </c>
      <c r="D135" s="76">
        <v>31</v>
      </c>
      <c r="E135" s="77">
        <v>45141</v>
      </c>
      <c r="F135" s="74" t="s">
        <v>32</v>
      </c>
      <c r="G135" s="76" t="s">
        <v>53</v>
      </c>
      <c r="H135" s="76" t="s">
        <v>246</v>
      </c>
      <c r="I135" s="76" t="s">
        <v>55</v>
      </c>
      <c r="J135" s="76" t="s">
        <v>35</v>
      </c>
      <c r="K135" s="74" t="s">
        <v>36</v>
      </c>
      <c r="L135" s="75" t="s">
        <v>37</v>
      </c>
      <c r="M135" s="74" t="s">
        <v>38</v>
      </c>
      <c r="N135" s="75"/>
      <c r="O135" s="75">
        <v>50</v>
      </c>
      <c r="P135" s="75">
        <v>50</v>
      </c>
      <c r="Q135" s="53">
        <v>0</v>
      </c>
      <c r="R135" s="35" t="s">
        <v>39</v>
      </c>
      <c r="T135" s="35" t="s">
        <v>56</v>
      </c>
      <c r="U135" s="35" t="s">
        <v>57</v>
      </c>
    </row>
    <row r="136" spans="1:21">
      <c r="A136" s="74">
        <v>2023</v>
      </c>
      <c r="B136" s="74" t="s">
        <v>247</v>
      </c>
      <c r="C136" s="75">
        <v>30827</v>
      </c>
      <c r="D136" s="76">
        <v>31</v>
      </c>
      <c r="E136" s="77">
        <v>45141</v>
      </c>
      <c r="F136" s="74" t="s">
        <v>32</v>
      </c>
      <c r="G136" s="76" t="s">
        <v>53</v>
      </c>
      <c r="H136" s="76" t="s">
        <v>246</v>
      </c>
      <c r="I136" s="76" t="s">
        <v>55</v>
      </c>
      <c r="J136" s="76" t="s">
        <v>35</v>
      </c>
      <c r="K136" s="74" t="s">
        <v>36</v>
      </c>
      <c r="L136" s="75" t="s">
        <v>37</v>
      </c>
      <c r="M136" s="74" t="s">
        <v>38</v>
      </c>
      <c r="N136" s="75"/>
      <c r="O136" s="75">
        <v>33</v>
      </c>
      <c r="P136" s="75">
        <v>33</v>
      </c>
      <c r="Q136" s="53">
        <v>0</v>
      </c>
      <c r="R136" s="35" t="s">
        <v>39</v>
      </c>
      <c r="T136" s="35" t="s">
        <v>56</v>
      </c>
      <c r="U136" s="35" t="s">
        <v>57</v>
      </c>
    </row>
    <row r="137" spans="1:21" s="83" customFormat="1">
      <c r="A137" s="78">
        <v>2023</v>
      </c>
      <c r="B137" s="78" t="s">
        <v>248</v>
      </c>
      <c r="C137" s="79">
        <v>30828</v>
      </c>
      <c r="D137" s="80">
        <v>31</v>
      </c>
      <c r="E137" s="81">
        <v>45141</v>
      </c>
      <c r="F137" s="78" t="s">
        <v>32</v>
      </c>
      <c r="G137" s="80" t="s">
        <v>53</v>
      </c>
      <c r="H137" s="80" t="s">
        <v>246</v>
      </c>
      <c r="I137" s="80" t="s">
        <v>55</v>
      </c>
      <c r="J137" s="80" t="s">
        <v>35</v>
      </c>
      <c r="K137" s="78" t="s">
        <v>36</v>
      </c>
      <c r="L137" s="79" t="s">
        <v>49</v>
      </c>
      <c r="M137" s="78" t="s">
        <v>38</v>
      </c>
      <c r="N137" s="79"/>
      <c r="O137" s="79">
        <v>8</v>
      </c>
      <c r="P137" s="79">
        <v>8</v>
      </c>
      <c r="Q137" s="82">
        <v>1</v>
      </c>
      <c r="R137" s="83" t="s">
        <v>46</v>
      </c>
      <c r="T137" s="83" t="s">
        <v>62</v>
      </c>
      <c r="U137" s="83" t="s">
        <v>63</v>
      </c>
    </row>
    <row r="138" spans="1:21">
      <c r="A138" s="74">
        <v>2023</v>
      </c>
      <c r="B138" s="74" t="s">
        <v>249</v>
      </c>
      <c r="C138" s="75">
        <v>30829</v>
      </c>
      <c r="D138" s="76">
        <v>31</v>
      </c>
      <c r="E138" s="77">
        <v>45141</v>
      </c>
      <c r="F138" s="74" t="s">
        <v>32</v>
      </c>
      <c r="G138" s="76" t="s">
        <v>53</v>
      </c>
      <c r="H138" s="76" t="s">
        <v>250</v>
      </c>
      <c r="I138" s="76" t="s">
        <v>186</v>
      </c>
      <c r="J138" s="76" t="s">
        <v>35</v>
      </c>
      <c r="K138" s="74" t="s">
        <v>36</v>
      </c>
      <c r="L138" s="75" t="s">
        <v>37</v>
      </c>
      <c r="M138" s="74" t="s">
        <v>38</v>
      </c>
      <c r="N138" s="75"/>
      <c r="O138" s="75">
        <v>19</v>
      </c>
      <c r="P138" s="75">
        <v>19</v>
      </c>
      <c r="Q138" s="53">
        <v>0</v>
      </c>
      <c r="R138" s="35" t="s">
        <v>39</v>
      </c>
      <c r="T138" s="35" t="s">
        <v>56</v>
      </c>
      <c r="U138" s="35" t="s">
        <v>187</v>
      </c>
    </row>
    <row r="139" spans="1:21">
      <c r="A139" s="74">
        <v>2023</v>
      </c>
      <c r="B139" s="74" t="s">
        <v>251</v>
      </c>
      <c r="C139" s="75">
        <v>30830</v>
      </c>
      <c r="D139" s="76">
        <v>31</v>
      </c>
      <c r="E139" s="77">
        <v>45141</v>
      </c>
      <c r="F139" s="74" t="s">
        <v>32</v>
      </c>
      <c r="G139" s="76" t="s">
        <v>53</v>
      </c>
      <c r="H139" s="76" t="s">
        <v>250</v>
      </c>
      <c r="I139" s="76" t="s">
        <v>186</v>
      </c>
      <c r="J139" s="76" t="s">
        <v>35</v>
      </c>
      <c r="K139" s="74" t="s">
        <v>36</v>
      </c>
      <c r="L139" s="75" t="s">
        <v>49</v>
      </c>
      <c r="M139" s="74" t="s">
        <v>38</v>
      </c>
      <c r="N139" s="75"/>
      <c r="O139" s="75">
        <v>4</v>
      </c>
      <c r="P139" s="75">
        <v>4</v>
      </c>
      <c r="Q139" s="53">
        <v>0</v>
      </c>
      <c r="R139" s="35" t="s">
        <v>39</v>
      </c>
      <c r="T139" s="35" t="s">
        <v>62</v>
      </c>
      <c r="U139" s="35" t="s">
        <v>191</v>
      </c>
    </row>
    <row r="140" spans="1:21">
      <c r="A140" s="74">
        <v>2023</v>
      </c>
      <c r="B140" s="74" t="s">
        <v>252</v>
      </c>
      <c r="C140" s="75">
        <v>30831</v>
      </c>
      <c r="D140" s="76">
        <v>31</v>
      </c>
      <c r="E140" s="77">
        <v>45141</v>
      </c>
      <c r="F140" s="74" t="s">
        <v>32</v>
      </c>
      <c r="G140" s="76" t="s">
        <v>53</v>
      </c>
      <c r="H140" s="76" t="s">
        <v>253</v>
      </c>
      <c r="I140" s="76" t="s">
        <v>186</v>
      </c>
      <c r="J140" s="76" t="s">
        <v>35</v>
      </c>
      <c r="K140" s="74" t="s">
        <v>36</v>
      </c>
      <c r="L140" s="75" t="s">
        <v>37</v>
      </c>
      <c r="M140" s="74" t="s">
        <v>38</v>
      </c>
      <c r="N140" s="75"/>
      <c r="O140" s="75">
        <v>5</v>
      </c>
      <c r="P140" s="75">
        <v>5</v>
      </c>
      <c r="Q140" s="53">
        <v>0</v>
      </c>
      <c r="R140" s="35" t="s">
        <v>39</v>
      </c>
      <c r="T140" s="35" t="s">
        <v>56</v>
      </c>
      <c r="U140" s="35" t="s">
        <v>187</v>
      </c>
    </row>
    <row r="141" spans="1:21" s="83" customFormat="1">
      <c r="A141" s="78">
        <v>2023</v>
      </c>
      <c r="B141" s="78" t="s">
        <v>254</v>
      </c>
      <c r="C141" s="79">
        <v>30832</v>
      </c>
      <c r="D141" s="80">
        <v>31</v>
      </c>
      <c r="E141" s="81">
        <v>45141</v>
      </c>
      <c r="F141" s="78" t="s">
        <v>32</v>
      </c>
      <c r="G141" s="80" t="s">
        <v>53</v>
      </c>
      <c r="H141" s="80" t="s">
        <v>255</v>
      </c>
      <c r="I141" s="80" t="s">
        <v>55</v>
      </c>
      <c r="J141" s="80" t="s">
        <v>71</v>
      </c>
      <c r="K141" s="78" t="s">
        <v>36</v>
      </c>
      <c r="L141" s="79" t="s">
        <v>49</v>
      </c>
      <c r="M141" s="78" t="s">
        <v>38</v>
      </c>
      <c r="N141" s="79">
        <v>46</v>
      </c>
      <c r="O141" s="79"/>
      <c r="P141" s="79">
        <v>46</v>
      </c>
      <c r="Q141" s="82">
        <v>1</v>
      </c>
      <c r="R141" s="83" t="s">
        <v>46</v>
      </c>
      <c r="T141" s="83" t="s">
        <v>62</v>
      </c>
      <c r="U141" s="83" t="s">
        <v>63</v>
      </c>
    </row>
    <row r="142" spans="1:21">
      <c r="A142" s="74">
        <v>2023</v>
      </c>
      <c r="B142" s="74" t="s">
        <v>256</v>
      </c>
      <c r="C142" s="75">
        <v>30833</v>
      </c>
      <c r="D142" s="76">
        <v>31</v>
      </c>
      <c r="E142" s="77">
        <v>45141</v>
      </c>
      <c r="F142" s="74" t="s">
        <v>32</v>
      </c>
      <c r="G142" s="76" t="s">
        <v>53</v>
      </c>
      <c r="H142" s="76" t="s">
        <v>257</v>
      </c>
      <c r="I142" s="76" t="s">
        <v>186</v>
      </c>
      <c r="J142" s="76" t="s">
        <v>35</v>
      </c>
      <c r="K142" s="74" t="s">
        <v>36</v>
      </c>
      <c r="L142" s="75" t="s">
        <v>37</v>
      </c>
      <c r="M142" s="74" t="s">
        <v>38</v>
      </c>
      <c r="N142" s="75"/>
      <c r="O142" s="75">
        <v>11</v>
      </c>
      <c r="P142" s="75">
        <v>11</v>
      </c>
      <c r="Q142" s="53">
        <v>0</v>
      </c>
      <c r="R142" s="35" t="s">
        <v>39</v>
      </c>
      <c r="T142" s="35" t="s">
        <v>56</v>
      </c>
      <c r="U142" s="35" t="s">
        <v>187</v>
      </c>
    </row>
    <row r="143" spans="1:21">
      <c r="A143" s="74">
        <v>2023</v>
      </c>
      <c r="B143" s="74" t="s">
        <v>258</v>
      </c>
      <c r="C143" s="75">
        <v>30834</v>
      </c>
      <c r="D143" s="76">
        <v>31</v>
      </c>
      <c r="E143" s="77">
        <v>45141</v>
      </c>
      <c r="F143" s="74" t="s">
        <v>32</v>
      </c>
      <c r="G143" s="76" t="s">
        <v>53</v>
      </c>
      <c r="H143" s="76" t="s">
        <v>257</v>
      </c>
      <c r="I143" s="76" t="s">
        <v>186</v>
      </c>
      <c r="J143" s="76" t="s">
        <v>35</v>
      </c>
      <c r="K143" s="74" t="s">
        <v>36</v>
      </c>
      <c r="L143" s="75" t="s">
        <v>49</v>
      </c>
      <c r="M143" s="74" t="s">
        <v>38</v>
      </c>
      <c r="N143" s="75"/>
      <c r="O143" s="75">
        <v>6</v>
      </c>
      <c r="P143" s="75">
        <v>6</v>
      </c>
      <c r="Q143" s="53">
        <v>0</v>
      </c>
      <c r="R143" s="35" t="s">
        <v>39</v>
      </c>
      <c r="T143" s="35" t="s">
        <v>62</v>
      </c>
      <c r="U143" s="35" t="s">
        <v>191</v>
      </c>
    </row>
    <row r="144" spans="1:21" s="83" customFormat="1">
      <c r="A144" s="78">
        <v>2023</v>
      </c>
      <c r="B144" s="78" t="s">
        <v>259</v>
      </c>
      <c r="C144" s="79">
        <v>30835</v>
      </c>
      <c r="D144" s="80">
        <v>31</v>
      </c>
      <c r="E144" s="81">
        <v>45141</v>
      </c>
      <c r="F144" s="78" t="s">
        <v>32</v>
      </c>
      <c r="G144" s="80" t="s">
        <v>53</v>
      </c>
      <c r="H144" s="80" t="s">
        <v>260</v>
      </c>
      <c r="I144" s="80" t="s">
        <v>186</v>
      </c>
      <c r="J144" s="80" t="s">
        <v>35</v>
      </c>
      <c r="K144" s="78" t="s">
        <v>36</v>
      </c>
      <c r="L144" s="79" t="s">
        <v>37</v>
      </c>
      <c r="M144" s="78" t="s">
        <v>38</v>
      </c>
      <c r="N144" s="79"/>
      <c r="O144" s="79">
        <v>50</v>
      </c>
      <c r="P144" s="79">
        <v>50</v>
      </c>
      <c r="Q144" s="82">
        <v>1</v>
      </c>
      <c r="R144" s="83" t="s">
        <v>46</v>
      </c>
      <c r="T144" s="83" t="s">
        <v>56</v>
      </c>
      <c r="U144" s="83" t="s">
        <v>187</v>
      </c>
    </row>
    <row r="145" spans="1:21">
      <c r="A145" s="74">
        <v>2023</v>
      </c>
      <c r="B145" s="74" t="s">
        <v>261</v>
      </c>
      <c r="C145" s="75">
        <v>30836</v>
      </c>
      <c r="D145" s="76">
        <v>31</v>
      </c>
      <c r="E145" s="77">
        <v>45141</v>
      </c>
      <c r="F145" s="74" t="s">
        <v>32</v>
      </c>
      <c r="G145" s="76" t="s">
        <v>53</v>
      </c>
      <c r="H145" s="76" t="s">
        <v>260</v>
      </c>
      <c r="I145" s="76" t="s">
        <v>186</v>
      </c>
      <c r="J145" s="76" t="s">
        <v>35</v>
      </c>
      <c r="K145" s="74" t="s">
        <v>36</v>
      </c>
      <c r="L145" s="75" t="s">
        <v>37</v>
      </c>
      <c r="M145" s="74" t="s">
        <v>38</v>
      </c>
      <c r="N145" s="75"/>
      <c r="O145" s="75">
        <v>18</v>
      </c>
      <c r="P145" s="75">
        <v>18</v>
      </c>
      <c r="Q145" s="53">
        <v>0</v>
      </c>
      <c r="R145" s="35" t="s">
        <v>39</v>
      </c>
      <c r="T145" s="35" t="s">
        <v>56</v>
      </c>
      <c r="U145" s="35" t="s">
        <v>187</v>
      </c>
    </row>
    <row r="146" spans="1:21">
      <c r="A146" s="74">
        <v>2023</v>
      </c>
      <c r="B146" s="74" t="s">
        <v>262</v>
      </c>
      <c r="C146" s="75">
        <v>30837</v>
      </c>
      <c r="D146" s="76">
        <v>31</v>
      </c>
      <c r="E146" s="77">
        <v>45141</v>
      </c>
      <c r="F146" s="74" t="s">
        <v>32</v>
      </c>
      <c r="G146" s="76" t="s">
        <v>53</v>
      </c>
      <c r="H146" s="76" t="s">
        <v>260</v>
      </c>
      <c r="I146" s="76" t="s">
        <v>186</v>
      </c>
      <c r="J146" s="76" t="s">
        <v>35</v>
      </c>
      <c r="K146" s="74" t="s">
        <v>36</v>
      </c>
      <c r="L146" s="75" t="s">
        <v>49</v>
      </c>
      <c r="M146" s="74" t="s">
        <v>38</v>
      </c>
      <c r="N146" s="75"/>
      <c r="O146" s="75">
        <v>4</v>
      </c>
      <c r="P146" s="75">
        <v>4</v>
      </c>
      <c r="Q146" s="53">
        <v>0</v>
      </c>
      <c r="R146" s="35" t="s">
        <v>39</v>
      </c>
      <c r="T146" s="35" t="s">
        <v>62</v>
      </c>
      <c r="U146" s="35" t="s">
        <v>191</v>
      </c>
    </row>
    <row r="147" spans="1:21" s="83" customFormat="1">
      <c r="A147" s="78">
        <v>2023</v>
      </c>
      <c r="B147" s="78" t="s">
        <v>263</v>
      </c>
      <c r="C147" s="79">
        <v>30838</v>
      </c>
      <c r="D147" s="80">
        <v>31</v>
      </c>
      <c r="E147" s="81">
        <v>45141</v>
      </c>
      <c r="F147" s="78" t="s">
        <v>32</v>
      </c>
      <c r="G147" s="80" t="s">
        <v>53</v>
      </c>
      <c r="H147" s="80" t="s">
        <v>264</v>
      </c>
      <c r="I147" s="80" t="s">
        <v>186</v>
      </c>
      <c r="J147" s="80" t="s">
        <v>35</v>
      </c>
      <c r="K147" s="78" t="s">
        <v>36</v>
      </c>
      <c r="L147" s="79" t="s">
        <v>37</v>
      </c>
      <c r="M147" s="78" t="s">
        <v>38</v>
      </c>
      <c r="N147" s="79"/>
      <c r="O147" s="79">
        <v>5</v>
      </c>
      <c r="P147" s="79">
        <v>5</v>
      </c>
      <c r="Q147" s="82">
        <v>1</v>
      </c>
      <c r="R147" s="83" t="s">
        <v>46</v>
      </c>
      <c r="T147" s="83" t="s">
        <v>56</v>
      </c>
      <c r="U147" s="83" t="s">
        <v>187</v>
      </c>
    </row>
    <row r="148" spans="1:21">
      <c r="A148" s="74">
        <v>2023</v>
      </c>
      <c r="B148" s="74" t="s">
        <v>265</v>
      </c>
      <c r="C148" s="75">
        <v>30839</v>
      </c>
      <c r="D148" s="76">
        <v>31</v>
      </c>
      <c r="E148" s="77">
        <v>45141</v>
      </c>
      <c r="F148" s="74" t="s">
        <v>32</v>
      </c>
      <c r="G148" s="76" t="s">
        <v>53</v>
      </c>
      <c r="H148" s="76" t="s">
        <v>264</v>
      </c>
      <c r="I148" s="76" t="s">
        <v>186</v>
      </c>
      <c r="J148" s="76" t="s">
        <v>35</v>
      </c>
      <c r="K148" s="74" t="s">
        <v>36</v>
      </c>
      <c r="L148" s="75" t="s">
        <v>49</v>
      </c>
      <c r="M148" s="74" t="s">
        <v>38</v>
      </c>
      <c r="N148" s="75"/>
      <c r="O148" s="75">
        <v>1</v>
      </c>
      <c r="P148" s="75">
        <v>1</v>
      </c>
      <c r="Q148" s="53">
        <v>0</v>
      </c>
      <c r="R148" s="35" t="s">
        <v>39</v>
      </c>
      <c r="T148" s="35" t="s">
        <v>62</v>
      </c>
      <c r="U148" s="35" t="s">
        <v>191</v>
      </c>
    </row>
    <row r="149" spans="1:21">
      <c r="A149" s="74">
        <v>2023</v>
      </c>
      <c r="B149" s="74" t="s">
        <v>266</v>
      </c>
      <c r="C149" s="75">
        <v>30840</v>
      </c>
      <c r="D149" s="76">
        <v>31</v>
      </c>
      <c r="E149" s="77">
        <v>45141</v>
      </c>
      <c r="F149" s="74" t="s">
        <v>32</v>
      </c>
      <c r="G149" s="76" t="s">
        <v>53</v>
      </c>
      <c r="H149" s="76" t="s">
        <v>267</v>
      </c>
      <c r="I149" s="76" t="s">
        <v>186</v>
      </c>
      <c r="J149" s="76" t="s">
        <v>35</v>
      </c>
      <c r="K149" s="74" t="s">
        <v>36</v>
      </c>
      <c r="L149" s="75" t="s">
        <v>37</v>
      </c>
      <c r="M149" s="74" t="s">
        <v>38</v>
      </c>
      <c r="N149" s="75"/>
      <c r="O149" s="75">
        <v>18</v>
      </c>
      <c r="P149" s="75">
        <v>18</v>
      </c>
      <c r="Q149" s="53">
        <v>0</v>
      </c>
      <c r="R149" s="35" t="s">
        <v>39</v>
      </c>
      <c r="T149" s="35" t="s">
        <v>56</v>
      </c>
      <c r="U149" s="35" t="s">
        <v>187</v>
      </c>
    </row>
    <row r="150" spans="1:21">
      <c r="A150" s="74">
        <v>2023</v>
      </c>
      <c r="B150" s="74" t="s">
        <v>268</v>
      </c>
      <c r="C150" s="75">
        <v>30841</v>
      </c>
      <c r="D150" s="76">
        <v>31</v>
      </c>
      <c r="E150" s="77">
        <v>45141</v>
      </c>
      <c r="F150" s="74" t="s">
        <v>32</v>
      </c>
      <c r="G150" s="76" t="s">
        <v>53</v>
      </c>
      <c r="H150" s="76" t="s">
        <v>267</v>
      </c>
      <c r="I150" s="76" t="s">
        <v>186</v>
      </c>
      <c r="J150" s="76" t="s">
        <v>35</v>
      </c>
      <c r="K150" s="74" t="s">
        <v>36</v>
      </c>
      <c r="L150" s="75" t="s">
        <v>49</v>
      </c>
      <c r="M150" s="74" t="s">
        <v>38</v>
      </c>
      <c r="N150" s="75"/>
      <c r="O150" s="75">
        <v>4</v>
      </c>
      <c r="P150" s="75">
        <v>4</v>
      </c>
      <c r="Q150" s="53">
        <v>0</v>
      </c>
      <c r="R150" s="35" t="s">
        <v>39</v>
      </c>
      <c r="T150" s="35" t="s">
        <v>62</v>
      </c>
      <c r="U150" s="35" t="s">
        <v>191</v>
      </c>
    </row>
    <row r="151" spans="1:21" s="83" customFormat="1">
      <c r="A151" s="78">
        <v>2023</v>
      </c>
      <c r="B151" s="78" t="s">
        <v>269</v>
      </c>
      <c r="C151" s="79">
        <v>30842</v>
      </c>
      <c r="D151" s="80">
        <v>31</v>
      </c>
      <c r="E151" s="81">
        <v>45141</v>
      </c>
      <c r="F151" s="78" t="s">
        <v>32</v>
      </c>
      <c r="G151" s="80" t="s">
        <v>53</v>
      </c>
      <c r="H151" s="80" t="s">
        <v>270</v>
      </c>
      <c r="I151" s="80" t="s">
        <v>186</v>
      </c>
      <c r="J151" s="80" t="s">
        <v>71</v>
      </c>
      <c r="K151" s="78" t="s">
        <v>36</v>
      </c>
      <c r="L151" s="79" t="s">
        <v>49</v>
      </c>
      <c r="M151" s="78" t="s">
        <v>38</v>
      </c>
      <c r="N151" s="79">
        <v>33</v>
      </c>
      <c r="O151" s="79"/>
      <c r="P151" s="79">
        <v>33</v>
      </c>
      <c r="Q151" s="82">
        <v>1</v>
      </c>
      <c r="R151" s="83" t="s">
        <v>46</v>
      </c>
      <c r="T151" s="83" t="s">
        <v>62</v>
      </c>
      <c r="U151" s="83" t="s">
        <v>191</v>
      </c>
    </row>
    <row r="152" spans="1:21">
      <c r="A152" s="74">
        <v>2023</v>
      </c>
      <c r="B152" s="74" t="s">
        <v>271</v>
      </c>
      <c r="C152" s="75" t="s">
        <v>272</v>
      </c>
      <c r="D152" s="76">
        <v>31</v>
      </c>
      <c r="E152" s="77">
        <v>45138</v>
      </c>
      <c r="F152" s="74" t="s">
        <v>273</v>
      </c>
      <c r="G152" s="76" t="s">
        <v>273</v>
      </c>
      <c r="H152" s="76" t="s">
        <v>274</v>
      </c>
      <c r="I152" s="76" t="s">
        <v>273</v>
      </c>
      <c r="J152" s="76" t="s">
        <v>35</v>
      </c>
      <c r="K152" s="74" t="s">
        <v>36</v>
      </c>
      <c r="L152" s="75" t="s">
        <v>37</v>
      </c>
      <c r="M152" s="74" t="s">
        <v>38</v>
      </c>
      <c r="N152" s="75"/>
      <c r="O152" s="75">
        <v>49</v>
      </c>
      <c r="P152" s="75">
        <v>49</v>
      </c>
      <c r="Q152" s="53">
        <v>0</v>
      </c>
      <c r="R152" s="35" t="s">
        <v>39</v>
      </c>
      <c r="T152" s="35" t="s">
        <v>275</v>
      </c>
      <c r="U152" s="35" t="s">
        <v>275</v>
      </c>
    </row>
    <row r="153" spans="1:21">
      <c r="A153" s="74">
        <v>2023</v>
      </c>
      <c r="B153" s="74" t="s">
        <v>276</v>
      </c>
      <c r="C153" s="75" t="s">
        <v>272</v>
      </c>
      <c r="D153" s="76">
        <v>31</v>
      </c>
      <c r="E153" s="77">
        <v>45138</v>
      </c>
      <c r="F153" s="74" t="s">
        <v>273</v>
      </c>
      <c r="G153" s="76" t="s">
        <v>273</v>
      </c>
      <c r="H153" s="76" t="s">
        <v>277</v>
      </c>
      <c r="I153" s="76" t="s">
        <v>273</v>
      </c>
      <c r="J153" s="76" t="s">
        <v>35</v>
      </c>
      <c r="K153" s="74" t="s">
        <v>36</v>
      </c>
      <c r="L153" s="75" t="s">
        <v>37</v>
      </c>
      <c r="M153" s="74" t="s">
        <v>38</v>
      </c>
      <c r="N153" s="75"/>
      <c r="O153" s="75">
        <v>49</v>
      </c>
      <c r="P153" s="75">
        <v>49</v>
      </c>
      <c r="Q153" s="53">
        <v>0</v>
      </c>
      <c r="R153" s="35" t="s">
        <v>39</v>
      </c>
      <c r="T153" s="35" t="s">
        <v>275</v>
      </c>
      <c r="U153" s="35" t="s">
        <v>275</v>
      </c>
    </row>
    <row r="154" spans="1:21">
      <c r="A154" s="74">
        <v>2023</v>
      </c>
      <c r="B154" s="74" t="s">
        <v>278</v>
      </c>
      <c r="C154" s="75" t="s">
        <v>272</v>
      </c>
      <c r="D154" s="76">
        <v>31</v>
      </c>
      <c r="E154" s="77">
        <v>45138</v>
      </c>
      <c r="F154" s="74" t="s">
        <v>273</v>
      </c>
      <c r="G154" s="76" t="s">
        <v>273</v>
      </c>
      <c r="H154" s="76" t="s">
        <v>279</v>
      </c>
      <c r="I154" s="76" t="s">
        <v>273</v>
      </c>
      <c r="J154" s="76" t="s">
        <v>35</v>
      </c>
      <c r="K154" s="74" t="s">
        <v>36</v>
      </c>
      <c r="L154" s="75" t="s">
        <v>37</v>
      </c>
      <c r="M154" s="74" t="s">
        <v>38</v>
      </c>
      <c r="N154" s="75"/>
      <c r="O154" s="75">
        <v>49</v>
      </c>
      <c r="P154" s="75">
        <v>49</v>
      </c>
      <c r="Q154" s="53">
        <v>0</v>
      </c>
      <c r="R154" s="35" t="s">
        <v>39</v>
      </c>
      <c r="T154" s="35" t="s">
        <v>275</v>
      </c>
      <c r="U154" s="35" t="s">
        <v>275</v>
      </c>
    </row>
    <row r="155" spans="1:21">
      <c r="A155" s="74">
        <v>2023</v>
      </c>
      <c r="B155" s="74" t="s">
        <v>280</v>
      </c>
      <c r="C155" s="75" t="s">
        <v>272</v>
      </c>
      <c r="D155" s="76">
        <v>31</v>
      </c>
      <c r="E155" s="77">
        <v>45138</v>
      </c>
      <c r="F155" s="74" t="s">
        <v>273</v>
      </c>
      <c r="G155" s="76" t="s">
        <v>273</v>
      </c>
      <c r="H155" s="76" t="s">
        <v>281</v>
      </c>
      <c r="I155" s="76" t="s">
        <v>273</v>
      </c>
      <c r="J155" s="76" t="s">
        <v>35</v>
      </c>
      <c r="K155" s="74" t="s">
        <v>36</v>
      </c>
      <c r="L155" s="75" t="s">
        <v>37</v>
      </c>
      <c r="M155" s="74" t="s">
        <v>38</v>
      </c>
      <c r="N155" s="75"/>
      <c r="O155" s="75">
        <v>37</v>
      </c>
      <c r="P155" s="75">
        <v>37</v>
      </c>
      <c r="Q155" s="53">
        <v>0</v>
      </c>
      <c r="R155" s="35" t="s">
        <v>39</v>
      </c>
      <c r="T155" s="35" t="s">
        <v>275</v>
      </c>
      <c r="U155" s="35" t="s">
        <v>275</v>
      </c>
    </row>
    <row r="156" spans="1:21">
      <c r="A156" s="74">
        <v>2023</v>
      </c>
      <c r="B156" s="74" t="s">
        <v>282</v>
      </c>
      <c r="C156" s="75" t="s">
        <v>272</v>
      </c>
      <c r="D156" s="76">
        <v>31</v>
      </c>
      <c r="E156" s="77">
        <v>45138</v>
      </c>
      <c r="F156" s="74" t="s">
        <v>273</v>
      </c>
      <c r="G156" s="76" t="s">
        <v>273</v>
      </c>
      <c r="H156" s="76" t="s">
        <v>283</v>
      </c>
      <c r="I156" s="76" t="s">
        <v>273</v>
      </c>
      <c r="J156" s="76" t="s">
        <v>35</v>
      </c>
      <c r="K156" s="74" t="s">
        <v>36</v>
      </c>
      <c r="L156" s="75" t="s">
        <v>37</v>
      </c>
      <c r="M156" s="74" t="s">
        <v>38</v>
      </c>
      <c r="N156" s="75"/>
      <c r="O156" s="75">
        <v>49</v>
      </c>
      <c r="P156" s="75">
        <v>49</v>
      </c>
      <c r="Q156" s="53">
        <v>0</v>
      </c>
      <c r="R156" s="35" t="s">
        <v>39</v>
      </c>
      <c r="T156" s="35" t="s">
        <v>275</v>
      </c>
      <c r="U156" s="35" t="s">
        <v>275</v>
      </c>
    </row>
    <row r="157" spans="1:21">
      <c r="A157" s="74">
        <v>2023</v>
      </c>
      <c r="B157" s="74" t="s">
        <v>284</v>
      </c>
      <c r="C157" s="75" t="s">
        <v>272</v>
      </c>
      <c r="D157" s="76">
        <v>31</v>
      </c>
      <c r="E157" s="77">
        <v>45138</v>
      </c>
      <c r="F157" s="74" t="s">
        <v>273</v>
      </c>
      <c r="G157" s="76" t="s">
        <v>273</v>
      </c>
      <c r="H157" s="76" t="s">
        <v>285</v>
      </c>
      <c r="I157" s="76" t="s">
        <v>273</v>
      </c>
      <c r="J157" s="76" t="s">
        <v>35</v>
      </c>
      <c r="K157" s="74" t="s">
        <v>36</v>
      </c>
      <c r="L157" s="75" t="s">
        <v>37</v>
      </c>
      <c r="M157" s="74" t="s">
        <v>38</v>
      </c>
      <c r="N157" s="75"/>
      <c r="O157" s="75">
        <v>49</v>
      </c>
      <c r="P157" s="75">
        <v>49</v>
      </c>
      <c r="Q157" s="53">
        <v>0</v>
      </c>
      <c r="R157" s="35" t="s">
        <v>39</v>
      </c>
      <c r="T157" s="35" t="s">
        <v>275</v>
      </c>
      <c r="U157" s="35" t="s">
        <v>275</v>
      </c>
    </row>
    <row r="158" spans="1:21">
      <c r="A158" s="74"/>
      <c r="B158" s="74"/>
      <c r="C158" s="75"/>
      <c r="D158" s="76"/>
      <c r="E158" s="77"/>
      <c r="F158" s="74"/>
      <c r="G158" s="76"/>
      <c r="H158" s="76"/>
      <c r="I158" s="76"/>
      <c r="J158" s="76"/>
      <c r="K158" s="74"/>
      <c r="L158" s="75"/>
      <c r="M158" s="74"/>
      <c r="N158" s="75"/>
      <c r="O158" s="75"/>
      <c r="P158" s="75"/>
      <c r="Q158" s="53"/>
    </row>
    <row r="159" spans="1:21">
      <c r="A159" s="74"/>
      <c r="B159" s="74"/>
      <c r="C159" s="75"/>
      <c r="D159" s="76"/>
      <c r="E159" s="77"/>
      <c r="F159" s="74"/>
      <c r="G159" s="76"/>
      <c r="H159" s="76"/>
      <c r="I159" s="76"/>
      <c r="J159" s="76"/>
      <c r="K159" s="74"/>
      <c r="L159" s="75"/>
      <c r="M159" s="74"/>
      <c r="N159" s="75"/>
      <c r="O159" s="75"/>
      <c r="P159" s="75"/>
      <c r="Q159" s="53"/>
    </row>
    <row r="160" spans="1:21">
      <c r="A160" s="74"/>
      <c r="B160" s="74"/>
      <c r="C160" s="75"/>
      <c r="D160" s="76"/>
      <c r="E160" s="77"/>
      <c r="F160" s="74"/>
      <c r="G160" s="76"/>
      <c r="H160" s="76"/>
      <c r="I160" s="76"/>
      <c r="J160" s="76"/>
      <c r="K160" s="74"/>
      <c r="L160" s="75"/>
      <c r="M160" s="74"/>
      <c r="N160" s="75"/>
      <c r="O160" s="75"/>
      <c r="P160" s="75"/>
      <c r="Q160" s="53"/>
    </row>
    <row r="161" spans="1:17">
      <c r="A161" s="74"/>
      <c r="B161" s="74"/>
      <c r="C161" s="75"/>
      <c r="D161" s="76"/>
      <c r="E161" s="77"/>
      <c r="F161" s="74"/>
      <c r="G161" s="76"/>
      <c r="H161" s="76"/>
      <c r="I161" s="76"/>
      <c r="J161" s="76"/>
      <c r="K161" s="74"/>
      <c r="L161" s="75"/>
      <c r="M161" s="74"/>
      <c r="N161" s="75"/>
      <c r="O161" s="75"/>
      <c r="P161" s="75"/>
      <c r="Q161" s="53"/>
    </row>
    <row r="162" spans="1:17">
      <c r="A162" s="74"/>
      <c r="B162" s="74"/>
      <c r="C162" s="75"/>
      <c r="D162" s="76"/>
      <c r="E162" s="77"/>
      <c r="F162" s="74"/>
      <c r="G162" s="76"/>
      <c r="H162" s="76"/>
      <c r="I162" s="76"/>
      <c r="J162" s="76"/>
      <c r="K162" s="74"/>
      <c r="L162" s="75"/>
      <c r="M162" s="74"/>
      <c r="N162" s="75"/>
      <c r="O162" s="75"/>
      <c r="P162" s="75"/>
      <c r="Q162" s="53"/>
    </row>
    <row r="163" spans="1:17">
      <c r="A163" s="74"/>
      <c r="B163" s="74"/>
      <c r="C163" s="75"/>
      <c r="D163" s="76"/>
      <c r="E163" s="77"/>
      <c r="F163" s="74"/>
      <c r="G163" s="76"/>
      <c r="H163" s="76"/>
      <c r="I163" s="76"/>
      <c r="J163" s="76"/>
      <c r="K163" s="74"/>
      <c r="L163" s="75"/>
      <c r="M163" s="74"/>
      <c r="N163" s="75"/>
      <c r="O163" s="75"/>
      <c r="P163" s="75"/>
      <c r="Q163" s="53"/>
    </row>
    <row r="164" spans="1:17">
      <c r="A164" s="74"/>
      <c r="B164" s="74"/>
      <c r="C164" s="75"/>
      <c r="D164" s="76"/>
      <c r="E164" s="77"/>
      <c r="F164" s="74"/>
      <c r="G164" s="76"/>
      <c r="H164" s="76"/>
      <c r="I164" s="76"/>
      <c r="J164" s="76"/>
      <c r="K164" s="74"/>
      <c r="L164" s="75"/>
      <c r="M164" s="74"/>
      <c r="N164" s="75"/>
      <c r="O164" s="75"/>
      <c r="P164" s="75"/>
      <c r="Q164" s="53"/>
    </row>
    <row r="165" spans="1:17">
      <c r="A165" s="74"/>
      <c r="B165" s="74"/>
      <c r="C165" s="75"/>
      <c r="D165" s="76"/>
      <c r="E165" s="77"/>
      <c r="F165" s="74"/>
      <c r="G165" s="76"/>
      <c r="H165" s="76"/>
      <c r="I165" s="76"/>
      <c r="J165" s="76"/>
      <c r="K165" s="74"/>
      <c r="L165" s="75"/>
      <c r="M165" s="74"/>
      <c r="N165" s="75"/>
      <c r="O165" s="75"/>
      <c r="P165" s="75"/>
      <c r="Q165" s="53"/>
    </row>
    <row r="166" spans="1:17">
      <c r="A166" s="74"/>
      <c r="B166" s="74"/>
      <c r="C166" s="75"/>
      <c r="D166" s="76"/>
      <c r="E166" s="77"/>
      <c r="F166" s="74"/>
      <c r="G166" s="76"/>
      <c r="H166" s="76"/>
      <c r="I166" s="76"/>
      <c r="J166" s="76"/>
      <c r="K166" s="74"/>
      <c r="L166" s="75"/>
      <c r="M166" s="74"/>
      <c r="N166" s="75"/>
      <c r="O166" s="75"/>
      <c r="P166" s="75"/>
      <c r="Q166" s="53"/>
    </row>
    <row r="167" spans="1:17">
      <c r="A167" s="74"/>
      <c r="B167" s="74"/>
      <c r="C167" s="75"/>
      <c r="D167" s="76"/>
      <c r="E167" s="77"/>
      <c r="F167" s="74"/>
      <c r="G167" s="76"/>
      <c r="H167" s="76"/>
      <c r="I167" s="76"/>
      <c r="J167" s="76"/>
      <c r="K167" s="74"/>
      <c r="L167" s="75"/>
      <c r="M167" s="74"/>
      <c r="N167" s="75"/>
      <c r="O167" s="75"/>
      <c r="P167" s="75"/>
      <c r="Q167" s="53"/>
    </row>
    <row r="168" spans="1:17">
      <c r="A168" s="74"/>
      <c r="B168" s="74"/>
      <c r="C168" s="75"/>
      <c r="D168" s="76"/>
      <c r="E168" s="77"/>
      <c r="F168" s="74"/>
      <c r="G168" s="76"/>
      <c r="H168" s="76"/>
      <c r="I168" s="76"/>
      <c r="J168" s="76"/>
      <c r="K168" s="74"/>
      <c r="L168" s="75"/>
      <c r="M168" s="74"/>
      <c r="N168" s="75"/>
      <c r="O168" s="75"/>
      <c r="P168" s="75"/>
      <c r="Q168" s="53"/>
    </row>
    <row r="169" spans="1:17">
      <c r="A169" s="74"/>
      <c r="B169" s="74"/>
      <c r="C169" s="75"/>
      <c r="D169" s="76"/>
      <c r="E169" s="77"/>
      <c r="F169" s="74"/>
      <c r="G169" s="76"/>
      <c r="H169" s="76"/>
      <c r="I169" s="76"/>
      <c r="J169" s="76"/>
      <c r="K169" s="74"/>
      <c r="L169" s="75"/>
      <c r="M169" s="74"/>
      <c r="N169" s="75"/>
      <c r="O169" s="75"/>
      <c r="P169" s="75"/>
      <c r="Q169" s="53"/>
    </row>
    <row r="170" spans="1:17">
      <c r="A170" s="74"/>
      <c r="B170" s="74"/>
      <c r="C170" s="75"/>
      <c r="D170" s="76"/>
      <c r="E170" s="77"/>
      <c r="F170" s="74"/>
      <c r="G170" s="76"/>
      <c r="H170" s="76"/>
      <c r="I170" s="76"/>
      <c r="J170" s="76"/>
      <c r="K170" s="74"/>
      <c r="L170" s="75"/>
      <c r="M170" s="74"/>
      <c r="N170" s="75"/>
      <c r="O170" s="75"/>
      <c r="P170" s="75"/>
      <c r="Q170" s="53"/>
    </row>
    <row r="171" spans="1:17">
      <c r="A171" s="74"/>
      <c r="B171" s="74"/>
      <c r="C171" s="75"/>
      <c r="D171" s="76"/>
      <c r="E171" s="77"/>
      <c r="F171" s="74"/>
      <c r="G171" s="76"/>
      <c r="H171" s="76"/>
      <c r="I171" s="76"/>
      <c r="J171" s="76"/>
      <c r="K171" s="74"/>
      <c r="L171" s="75"/>
      <c r="M171" s="74"/>
      <c r="N171" s="75"/>
      <c r="O171" s="75"/>
      <c r="P171" s="75"/>
      <c r="Q171" s="53"/>
    </row>
    <row r="172" spans="1:17">
      <c r="A172" s="74"/>
      <c r="B172" s="74"/>
      <c r="C172" s="75"/>
      <c r="D172" s="76"/>
      <c r="E172" s="77"/>
      <c r="F172" s="74"/>
      <c r="G172" s="76"/>
      <c r="H172" s="76"/>
      <c r="I172" s="76"/>
      <c r="J172" s="76"/>
      <c r="K172" s="74"/>
      <c r="L172" s="75"/>
      <c r="M172" s="74"/>
      <c r="N172" s="75"/>
      <c r="O172" s="75"/>
      <c r="P172" s="75"/>
      <c r="Q172" s="53"/>
    </row>
    <row r="173" spans="1:17">
      <c r="A173" s="74"/>
      <c r="B173" s="74"/>
      <c r="C173" s="75"/>
      <c r="D173" s="76"/>
      <c r="E173" s="77"/>
      <c r="F173" s="74"/>
      <c r="G173" s="76"/>
      <c r="H173" s="76"/>
      <c r="I173" s="76"/>
      <c r="J173" s="76"/>
      <c r="K173" s="74"/>
      <c r="L173" s="75"/>
      <c r="M173" s="74"/>
      <c r="N173" s="75"/>
      <c r="O173" s="75"/>
      <c r="P173" s="75"/>
      <c r="Q173" s="53"/>
    </row>
    <row r="174" spans="1:17">
      <c r="A174" s="74"/>
      <c r="B174" s="74"/>
      <c r="C174" s="75"/>
      <c r="D174" s="76"/>
      <c r="E174" s="77"/>
      <c r="F174" s="74"/>
      <c r="G174" s="76"/>
      <c r="H174" s="76"/>
      <c r="I174" s="76"/>
      <c r="J174" s="76"/>
      <c r="K174" s="74"/>
      <c r="L174" s="75"/>
      <c r="M174" s="74"/>
      <c r="N174" s="75"/>
      <c r="O174" s="75"/>
      <c r="P174" s="75"/>
      <c r="Q174" s="53"/>
    </row>
    <row r="175" spans="1:17">
      <c r="A175" s="74"/>
      <c r="B175" s="74"/>
      <c r="C175" s="75"/>
      <c r="D175" s="76"/>
      <c r="E175" s="77"/>
      <c r="F175" s="74"/>
      <c r="G175" s="76"/>
      <c r="H175" s="76"/>
      <c r="I175" s="76"/>
      <c r="J175" s="76"/>
      <c r="K175" s="74"/>
      <c r="L175" s="75"/>
      <c r="M175" s="74"/>
      <c r="N175" s="75"/>
      <c r="O175" s="75"/>
      <c r="P175" s="75"/>
      <c r="Q175" s="53"/>
    </row>
    <row r="176" spans="1:17">
      <c r="A176" s="74"/>
      <c r="B176" s="74"/>
      <c r="C176" s="75"/>
      <c r="D176" s="76"/>
      <c r="E176" s="77"/>
      <c r="F176" s="74"/>
      <c r="G176" s="76"/>
      <c r="H176" s="76"/>
      <c r="I176" s="76"/>
      <c r="J176" s="76"/>
      <c r="K176" s="74"/>
      <c r="L176" s="75"/>
      <c r="M176" s="74"/>
      <c r="N176" s="75"/>
      <c r="O176" s="75"/>
      <c r="P176" s="75"/>
      <c r="Q176" s="53"/>
    </row>
    <row r="177" spans="1:17">
      <c r="A177" s="74"/>
      <c r="B177" s="74"/>
      <c r="C177" s="75"/>
      <c r="D177" s="76"/>
      <c r="E177" s="77"/>
      <c r="F177" s="74"/>
      <c r="G177" s="76"/>
      <c r="H177" s="76"/>
      <c r="I177" s="76"/>
      <c r="J177" s="76"/>
      <c r="K177" s="74"/>
      <c r="L177" s="75"/>
      <c r="M177" s="74"/>
      <c r="N177" s="75"/>
      <c r="O177" s="75"/>
      <c r="P177" s="75"/>
      <c r="Q177" s="53"/>
    </row>
    <row r="178" spans="1:17">
      <c r="A178" s="74"/>
      <c r="B178" s="74"/>
      <c r="C178" s="75"/>
      <c r="D178" s="76"/>
      <c r="E178" s="77"/>
      <c r="F178" s="74"/>
      <c r="G178" s="76"/>
      <c r="H178" s="76"/>
      <c r="I178" s="76"/>
      <c r="J178" s="76"/>
      <c r="K178" s="74"/>
      <c r="L178" s="75"/>
      <c r="M178" s="74"/>
      <c r="N178" s="75"/>
      <c r="O178" s="75"/>
      <c r="P178" s="75"/>
      <c r="Q178" s="53"/>
    </row>
    <row r="179" spans="1:17">
      <c r="A179" s="74"/>
      <c r="B179" s="74"/>
      <c r="C179" s="75"/>
      <c r="D179" s="76"/>
      <c r="E179" s="77"/>
      <c r="F179" s="74"/>
      <c r="G179" s="76"/>
      <c r="H179" s="76"/>
      <c r="I179" s="76"/>
      <c r="J179" s="76"/>
      <c r="K179" s="74"/>
      <c r="L179" s="75"/>
      <c r="M179" s="74"/>
      <c r="N179" s="75"/>
      <c r="O179" s="75"/>
      <c r="P179" s="75"/>
      <c r="Q179" s="53"/>
    </row>
    <row r="180" spans="1:17">
      <c r="A180" s="74"/>
      <c r="B180" s="74"/>
      <c r="C180" s="75"/>
      <c r="D180" s="76"/>
      <c r="E180" s="77"/>
      <c r="F180" s="74"/>
      <c r="G180" s="76"/>
      <c r="H180" s="76"/>
      <c r="I180" s="76"/>
      <c r="J180" s="76"/>
      <c r="K180" s="74"/>
      <c r="L180" s="75"/>
      <c r="M180" s="74"/>
      <c r="N180" s="75"/>
      <c r="O180" s="75"/>
      <c r="P180" s="75"/>
      <c r="Q180" s="53"/>
    </row>
    <row r="181" spans="1:17">
      <c r="A181" s="74"/>
      <c r="B181" s="74"/>
      <c r="C181" s="75"/>
      <c r="D181" s="76"/>
      <c r="E181" s="77"/>
      <c r="F181" s="74"/>
      <c r="G181" s="76"/>
      <c r="H181" s="76"/>
      <c r="I181" s="76"/>
      <c r="J181" s="76"/>
      <c r="K181" s="74"/>
      <c r="L181" s="75"/>
      <c r="M181" s="74"/>
      <c r="N181" s="75"/>
      <c r="O181" s="75"/>
      <c r="P181" s="75"/>
      <c r="Q181" s="53"/>
    </row>
    <row r="182" spans="1:17">
      <c r="A182" s="74"/>
      <c r="B182" s="74"/>
      <c r="C182" s="75"/>
      <c r="D182" s="76"/>
      <c r="E182" s="77"/>
      <c r="F182" s="74"/>
      <c r="G182" s="76"/>
      <c r="H182" s="76"/>
      <c r="I182" s="76"/>
      <c r="J182" s="76"/>
      <c r="K182" s="74"/>
      <c r="L182" s="75"/>
      <c r="M182" s="74"/>
      <c r="N182" s="75"/>
      <c r="O182" s="75"/>
      <c r="P182" s="75"/>
      <c r="Q182" s="53"/>
    </row>
    <row r="183" spans="1:17">
      <c r="A183" s="74"/>
      <c r="B183" s="74"/>
      <c r="C183" s="75"/>
      <c r="D183" s="76"/>
      <c r="E183" s="77"/>
      <c r="F183" s="74"/>
      <c r="G183" s="76"/>
      <c r="H183" s="76"/>
      <c r="I183" s="76"/>
      <c r="J183" s="76"/>
      <c r="K183" s="74"/>
      <c r="L183" s="75"/>
      <c r="M183" s="74"/>
      <c r="N183" s="75"/>
      <c r="O183" s="75"/>
      <c r="P183" s="75"/>
      <c r="Q183" s="53"/>
    </row>
    <row r="184" spans="1:17">
      <c r="A184" s="74"/>
      <c r="B184" s="74"/>
      <c r="C184" s="75"/>
      <c r="D184" s="76"/>
      <c r="E184" s="77"/>
      <c r="F184" s="74"/>
      <c r="G184" s="76"/>
      <c r="H184" s="76"/>
      <c r="I184" s="76"/>
      <c r="J184" s="76"/>
      <c r="K184" s="74"/>
      <c r="L184" s="75"/>
      <c r="M184" s="74"/>
      <c r="N184" s="75"/>
      <c r="O184" s="75"/>
      <c r="P184" s="75"/>
      <c r="Q184" s="53"/>
    </row>
    <row r="185" spans="1:17">
      <c r="A185" s="74"/>
      <c r="B185" s="74"/>
      <c r="C185" s="75"/>
      <c r="D185" s="76"/>
      <c r="E185" s="77"/>
      <c r="F185" s="74"/>
      <c r="G185" s="76"/>
      <c r="H185" s="76"/>
      <c r="I185" s="76"/>
      <c r="J185" s="76"/>
      <c r="K185" s="74"/>
      <c r="L185" s="75"/>
      <c r="M185" s="74"/>
      <c r="N185" s="75"/>
      <c r="O185" s="75"/>
      <c r="P185" s="75"/>
      <c r="Q185" s="53"/>
    </row>
    <row r="186" spans="1:17">
      <c r="A186" s="74"/>
      <c r="B186" s="74"/>
      <c r="C186" s="75"/>
      <c r="D186" s="76"/>
      <c r="E186" s="77"/>
      <c r="F186" s="74"/>
      <c r="G186" s="76"/>
      <c r="H186" s="76"/>
      <c r="I186" s="76"/>
      <c r="J186" s="76"/>
      <c r="K186" s="74"/>
      <c r="L186" s="75"/>
      <c r="M186" s="74"/>
      <c r="N186" s="75"/>
      <c r="O186" s="75"/>
      <c r="P186" s="75"/>
      <c r="Q186" s="53"/>
    </row>
    <row r="187" spans="1:17">
      <c r="A187" s="74"/>
      <c r="B187" s="74"/>
      <c r="C187" s="75"/>
      <c r="D187" s="76"/>
      <c r="E187" s="77"/>
      <c r="F187" s="74"/>
      <c r="G187" s="76"/>
      <c r="H187" s="76"/>
      <c r="I187" s="76"/>
      <c r="J187" s="76"/>
      <c r="K187" s="74"/>
      <c r="L187" s="75"/>
      <c r="M187" s="74"/>
      <c r="N187" s="75"/>
      <c r="O187" s="75"/>
      <c r="P187" s="75"/>
      <c r="Q187" s="53"/>
    </row>
    <row r="188" spans="1:17">
      <c r="A188" s="74"/>
      <c r="B188" s="74"/>
      <c r="C188" s="75"/>
      <c r="D188" s="76"/>
      <c r="E188" s="77"/>
      <c r="F188" s="74"/>
      <c r="G188" s="76"/>
      <c r="H188" s="76"/>
      <c r="I188" s="76"/>
      <c r="J188" s="76"/>
      <c r="K188" s="74"/>
      <c r="L188" s="75"/>
      <c r="M188" s="74"/>
      <c r="N188" s="75"/>
      <c r="O188" s="75"/>
      <c r="P188" s="75"/>
      <c r="Q188" s="53"/>
    </row>
    <row r="189" spans="1:17">
      <c r="A189" s="74"/>
      <c r="B189" s="74"/>
      <c r="C189" s="75"/>
      <c r="D189" s="76"/>
      <c r="E189" s="77"/>
      <c r="F189" s="74"/>
      <c r="G189" s="76"/>
      <c r="H189" s="76"/>
      <c r="I189" s="76"/>
      <c r="J189" s="76"/>
      <c r="K189" s="74"/>
      <c r="L189" s="75"/>
      <c r="M189" s="74"/>
      <c r="N189" s="75"/>
      <c r="O189" s="75"/>
      <c r="P189" s="75"/>
      <c r="Q189" s="53"/>
    </row>
    <row r="190" spans="1:17">
      <c r="A190" s="74"/>
      <c r="B190" s="74"/>
      <c r="C190" s="75"/>
      <c r="D190" s="76"/>
      <c r="E190" s="77"/>
      <c r="F190" s="74"/>
      <c r="G190" s="76"/>
      <c r="H190" s="76"/>
      <c r="I190" s="76"/>
      <c r="J190" s="76"/>
      <c r="K190" s="74"/>
      <c r="L190" s="75"/>
      <c r="M190" s="74"/>
      <c r="N190" s="75"/>
      <c r="O190" s="75"/>
      <c r="P190" s="75"/>
      <c r="Q190" s="53"/>
    </row>
    <row r="191" spans="1:17">
      <c r="A191" s="74"/>
      <c r="B191" s="74"/>
      <c r="C191" s="75"/>
      <c r="D191" s="76"/>
      <c r="E191" s="77"/>
      <c r="F191" s="74"/>
      <c r="G191" s="76"/>
      <c r="H191" s="76"/>
      <c r="I191" s="76"/>
      <c r="J191" s="76"/>
      <c r="K191" s="74"/>
      <c r="L191" s="75"/>
      <c r="M191" s="74"/>
      <c r="N191" s="75"/>
      <c r="O191" s="75"/>
      <c r="P191" s="75"/>
      <c r="Q191" s="53"/>
    </row>
    <row r="192" spans="1:17">
      <c r="A192" s="74"/>
      <c r="B192" s="74"/>
      <c r="C192" s="75"/>
      <c r="D192" s="76"/>
      <c r="E192" s="77"/>
      <c r="F192" s="74"/>
      <c r="G192" s="76"/>
      <c r="H192" s="76"/>
      <c r="I192" s="76"/>
      <c r="J192" s="76"/>
      <c r="K192" s="74"/>
      <c r="L192" s="75"/>
      <c r="M192" s="74"/>
      <c r="N192" s="75"/>
      <c r="O192" s="75"/>
      <c r="P192" s="75"/>
      <c r="Q192" s="53"/>
    </row>
    <row r="193" spans="1:17">
      <c r="A193" s="74"/>
      <c r="B193" s="74"/>
      <c r="C193" s="75"/>
      <c r="D193" s="76"/>
      <c r="E193" s="77"/>
      <c r="F193" s="74"/>
      <c r="G193" s="76"/>
      <c r="H193" s="76"/>
      <c r="I193" s="76"/>
      <c r="J193" s="76"/>
      <c r="K193" s="74"/>
      <c r="L193" s="75"/>
      <c r="M193" s="74"/>
      <c r="N193" s="75"/>
      <c r="O193" s="75"/>
      <c r="P193" s="75"/>
      <c r="Q193" s="53"/>
    </row>
    <row r="194" spans="1:17">
      <c r="A194" s="74"/>
      <c r="B194" s="74"/>
      <c r="C194" s="75"/>
      <c r="D194" s="76"/>
      <c r="E194" s="77"/>
      <c r="F194" s="74"/>
      <c r="G194" s="76"/>
      <c r="H194" s="76"/>
      <c r="I194" s="76"/>
      <c r="J194" s="76"/>
      <c r="K194" s="74"/>
      <c r="L194" s="75"/>
      <c r="M194" s="74"/>
      <c r="N194" s="75"/>
      <c r="O194" s="75"/>
      <c r="P194" s="75"/>
      <c r="Q194" s="53"/>
    </row>
    <row r="195" spans="1:17">
      <c r="A195" s="74"/>
      <c r="B195" s="74"/>
      <c r="C195" s="75"/>
      <c r="D195" s="76"/>
      <c r="E195" s="77"/>
      <c r="F195" s="74"/>
      <c r="G195" s="76"/>
      <c r="H195" s="76"/>
      <c r="I195" s="76"/>
      <c r="J195" s="76"/>
      <c r="K195" s="74"/>
      <c r="L195" s="75"/>
      <c r="M195" s="74"/>
      <c r="N195" s="75"/>
      <c r="O195" s="75"/>
      <c r="P195" s="75"/>
      <c r="Q195" s="53"/>
    </row>
    <row r="196" spans="1:17">
      <c r="A196" s="74"/>
      <c r="B196" s="74"/>
      <c r="C196" s="75"/>
      <c r="D196" s="76"/>
      <c r="E196" s="77"/>
      <c r="F196" s="74"/>
      <c r="G196" s="76"/>
      <c r="H196" s="76"/>
      <c r="I196" s="76"/>
      <c r="J196" s="76"/>
      <c r="K196" s="74"/>
      <c r="L196" s="75"/>
      <c r="M196" s="74"/>
      <c r="N196" s="75"/>
      <c r="O196" s="75"/>
      <c r="P196" s="75"/>
      <c r="Q196" s="53"/>
    </row>
    <row r="197" spans="1:17">
      <c r="A197" s="74"/>
      <c r="B197" s="74"/>
      <c r="C197" s="75"/>
      <c r="D197" s="76"/>
      <c r="E197" s="77"/>
      <c r="F197" s="74"/>
      <c r="G197" s="76"/>
      <c r="H197" s="76"/>
      <c r="I197" s="76"/>
      <c r="J197" s="76"/>
      <c r="K197" s="74"/>
      <c r="L197" s="75"/>
      <c r="M197" s="74"/>
      <c r="N197" s="75"/>
      <c r="O197" s="75"/>
      <c r="P197" s="75"/>
      <c r="Q197" s="53"/>
    </row>
    <row r="198" spans="1:17">
      <c r="A198" s="74"/>
      <c r="B198" s="74"/>
      <c r="C198" s="75"/>
      <c r="D198" s="76"/>
      <c r="E198" s="77"/>
      <c r="F198" s="74"/>
      <c r="G198" s="76"/>
      <c r="H198" s="76"/>
      <c r="I198" s="76"/>
      <c r="J198" s="76"/>
      <c r="K198" s="74"/>
      <c r="L198" s="75"/>
      <c r="M198" s="74"/>
      <c r="N198" s="75"/>
      <c r="O198" s="75"/>
      <c r="P198" s="75"/>
      <c r="Q198" s="53"/>
    </row>
    <row r="199" spans="1:17">
      <c r="A199" s="74"/>
      <c r="B199" s="74"/>
      <c r="C199" s="75"/>
      <c r="D199" s="76"/>
      <c r="E199" s="77"/>
      <c r="F199" s="74"/>
      <c r="G199" s="76"/>
      <c r="H199" s="76"/>
      <c r="I199" s="76"/>
      <c r="J199" s="76"/>
      <c r="K199" s="74"/>
      <c r="L199" s="75"/>
      <c r="M199" s="74"/>
      <c r="N199" s="75"/>
      <c r="O199" s="75"/>
      <c r="P199" s="75"/>
      <c r="Q199" s="53"/>
    </row>
    <row r="200" spans="1:17">
      <c r="A200" s="74"/>
      <c r="B200" s="74"/>
      <c r="C200" s="75"/>
      <c r="D200" s="76"/>
      <c r="E200" s="77"/>
      <c r="F200" s="74"/>
      <c r="G200" s="76"/>
      <c r="H200" s="76"/>
      <c r="I200" s="76"/>
      <c r="J200" s="76"/>
      <c r="K200" s="74"/>
      <c r="L200" s="75"/>
      <c r="M200" s="74"/>
      <c r="N200" s="75"/>
      <c r="O200" s="75"/>
      <c r="P200" s="75"/>
      <c r="Q200" s="53"/>
    </row>
    <row r="201" spans="1:17">
      <c r="A201" s="74"/>
      <c r="B201" s="74"/>
      <c r="C201" s="75"/>
      <c r="D201" s="76"/>
      <c r="E201" s="77"/>
      <c r="F201" s="74"/>
      <c r="G201" s="76"/>
      <c r="H201" s="76"/>
      <c r="I201" s="76"/>
      <c r="J201" s="76"/>
      <c r="K201" s="74"/>
      <c r="L201" s="75"/>
      <c r="M201" s="74"/>
      <c r="N201" s="75"/>
      <c r="O201" s="75"/>
      <c r="P201" s="75"/>
      <c r="Q201" s="53"/>
    </row>
    <row r="202" spans="1:17">
      <c r="A202" s="74"/>
      <c r="B202" s="74"/>
      <c r="C202" s="75"/>
      <c r="D202" s="76"/>
      <c r="E202" s="77"/>
      <c r="F202" s="74"/>
      <c r="G202" s="76"/>
      <c r="H202" s="76"/>
      <c r="I202" s="76"/>
      <c r="J202" s="76"/>
      <c r="K202" s="74"/>
      <c r="L202" s="75"/>
      <c r="M202" s="74"/>
      <c r="N202" s="75"/>
      <c r="O202" s="75"/>
      <c r="P202" s="75"/>
      <c r="Q202" s="53"/>
    </row>
    <row r="203" spans="1:17">
      <c r="A203" s="74"/>
      <c r="B203" s="74"/>
      <c r="C203" s="75"/>
      <c r="D203" s="76"/>
      <c r="E203" s="77"/>
      <c r="F203" s="74"/>
      <c r="G203" s="76"/>
      <c r="H203" s="76"/>
      <c r="I203" s="76"/>
      <c r="J203" s="76"/>
      <c r="K203" s="74"/>
      <c r="L203" s="75"/>
      <c r="M203" s="74"/>
      <c r="N203" s="75"/>
      <c r="O203" s="75"/>
      <c r="P203" s="75"/>
      <c r="Q203" s="53"/>
    </row>
    <row r="204" spans="1:17">
      <c r="A204" s="74"/>
      <c r="B204" s="74"/>
      <c r="C204" s="75"/>
      <c r="D204" s="76"/>
      <c r="E204" s="77"/>
      <c r="F204" s="74"/>
      <c r="G204" s="76"/>
      <c r="H204" s="76"/>
      <c r="I204" s="76"/>
      <c r="J204" s="76"/>
      <c r="K204" s="74"/>
      <c r="L204" s="75"/>
      <c r="M204" s="74"/>
      <c r="N204" s="75"/>
      <c r="O204" s="75"/>
      <c r="P204" s="75"/>
      <c r="Q204" s="53"/>
    </row>
    <row r="205" spans="1:17">
      <c r="A205" s="74"/>
      <c r="B205" s="74"/>
      <c r="C205" s="75"/>
      <c r="D205" s="76"/>
      <c r="E205" s="77"/>
      <c r="F205" s="74"/>
      <c r="G205" s="76"/>
      <c r="H205" s="76"/>
      <c r="I205" s="76"/>
      <c r="J205" s="76"/>
      <c r="K205" s="74"/>
      <c r="L205" s="75"/>
      <c r="M205" s="74"/>
      <c r="N205" s="75"/>
      <c r="O205" s="75"/>
      <c r="P205" s="75"/>
      <c r="Q205" s="53"/>
    </row>
    <row r="206" spans="1:17">
      <c r="A206" s="74"/>
      <c r="B206" s="74"/>
      <c r="C206" s="75"/>
      <c r="D206" s="76"/>
      <c r="E206" s="77"/>
      <c r="F206" s="74"/>
      <c r="G206" s="76"/>
      <c r="H206" s="76"/>
      <c r="I206" s="76"/>
      <c r="J206" s="76"/>
      <c r="K206" s="74"/>
      <c r="L206" s="75"/>
      <c r="M206" s="74"/>
      <c r="N206" s="75"/>
      <c r="O206" s="75"/>
      <c r="P206" s="75"/>
      <c r="Q206" s="53"/>
    </row>
    <row r="207" spans="1:17">
      <c r="A207" s="74"/>
      <c r="B207" s="74"/>
      <c r="C207" s="75"/>
      <c r="D207" s="76"/>
      <c r="E207" s="77"/>
      <c r="F207" s="74"/>
      <c r="G207" s="76"/>
      <c r="H207" s="76"/>
      <c r="I207" s="76"/>
      <c r="J207" s="76"/>
      <c r="K207" s="74"/>
      <c r="L207" s="75"/>
      <c r="M207" s="74"/>
      <c r="N207" s="75"/>
      <c r="O207" s="75"/>
      <c r="P207" s="75"/>
      <c r="Q207" s="53"/>
    </row>
    <row r="208" spans="1:17">
      <c r="A208" s="74"/>
      <c r="B208" s="74"/>
      <c r="C208" s="75"/>
      <c r="D208" s="76"/>
      <c r="E208" s="77"/>
      <c r="F208" s="74"/>
      <c r="G208" s="76"/>
      <c r="H208" s="76"/>
      <c r="I208" s="76"/>
      <c r="J208" s="76"/>
      <c r="K208" s="74"/>
      <c r="L208" s="75"/>
      <c r="M208" s="74"/>
      <c r="N208" s="75"/>
      <c r="O208" s="75"/>
      <c r="P208" s="75"/>
      <c r="Q208" s="53"/>
    </row>
    <row r="209" spans="1:17">
      <c r="A209" s="74"/>
      <c r="B209" s="74"/>
      <c r="C209" s="75"/>
      <c r="D209" s="76"/>
      <c r="E209" s="77"/>
      <c r="F209" s="74"/>
      <c r="G209" s="76"/>
      <c r="H209" s="76"/>
      <c r="I209" s="76"/>
      <c r="J209" s="76"/>
      <c r="K209" s="74"/>
      <c r="L209" s="75"/>
      <c r="M209" s="74"/>
      <c r="N209" s="75"/>
      <c r="O209" s="75"/>
      <c r="P209" s="75"/>
      <c r="Q209" s="53"/>
    </row>
    <row r="210" spans="1:17">
      <c r="A210" s="74"/>
      <c r="B210" s="74"/>
      <c r="C210" s="75"/>
      <c r="D210" s="76"/>
      <c r="E210" s="77"/>
      <c r="F210" s="74"/>
      <c r="G210" s="76"/>
      <c r="H210" s="76"/>
      <c r="I210" s="76"/>
      <c r="J210" s="76"/>
      <c r="K210" s="74"/>
      <c r="L210" s="75"/>
      <c r="M210" s="74"/>
      <c r="N210" s="75"/>
      <c r="O210" s="75"/>
      <c r="P210" s="75"/>
      <c r="Q210" s="53"/>
    </row>
    <row r="211" spans="1:17">
      <c r="A211" s="74"/>
      <c r="B211" s="74"/>
      <c r="C211" s="75"/>
      <c r="D211" s="76"/>
      <c r="E211" s="77"/>
      <c r="F211" s="74"/>
      <c r="G211" s="76"/>
      <c r="H211" s="76"/>
      <c r="I211" s="76"/>
      <c r="J211" s="76"/>
      <c r="K211" s="74"/>
      <c r="L211" s="75"/>
      <c r="M211" s="74"/>
      <c r="N211" s="75"/>
      <c r="O211" s="75"/>
      <c r="P211" s="75"/>
      <c r="Q211" s="53"/>
    </row>
    <row r="212" spans="1:17">
      <c r="A212" s="74"/>
      <c r="B212" s="74"/>
      <c r="C212" s="75"/>
      <c r="D212" s="76"/>
      <c r="E212" s="77"/>
      <c r="F212" s="74"/>
      <c r="G212" s="76"/>
      <c r="H212" s="76"/>
      <c r="I212" s="76"/>
      <c r="J212" s="76"/>
      <c r="K212" s="74"/>
      <c r="L212" s="75"/>
      <c r="M212" s="74"/>
      <c r="N212" s="75"/>
      <c r="O212" s="75"/>
      <c r="P212" s="75"/>
      <c r="Q212" s="53"/>
    </row>
    <row r="213" spans="1:17">
      <c r="A213" s="74"/>
      <c r="B213" s="74"/>
      <c r="C213" s="75"/>
      <c r="D213" s="76"/>
      <c r="E213" s="77"/>
      <c r="F213" s="74"/>
      <c r="G213" s="76"/>
      <c r="H213" s="76"/>
      <c r="I213" s="76"/>
      <c r="J213" s="76"/>
      <c r="K213" s="74"/>
      <c r="L213" s="75"/>
      <c r="M213" s="74"/>
      <c r="N213" s="75"/>
      <c r="O213" s="75"/>
      <c r="P213" s="75"/>
      <c r="Q213" s="53"/>
    </row>
    <row r="214" spans="1:17">
      <c r="A214" s="74"/>
      <c r="B214" s="74"/>
      <c r="C214" s="75"/>
      <c r="D214" s="76"/>
      <c r="E214" s="77"/>
      <c r="F214" s="74"/>
      <c r="G214" s="76"/>
      <c r="H214" s="76"/>
      <c r="I214" s="76"/>
      <c r="J214" s="76"/>
      <c r="K214" s="74"/>
      <c r="L214" s="75"/>
      <c r="M214" s="74"/>
      <c r="N214" s="75"/>
      <c r="O214" s="75"/>
      <c r="P214" s="75"/>
      <c r="Q214" s="53"/>
    </row>
    <row r="215" spans="1:17">
      <c r="A215" s="74"/>
      <c r="B215" s="74"/>
      <c r="C215" s="75"/>
      <c r="D215" s="76"/>
      <c r="E215" s="77"/>
      <c r="F215" s="74"/>
      <c r="G215" s="76"/>
      <c r="H215" s="76"/>
      <c r="I215" s="76"/>
      <c r="J215" s="76"/>
      <c r="K215" s="74"/>
      <c r="L215" s="75"/>
      <c r="M215" s="74"/>
      <c r="N215" s="75"/>
      <c r="O215" s="75"/>
      <c r="P215" s="75"/>
      <c r="Q215" s="53"/>
    </row>
    <row r="216" spans="1:17">
      <c r="A216" s="74"/>
      <c r="B216" s="74"/>
      <c r="C216" s="75"/>
      <c r="D216" s="76"/>
      <c r="E216" s="77"/>
      <c r="F216" s="74"/>
      <c r="G216" s="76"/>
      <c r="H216" s="76"/>
      <c r="I216" s="76"/>
      <c r="J216" s="76"/>
      <c r="K216" s="74"/>
      <c r="L216" s="75"/>
      <c r="M216" s="74"/>
      <c r="N216" s="75"/>
      <c r="O216" s="75"/>
      <c r="P216" s="75"/>
      <c r="Q216" s="53"/>
    </row>
    <row r="217" spans="1:17">
      <c r="A217" s="74"/>
      <c r="B217" s="74"/>
      <c r="C217" s="75"/>
      <c r="D217" s="76"/>
      <c r="E217" s="77"/>
      <c r="F217" s="74"/>
      <c r="G217" s="76"/>
      <c r="H217" s="76"/>
      <c r="I217" s="76"/>
      <c r="J217" s="76"/>
      <c r="K217" s="74"/>
      <c r="L217" s="75"/>
      <c r="M217" s="74"/>
      <c r="N217" s="75"/>
      <c r="O217" s="75"/>
      <c r="P217" s="75"/>
      <c r="Q217" s="53"/>
    </row>
    <row r="218" spans="1:17">
      <c r="A218" s="74"/>
      <c r="B218" s="74"/>
      <c r="C218" s="75"/>
      <c r="D218" s="76"/>
      <c r="E218" s="77"/>
      <c r="F218" s="74"/>
      <c r="G218" s="76"/>
      <c r="H218" s="76"/>
      <c r="I218" s="76"/>
      <c r="J218" s="76"/>
      <c r="K218" s="74"/>
      <c r="L218" s="75"/>
      <c r="M218" s="74"/>
      <c r="N218" s="75"/>
      <c r="O218" s="75"/>
      <c r="P218" s="75"/>
      <c r="Q218" s="53"/>
    </row>
    <row r="219" spans="1:17">
      <c r="A219" s="74"/>
      <c r="B219" s="74"/>
      <c r="C219" s="75"/>
      <c r="D219" s="76"/>
      <c r="E219" s="77"/>
      <c r="F219" s="74"/>
      <c r="G219" s="76"/>
      <c r="H219" s="76"/>
      <c r="I219" s="76"/>
      <c r="J219" s="76"/>
      <c r="K219" s="74"/>
      <c r="L219" s="75"/>
      <c r="M219" s="74"/>
      <c r="N219" s="75"/>
      <c r="O219" s="75"/>
      <c r="P219" s="75"/>
      <c r="Q219" s="53"/>
    </row>
    <row r="220" spans="1:17">
      <c r="A220" s="74"/>
      <c r="B220" s="74"/>
      <c r="C220" s="75"/>
      <c r="D220" s="76"/>
      <c r="E220" s="77"/>
      <c r="F220" s="74"/>
      <c r="G220" s="76"/>
      <c r="H220" s="76"/>
      <c r="I220" s="76"/>
      <c r="J220" s="76"/>
      <c r="K220" s="74"/>
      <c r="L220" s="75"/>
      <c r="M220" s="74"/>
      <c r="N220" s="75"/>
      <c r="O220" s="75"/>
      <c r="P220" s="75"/>
      <c r="Q220" s="53"/>
    </row>
    <row r="221" spans="1:17">
      <c r="A221" s="74"/>
      <c r="B221" s="74"/>
      <c r="C221" s="75"/>
      <c r="D221" s="76"/>
      <c r="E221" s="77"/>
      <c r="F221" s="74"/>
      <c r="G221" s="76"/>
      <c r="H221" s="76"/>
      <c r="I221" s="76"/>
      <c r="J221" s="76"/>
      <c r="K221" s="74"/>
      <c r="L221" s="75"/>
      <c r="M221" s="74"/>
      <c r="N221" s="75"/>
      <c r="O221" s="75"/>
      <c r="P221" s="75"/>
      <c r="Q221" s="53"/>
    </row>
    <row r="222" spans="1:17">
      <c r="A222" s="74"/>
      <c r="B222" s="74"/>
      <c r="C222" s="75"/>
      <c r="D222" s="76"/>
      <c r="E222" s="77"/>
      <c r="F222" s="74"/>
      <c r="G222" s="76"/>
      <c r="H222" s="76"/>
      <c r="I222" s="76"/>
      <c r="J222" s="76"/>
      <c r="K222" s="74"/>
      <c r="L222" s="75"/>
      <c r="M222" s="74"/>
      <c r="N222" s="75"/>
      <c r="O222" s="75"/>
      <c r="P222" s="75"/>
      <c r="Q222" s="53"/>
    </row>
    <row r="223" spans="1:17">
      <c r="A223" s="74"/>
      <c r="B223" s="74"/>
      <c r="C223" s="75"/>
      <c r="D223" s="76"/>
      <c r="E223" s="77"/>
      <c r="F223" s="74"/>
      <c r="G223" s="76"/>
      <c r="H223" s="76"/>
      <c r="I223" s="76"/>
      <c r="J223" s="76"/>
      <c r="K223" s="74"/>
      <c r="L223" s="75"/>
      <c r="M223" s="74"/>
      <c r="N223" s="75"/>
      <c r="O223" s="75"/>
      <c r="P223" s="75"/>
      <c r="Q223" s="53"/>
    </row>
    <row r="224" spans="1:17">
      <c r="A224" s="74"/>
      <c r="B224" s="74"/>
      <c r="C224" s="75"/>
      <c r="D224" s="76"/>
      <c r="E224" s="77"/>
      <c r="F224" s="74"/>
      <c r="G224" s="76"/>
      <c r="H224" s="76"/>
      <c r="I224" s="76"/>
      <c r="J224" s="76"/>
      <c r="K224" s="74"/>
      <c r="L224" s="75"/>
      <c r="M224" s="74"/>
      <c r="N224" s="75"/>
      <c r="O224" s="75"/>
      <c r="P224" s="75"/>
      <c r="Q224" s="53"/>
    </row>
    <row r="225" spans="1:17">
      <c r="A225" s="74"/>
      <c r="B225" s="74"/>
      <c r="C225" s="75"/>
      <c r="D225" s="76"/>
      <c r="E225" s="77"/>
      <c r="F225" s="74"/>
      <c r="G225" s="76"/>
      <c r="H225" s="76"/>
      <c r="I225" s="76"/>
      <c r="J225" s="76"/>
      <c r="K225" s="74"/>
      <c r="L225" s="75"/>
      <c r="M225" s="74"/>
      <c r="N225" s="75"/>
      <c r="O225" s="75"/>
      <c r="P225" s="75"/>
      <c r="Q225" s="53"/>
    </row>
    <row r="226" spans="1:17">
      <c r="A226" s="74"/>
      <c r="B226" s="74"/>
      <c r="C226" s="75"/>
      <c r="D226" s="76"/>
      <c r="E226" s="77"/>
      <c r="F226" s="74"/>
      <c r="G226" s="76"/>
      <c r="H226" s="76"/>
      <c r="I226" s="76"/>
      <c r="J226" s="76"/>
      <c r="K226" s="74"/>
      <c r="L226" s="75"/>
      <c r="M226" s="74"/>
      <c r="N226" s="75"/>
      <c r="O226" s="75"/>
      <c r="P226" s="75"/>
      <c r="Q226" s="53"/>
    </row>
    <row r="227" spans="1:17">
      <c r="A227" s="74"/>
      <c r="B227" s="74"/>
      <c r="C227" s="75"/>
      <c r="D227" s="76"/>
      <c r="E227" s="77"/>
      <c r="F227" s="74"/>
      <c r="G227" s="76"/>
      <c r="H227" s="76"/>
      <c r="I227" s="76"/>
      <c r="J227" s="76"/>
      <c r="K227" s="74"/>
      <c r="L227" s="75"/>
      <c r="M227" s="74"/>
      <c r="N227" s="75"/>
      <c r="O227" s="75"/>
      <c r="P227" s="75"/>
      <c r="Q227" s="53"/>
    </row>
    <row r="228" spans="1:17">
      <c r="A228" s="74"/>
      <c r="B228" s="74"/>
      <c r="C228" s="75"/>
      <c r="D228" s="76"/>
      <c r="E228" s="77"/>
      <c r="F228" s="74"/>
      <c r="G228" s="76"/>
      <c r="H228" s="76"/>
      <c r="I228" s="76"/>
      <c r="J228" s="76"/>
      <c r="K228" s="74"/>
      <c r="L228" s="75"/>
      <c r="M228" s="74"/>
      <c r="N228" s="75"/>
      <c r="O228" s="75"/>
      <c r="P228" s="75"/>
      <c r="Q228" s="53"/>
    </row>
    <row r="229" spans="1:17">
      <c r="A229" s="55"/>
      <c r="C229" s="71"/>
      <c r="Q229" s="53"/>
    </row>
    <row r="230" spans="1:17">
      <c r="A230" s="55"/>
      <c r="C230" s="71"/>
      <c r="Q230" s="53"/>
    </row>
    <row r="231" spans="1:17">
      <c r="A231" s="55"/>
      <c r="C231" s="71"/>
      <c r="Q231" s="53"/>
    </row>
    <row r="232" spans="1:17">
      <c r="A232" s="55"/>
      <c r="C232" s="71"/>
      <c r="Q232" s="53"/>
    </row>
    <row r="233" spans="1:17">
      <c r="A233" s="55"/>
      <c r="C233" s="71"/>
      <c r="Q233" s="53"/>
    </row>
    <row r="234" spans="1:17">
      <c r="A234" s="55"/>
      <c r="C234" s="71"/>
      <c r="Q234" s="53"/>
    </row>
    <row r="235" spans="1:17">
      <c r="A235" s="55"/>
      <c r="C235" s="71"/>
      <c r="Q235" s="53"/>
    </row>
    <row r="236" spans="1:17">
      <c r="A236" s="55"/>
      <c r="C236" s="71"/>
      <c r="Q236" s="53"/>
    </row>
    <row r="237" spans="1:17">
      <c r="A237" s="55"/>
      <c r="C237" s="71"/>
      <c r="Q237" s="53"/>
    </row>
    <row r="238" spans="1:17">
      <c r="A238" s="55"/>
      <c r="C238" s="71"/>
      <c r="Q238" s="53"/>
    </row>
    <row r="239" spans="1:17">
      <c r="A239" s="55"/>
      <c r="C239" s="71"/>
      <c r="Q239" s="53"/>
    </row>
    <row r="240" spans="1:17">
      <c r="A240" s="55"/>
      <c r="C240" s="71"/>
      <c r="Q240" s="53"/>
    </row>
    <row r="241" spans="1:17">
      <c r="A241" s="55"/>
      <c r="C241" s="71"/>
      <c r="Q241" s="53"/>
    </row>
    <row r="242" spans="1:17">
      <c r="A242" s="55"/>
      <c r="C242" s="71"/>
      <c r="Q242" s="53"/>
    </row>
    <row r="243" spans="1:17">
      <c r="A243" s="55"/>
      <c r="C243" s="71"/>
      <c r="Q243" s="53"/>
    </row>
    <row r="244" spans="1:17">
      <c r="A244" s="55"/>
      <c r="C244" s="71"/>
      <c r="Q244" s="53"/>
    </row>
    <row r="245" spans="1:17">
      <c r="A245" s="55"/>
      <c r="C245" s="71"/>
      <c r="Q245" s="53"/>
    </row>
    <row r="246" spans="1:17">
      <c r="A246" s="55"/>
      <c r="C246" s="71"/>
      <c r="Q246" s="53"/>
    </row>
    <row r="247" spans="1:17">
      <c r="A247" s="55"/>
      <c r="C247" s="71"/>
      <c r="Q247" s="53"/>
    </row>
    <row r="248" spans="1:17">
      <c r="A248" s="55"/>
      <c r="C248" s="71"/>
      <c r="Q248" s="53"/>
    </row>
    <row r="249" spans="1:17">
      <c r="A249" s="55"/>
      <c r="C249" s="71"/>
      <c r="Q249" s="53"/>
    </row>
    <row r="250" spans="1:17">
      <c r="A250" s="55"/>
      <c r="C250" s="71"/>
      <c r="Q250" s="53"/>
    </row>
    <row r="251" spans="1:17">
      <c r="C251" s="71"/>
      <c r="Q251" s="53"/>
    </row>
    <row r="252" spans="1:17">
      <c r="C252" s="71"/>
      <c r="Q252" s="53"/>
    </row>
    <row r="253" spans="1:17">
      <c r="C253" s="71"/>
      <c r="Q253" s="53"/>
    </row>
    <row r="254" spans="1:17">
      <c r="C254" s="71"/>
      <c r="Q254" s="53"/>
    </row>
    <row r="255" spans="1:17">
      <c r="C255" s="71"/>
      <c r="Q255" s="53"/>
    </row>
    <row r="256" spans="1:17">
      <c r="C256" s="71"/>
      <c r="Q256" s="53"/>
    </row>
    <row r="257" spans="3:17">
      <c r="C257" s="71"/>
      <c r="Q257" s="53"/>
    </row>
    <row r="258" spans="3:17">
      <c r="C258" s="71"/>
      <c r="Q258" s="53"/>
    </row>
    <row r="259" spans="3:17">
      <c r="C259" s="71"/>
      <c r="Q259" s="53"/>
    </row>
    <row r="260" spans="3:17">
      <c r="C260" s="71"/>
      <c r="Q260" s="53"/>
    </row>
    <row r="261" spans="3:17">
      <c r="C261" s="71"/>
      <c r="Q261" s="53"/>
    </row>
    <row r="262" spans="3:17">
      <c r="C262" s="71"/>
      <c r="Q262" s="53"/>
    </row>
    <row r="263" spans="3:17">
      <c r="C263" s="71"/>
      <c r="Q263" s="53"/>
    </row>
    <row r="264" spans="3:17">
      <c r="C264" s="71"/>
      <c r="Q264" s="53"/>
    </row>
    <row r="265" spans="3:17">
      <c r="C265" s="71"/>
      <c r="Q265" s="53"/>
    </row>
    <row r="266" spans="3:17">
      <c r="C266" s="71"/>
      <c r="Q266" s="53"/>
    </row>
    <row r="267" spans="3:17">
      <c r="C267" s="71"/>
      <c r="Q267" s="53"/>
    </row>
    <row r="268" spans="3:17">
      <c r="C268" s="71"/>
      <c r="Q268" s="53"/>
    </row>
    <row r="269" spans="3:17">
      <c r="C269" s="71"/>
      <c r="Q269" s="53"/>
    </row>
    <row r="270" spans="3:17">
      <c r="C270" s="71"/>
      <c r="Q270" s="53"/>
    </row>
    <row r="271" spans="3:17">
      <c r="C271" s="71"/>
      <c r="Q271" s="53"/>
    </row>
    <row r="272" spans="3:17">
      <c r="C272" s="71"/>
      <c r="Q272" s="53"/>
    </row>
    <row r="273" spans="3:17">
      <c r="C273" s="71"/>
      <c r="Q273" s="53"/>
    </row>
    <row r="274" spans="3:17">
      <c r="C274" s="71"/>
      <c r="Q274" s="53"/>
    </row>
    <row r="275" spans="3:17">
      <c r="C275" s="71"/>
      <c r="Q275" s="53"/>
    </row>
    <row r="276" spans="3:17">
      <c r="C276" s="71"/>
      <c r="Q276" s="53"/>
    </row>
    <row r="277" spans="3:17">
      <c r="C277" s="71"/>
      <c r="Q277" s="53"/>
    </row>
    <row r="278" spans="3:17">
      <c r="C278" s="71"/>
      <c r="Q278" s="53"/>
    </row>
    <row r="279" spans="3:17">
      <c r="C279" s="71"/>
      <c r="Q279" s="53"/>
    </row>
    <row r="280" spans="3:17">
      <c r="C280" s="71"/>
      <c r="Q280" s="53"/>
    </row>
    <row r="281" spans="3:17">
      <c r="C281" s="71"/>
      <c r="Q281" s="53"/>
    </row>
    <row r="282" spans="3:17">
      <c r="C282" s="71"/>
      <c r="Q282" s="53"/>
    </row>
    <row r="283" spans="3:17">
      <c r="C283" s="71"/>
      <c r="Q283" s="53"/>
    </row>
    <row r="284" spans="3:17">
      <c r="C284" s="71"/>
      <c r="Q284" s="53"/>
    </row>
    <row r="285" spans="3:17">
      <c r="C285" s="71"/>
      <c r="Q285" s="53"/>
    </row>
    <row r="286" spans="3:17">
      <c r="C286" s="71"/>
      <c r="Q286" s="53"/>
    </row>
    <row r="287" spans="3:17">
      <c r="C287" s="71"/>
      <c r="Q287" s="53"/>
    </row>
    <row r="288" spans="3:17">
      <c r="C288" s="71"/>
      <c r="Q288" s="53"/>
    </row>
    <row r="289" spans="3:17">
      <c r="C289" s="71"/>
      <c r="Q289" s="53"/>
    </row>
    <row r="290" spans="3:17">
      <c r="C290" s="71"/>
      <c r="Q290" s="53"/>
    </row>
    <row r="291" spans="3:17">
      <c r="C291" s="71"/>
      <c r="Q291" s="53"/>
    </row>
    <row r="292" spans="3:17">
      <c r="C292" s="71"/>
      <c r="Q292" s="53"/>
    </row>
    <row r="293" spans="3:17">
      <c r="C293" s="71"/>
      <c r="Q293" s="53"/>
    </row>
    <row r="294" spans="3:17">
      <c r="C294" s="71"/>
      <c r="Q294" s="53"/>
    </row>
    <row r="295" spans="3:17">
      <c r="C295" s="71"/>
      <c r="Q295" s="53"/>
    </row>
    <row r="296" spans="3:17">
      <c r="C296" s="71"/>
      <c r="Q296" s="53"/>
    </row>
    <row r="297" spans="3:17">
      <c r="C297" s="71"/>
      <c r="Q297" s="53"/>
    </row>
    <row r="298" spans="3:17">
      <c r="C298" s="71"/>
      <c r="Q298" s="53"/>
    </row>
    <row r="299" spans="3:17">
      <c r="C299" s="71"/>
      <c r="Q299" s="53"/>
    </row>
    <row r="300" spans="3:17">
      <c r="C300" s="71"/>
      <c r="Q300" s="53"/>
    </row>
    <row r="301" spans="3:17">
      <c r="C301" s="71"/>
      <c r="Q301" s="53"/>
    </row>
    <row r="302" spans="3:17">
      <c r="C302" s="71"/>
      <c r="Q302" s="53"/>
    </row>
    <row r="303" spans="3:17">
      <c r="C303" s="71"/>
      <c r="Q303" s="53"/>
    </row>
    <row r="304" spans="3:17">
      <c r="C304" s="71"/>
      <c r="Q304" s="53"/>
    </row>
    <row r="305" spans="3:17">
      <c r="C305" s="71"/>
      <c r="Q305" s="53"/>
    </row>
    <row r="306" spans="3:17">
      <c r="C306" s="71"/>
      <c r="Q306" s="53"/>
    </row>
    <row r="307" spans="3:17">
      <c r="C307" s="71"/>
      <c r="Q307" s="53"/>
    </row>
    <row r="308" spans="3:17">
      <c r="C308" s="71"/>
      <c r="Q308" s="53"/>
    </row>
    <row r="309" spans="3:17">
      <c r="C309" s="71"/>
      <c r="Q309" s="53"/>
    </row>
    <row r="310" spans="3:17">
      <c r="C310" s="71"/>
      <c r="Q310" s="53"/>
    </row>
    <row r="311" spans="3:17">
      <c r="C311" s="71"/>
      <c r="Q311" s="53"/>
    </row>
    <row r="312" spans="3:17">
      <c r="C312" s="71"/>
      <c r="Q312" s="53"/>
    </row>
    <row r="313" spans="3:17">
      <c r="C313" s="71"/>
      <c r="Q313" s="53"/>
    </row>
    <row r="314" spans="3:17">
      <c r="C314" s="71"/>
      <c r="Q314" s="53"/>
    </row>
    <row r="315" spans="3:17">
      <c r="C315" s="71"/>
      <c r="Q315" s="53"/>
    </row>
    <row r="316" spans="3:17">
      <c r="C316" s="71"/>
      <c r="Q316" s="53"/>
    </row>
    <row r="317" spans="3:17">
      <c r="C317" s="71"/>
      <c r="Q317" s="53"/>
    </row>
    <row r="318" spans="3:17">
      <c r="C318" s="71"/>
      <c r="Q318" s="53"/>
    </row>
    <row r="319" spans="3:17">
      <c r="C319" s="71"/>
      <c r="Q319" s="53"/>
    </row>
    <row r="320" spans="3:17">
      <c r="C320" s="71"/>
      <c r="Q320" s="53"/>
    </row>
    <row r="321" spans="3:17">
      <c r="C321" s="71"/>
      <c r="Q321" s="53"/>
    </row>
    <row r="322" spans="3:17">
      <c r="C322" s="71"/>
      <c r="Q322" s="53"/>
    </row>
    <row r="323" spans="3:17">
      <c r="C323" s="71"/>
      <c r="Q323" s="53"/>
    </row>
    <row r="324" spans="3:17">
      <c r="C324" s="71"/>
      <c r="Q324" s="53"/>
    </row>
    <row r="325" spans="3:17">
      <c r="C325" s="71"/>
      <c r="Q325" s="53"/>
    </row>
    <row r="326" spans="3:17">
      <c r="C326" s="71"/>
      <c r="Q326" s="53"/>
    </row>
    <row r="327" spans="3:17">
      <c r="C327" s="71"/>
      <c r="Q327" s="53"/>
    </row>
    <row r="328" spans="3:17">
      <c r="C328" s="71"/>
      <c r="Q328" s="53"/>
    </row>
    <row r="329" spans="3:17">
      <c r="C329" s="71"/>
      <c r="Q329" s="53"/>
    </row>
    <row r="330" spans="3:17">
      <c r="C330" s="71"/>
      <c r="Q330" s="53"/>
    </row>
    <row r="331" spans="3:17">
      <c r="C331" s="71"/>
      <c r="Q331" s="53"/>
    </row>
    <row r="332" spans="3:17">
      <c r="C332" s="71"/>
      <c r="Q332" s="53"/>
    </row>
    <row r="333" spans="3:17">
      <c r="C333" s="71"/>
      <c r="Q333" s="53"/>
    </row>
    <row r="334" spans="3:17">
      <c r="C334" s="71"/>
      <c r="Q334" s="53"/>
    </row>
    <row r="335" spans="3:17">
      <c r="C335" s="71"/>
      <c r="Q335" s="53"/>
    </row>
    <row r="336" spans="3:17">
      <c r="C336" s="71"/>
      <c r="Q336" s="53"/>
    </row>
    <row r="337" spans="3:17">
      <c r="C337" s="71"/>
      <c r="Q337" s="53"/>
    </row>
    <row r="338" spans="3:17">
      <c r="C338" s="71"/>
      <c r="Q338" s="53"/>
    </row>
    <row r="339" spans="3:17">
      <c r="C339" s="71"/>
      <c r="Q339" s="53"/>
    </row>
    <row r="340" spans="3:17">
      <c r="C340" s="71"/>
      <c r="Q340" s="53"/>
    </row>
    <row r="341" spans="3:17">
      <c r="C341" s="71"/>
      <c r="Q341" s="53"/>
    </row>
    <row r="342" spans="3:17">
      <c r="C342" s="71"/>
      <c r="Q342" s="53"/>
    </row>
    <row r="343" spans="3:17">
      <c r="C343" s="71"/>
      <c r="Q343" s="53"/>
    </row>
    <row r="344" spans="3:17">
      <c r="C344" s="71"/>
      <c r="Q344" s="53"/>
    </row>
    <row r="345" spans="3:17">
      <c r="C345" s="71"/>
      <c r="Q345" s="53"/>
    </row>
    <row r="346" spans="3:17">
      <c r="C346" s="71"/>
      <c r="Q346" s="53"/>
    </row>
    <row r="347" spans="3:17">
      <c r="C347" s="71"/>
      <c r="Q347" s="53"/>
    </row>
    <row r="348" spans="3:17">
      <c r="C348" s="71"/>
      <c r="Q348" s="53"/>
    </row>
    <row r="349" spans="3:17">
      <c r="C349" s="71"/>
      <c r="Q349" s="53"/>
    </row>
    <row r="350" spans="3:17">
      <c r="C350" s="71"/>
      <c r="Q350" s="53"/>
    </row>
    <row r="351" spans="3:17">
      <c r="C351" s="71"/>
      <c r="Q351" s="53"/>
    </row>
    <row r="352" spans="3:17">
      <c r="C352" s="71"/>
      <c r="Q352" s="53"/>
    </row>
    <row r="353" spans="3:17">
      <c r="C353" s="71"/>
      <c r="Q353" s="53"/>
    </row>
    <row r="354" spans="3:17">
      <c r="C354" s="71"/>
      <c r="Q354" s="53"/>
    </row>
    <row r="355" spans="3:17">
      <c r="C355" s="71"/>
      <c r="Q355" s="53"/>
    </row>
    <row r="356" spans="3:17">
      <c r="C356" s="71"/>
      <c r="Q356" s="53"/>
    </row>
    <row r="357" spans="3:17">
      <c r="C357" s="71"/>
      <c r="Q357" s="53"/>
    </row>
    <row r="358" spans="3:17">
      <c r="C358" s="71"/>
      <c r="Q358" s="53"/>
    </row>
    <row r="359" spans="3:17">
      <c r="C359" s="71"/>
      <c r="Q359" s="53"/>
    </row>
    <row r="360" spans="3:17">
      <c r="C360" s="71"/>
      <c r="Q360" s="53"/>
    </row>
    <row r="361" spans="3:17">
      <c r="C361" s="71"/>
      <c r="Q361" s="53"/>
    </row>
    <row r="362" spans="3:17">
      <c r="C362" s="71"/>
      <c r="Q362" s="53"/>
    </row>
    <row r="363" spans="3:17">
      <c r="C363" s="71"/>
      <c r="Q363" s="53"/>
    </row>
    <row r="364" spans="3:17">
      <c r="C364" s="71"/>
      <c r="Q364" s="53"/>
    </row>
    <row r="365" spans="3:17">
      <c r="C365" s="71"/>
      <c r="Q365" s="53"/>
    </row>
    <row r="366" spans="3:17">
      <c r="C366" s="71"/>
      <c r="Q366" s="53"/>
    </row>
    <row r="367" spans="3:17">
      <c r="C367" s="71"/>
      <c r="Q367" s="53"/>
    </row>
    <row r="368" spans="3:17">
      <c r="C368" s="71"/>
      <c r="Q368" s="53"/>
    </row>
    <row r="369" spans="3:17">
      <c r="C369" s="71"/>
      <c r="Q369" s="53"/>
    </row>
    <row r="370" spans="3:17">
      <c r="C370" s="71"/>
      <c r="Q370" s="53"/>
    </row>
    <row r="371" spans="3:17">
      <c r="C371" s="71"/>
      <c r="Q371" s="53"/>
    </row>
    <row r="372" spans="3:17">
      <c r="C372" s="71"/>
      <c r="Q372" s="53"/>
    </row>
    <row r="373" spans="3:17">
      <c r="C373" s="71"/>
      <c r="Q373" s="53"/>
    </row>
    <row r="374" spans="3:17">
      <c r="C374" s="71"/>
      <c r="Q374" s="53"/>
    </row>
    <row r="375" spans="3:17">
      <c r="C375" s="71"/>
      <c r="Q375" s="53"/>
    </row>
    <row r="376" spans="3:17">
      <c r="C376" s="71"/>
      <c r="Q376" s="53"/>
    </row>
    <row r="377" spans="3:17">
      <c r="C377" s="71"/>
      <c r="Q377" s="53"/>
    </row>
    <row r="378" spans="3:17">
      <c r="C378" s="71"/>
      <c r="Q378" s="53"/>
    </row>
    <row r="379" spans="3:17">
      <c r="C379" s="71"/>
      <c r="Q379" s="53"/>
    </row>
    <row r="380" spans="3:17">
      <c r="C380" s="71"/>
      <c r="Q380" s="53"/>
    </row>
    <row r="381" spans="3:17">
      <c r="C381" s="71"/>
      <c r="Q381" s="53"/>
    </row>
    <row r="382" spans="3:17">
      <c r="C382" s="71"/>
      <c r="Q382" s="53"/>
    </row>
    <row r="383" spans="3:17">
      <c r="C383" s="71"/>
      <c r="Q383" s="53"/>
    </row>
    <row r="384" spans="3:17">
      <c r="C384" s="71"/>
      <c r="Q384" s="53"/>
    </row>
    <row r="385" spans="3:17">
      <c r="C385" s="71"/>
      <c r="Q385" s="53"/>
    </row>
    <row r="386" spans="3:17">
      <c r="C386" s="71"/>
      <c r="Q386" s="53"/>
    </row>
    <row r="387" spans="3:17">
      <c r="C387" s="71"/>
      <c r="Q387" s="53"/>
    </row>
    <row r="388" spans="3:17">
      <c r="C388" s="71"/>
      <c r="Q388" s="53"/>
    </row>
    <row r="389" spans="3:17">
      <c r="C389" s="71"/>
      <c r="Q389" s="53"/>
    </row>
    <row r="390" spans="3:17">
      <c r="C390" s="71"/>
      <c r="Q390" s="53"/>
    </row>
    <row r="391" spans="3:17">
      <c r="C391" s="71"/>
      <c r="Q391" s="53"/>
    </row>
    <row r="392" spans="3:17">
      <c r="C392" s="71"/>
      <c r="Q392" s="53"/>
    </row>
    <row r="393" spans="3:17">
      <c r="C393" s="71"/>
      <c r="Q393" s="53"/>
    </row>
    <row r="394" spans="3:17">
      <c r="C394" s="71"/>
      <c r="Q394" s="53"/>
    </row>
    <row r="395" spans="3:17">
      <c r="C395" s="71"/>
      <c r="Q395" s="53"/>
    </row>
    <row r="396" spans="3:17">
      <c r="C396" s="71"/>
      <c r="Q396" s="53"/>
    </row>
    <row r="397" spans="3:17">
      <c r="C397" s="71"/>
      <c r="Q397" s="53"/>
    </row>
    <row r="398" spans="3:17">
      <c r="C398" s="71"/>
      <c r="Q398" s="53"/>
    </row>
    <row r="399" spans="3:17">
      <c r="C399" s="71"/>
      <c r="Q399" s="53"/>
    </row>
    <row r="400" spans="3:17">
      <c r="C400" s="71"/>
      <c r="Q400" s="53"/>
    </row>
    <row r="401" spans="3:17">
      <c r="C401" s="71"/>
      <c r="Q401" s="53"/>
    </row>
    <row r="402" spans="3:17">
      <c r="C402" s="71"/>
      <c r="Q402" s="53"/>
    </row>
    <row r="403" spans="3:17">
      <c r="C403" s="71"/>
      <c r="Q403" s="53"/>
    </row>
    <row r="404" spans="3:17">
      <c r="C404" s="71"/>
      <c r="Q404" s="53"/>
    </row>
    <row r="405" spans="3:17">
      <c r="C405" s="71"/>
      <c r="Q405" s="53"/>
    </row>
    <row r="406" spans="3:17">
      <c r="C406" s="71"/>
      <c r="Q406" s="53"/>
    </row>
    <row r="407" spans="3:17">
      <c r="C407" s="71"/>
      <c r="Q407" s="53"/>
    </row>
    <row r="408" spans="3:17">
      <c r="C408" s="71"/>
      <c r="Q408" s="53"/>
    </row>
    <row r="409" spans="3:17">
      <c r="C409" s="71"/>
      <c r="Q409" s="53"/>
    </row>
    <row r="410" spans="3:17">
      <c r="C410" s="71"/>
      <c r="Q410" s="53"/>
    </row>
    <row r="411" spans="3:17">
      <c r="C411" s="71"/>
      <c r="Q411" s="53"/>
    </row>
    <row r="412" spans="3:17">
      <c r="C412" s="71"/>
      <c r="Q412" s="53"/>
    </row>
    <row r="413" spans="3:17">
      <c r="C413" s="71"/>
      <c r="Q413" s="53"/>
    </row>
    <row r="414" spans="3:17">
      <c r="C414" s="71"/>
      <c r="Q414" s="53"/>
    </row>
    <row r="415" spans="3:17">
      <c r="C415" s="71"/>
      <c r="Q415" s="53"/>
    </row>
    <row r="416" spans="3:17">
      <c r="C416" s="71"/>
      <c r="Q416" s="53"/>
    </row>
    <row r="417" spans="3:17">
      <c r="C417" s="71"/>
      <c r="Q417" s="53"/>
    </row>
    <row r="418" spans="3:17">
      <c r="C418" s="71"/>
      <c r="Q418" s="53"/>
    </row>
    <row r="419" spans="3:17">
      <c r="C419" s="71"/>
      <c r="Q419" s="53"/>
    </row>
    <row r="420" spans="3:17">
      <c r="C420" s="71"/>
      <c r="Q420" s="53"/>
    </row>
    <row r="421" spans="3:17">
      <c r="C421" s="71"/>
      <c r="Q421" s="53"/>
    </row>
    <row r="422" spans="3:17">
      <c r="C422" s="71"/>
      <c r="Q422" s="53"/>
    </row>
    <row r="423" spans="3:17">
      <c r="C423" s="71"/>
      <c r="Q423" s="53"/>
    </row>
    <row r="424" spans="3:17">
      <c r="C424" s="71"/>
      <c r="Q424" s="53"/>
    </row>
    <row r="425" spans="3:17">
      <c r="C425" s="71"/>
      <c r="Q425" s="53"/>
    </row>
    <row r="426" spans="3:17">
      <c r="C426" s="71"/>
      <c r="Q426" s="53"/>
    </row>
    <row r="427" spans="3:17">
      <c r="C427" s="71"/>
      <c r="Q427" s="53"/>
    </row>
    <row r="428" spans="3:17">
      <c r="C428" s="71"/>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228">
    <sortCondition ref="B2:B2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1874-8AAA-4026-9274-2FD9F94C333D}">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286</v>
      </c>
      <c r="C1" s="49" t="s">
        <v>287</v>
      </c>
      <c r="D1" s="49" t="s">
        <v>288</v>
      </c>
      <c r="E1" s="47" t="s">
        <v>289</v>
      </c>
      <c r="F1" s="47" t="s">
        <v>290</v>
      </c>
      <c r="G1" s="47" t="s">
        <v>291</v>
      </c>
      <c r="H1" s="47" t="s">
        <v>292</v>
      </c>
      <c r="I1" s="47" t="s">
        <v>293</v>
      </c>
      <c r="J1" s="47" t="s">
        <v>294</v>
      </c>
    </row>
    <row r="2" spans="1:10">
      <c r="A2" t="s">
        <v>273</v>
      </c>
      <c r="B2" s="30">
        <v>0</v>
      </c>
      <c r="C2" s="30">
        <v>0</v>
      </c>
      <c r="D2" s="30">
        <v>10.455070651242231</v>
      </c>
      <c r="E2" s="64">
        <v>1000</v>
      </c>
      <c r="F2" s="65" t="s">
        <v>295</v>
      </c>
      <c r="G2" s="65" t="s">
        <v>296</v>
      </c>
      <c r="H2">
        <v>6</v>
      </c>
      <c r="I2">
        <v>0</v>
      </c>
      <c r="J2">
        <v>282</v>
      </c>
    </row>
    <row r="3" spans="1:10">
      <c r="A3" t="s">
        <v>206</v>
      </c>
      <c r="B3" s="30">
        <v>0</v>
      </c>
      <c r="C3" s="30">
        <v>0</v>
      </c>
      <c r="D3" s="30">
        <v>11.933267705572312</v>
      </c>
      <c r="E3" s="64">
        <v>1000</v>
      </c>
      <c r="F3" s="65" t="s">
        <v>295</v>
      </c>
      <c r="G3" s="65" t="s">
        <v>296</v>
      </c>
      <c r="H3">
        <v>11</v>
      </c>
      <c r="I3">
        <v>0</v>
      </c>
      <c r="J3">
        <v>259</v>
      </c>
    </row>
    <row r="4" spans="1:10">
      <c r="A4" t="s">
        <v>53</v>
      </c>
      <c r="B4" s="30">
        <v>10.878852986010136</v>
      </c>
      <c r="C4" s="30">
        <v>7.5168658835786157</v>
      </c>
      <c r="D4" s="30">
        <v>15.373900929887878</v>
      </c>
      <c r="E4" s="64">
        <v>1000</v>
      </c>
      <c r="F4" s="65" t="s">
        <v>297</v>
      </c>
      <c r="G4" s="65" t="s">
        <v>298</v>
      </c>
      <c r="H4">
        <v>122</v>
      </c>
      <c r="I4">
        <v>30</v>
      </c>
      <c r="J4">
        <v>3328</v>
      </c>
    </row>
    <row r="5" spans="1:10">
      <c r="A5" t="s">
        <v>33</v>
      </c>
      <c r="B5" s="30">
        <v>1.6446743048284191</v>
      </c>
      <c r="C5" s="30">
        <v>9.5854031889007887E-2</v>
      </c>
      <c r="D5" s="30">
        <v>8.1199665884151475</v>
      </c>
      <c r="E5" s="64">
        <v>1000</v>
      </c>
      <c r="F5" s="65" t="s">
        <v>297</v>
      </c>
      <c r="G5" s="65" t="s">
        <v>298</v>
      </c>
      <c r="H5">
        <v>17</v>
      </c>
      <c r="I5">
        <v>1</v>
      </c>
      <c r="J5">
        <v>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215F-1E64-4976-82D4-D639D4411FE1}">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286</v>
      </c>
      <c r="C1" s="49" t="s">
        <v>287</v>
      </c>
      <c r="D1" s="49" t="s">
        <v>288</v>
      </c>
      <c r="E1" s="47" t="s">
        <v>289</v>
      </c>
      <c r="F1" s="47" t="s">
        <v>290</v>
      </c>
      <c r="G1" s="47" t="s">
        <v>291</v>
      </c>
      <c r="H1" s="47" t="s">
        <v>292</v>
      </c>
      <c r="I1" s="47" t="s">
        <v>293</v>
      </c>
      <c r="J1" s="47" t="s">
        <v>294</v>
      </c>
    </row>
    <row r="2" spans="1:10">
      <c r="A2" t="s">
        <v>273</v>
      </c>
      <c r="B2" s="30">
        <v>0</v>
      </c>
      <c r="C2" s="30">
        <v>0</v>
      </c>
      <c r="D2" s="30">
        <v>10.455070651242231</v>
      </c>
      <c r="E2" s="64">
        <v>1000</v>
      </c>
      <c r="F2" s="65" t="s">
        <v>295</v>
      </c>
      <c r="G2" s="65" t="s">
        <v>296</v>
      </c>
      <c r="H2">
        <v>6</v>
      </c>
      <c r="I2">
        <v>0</v>
      </c>
      <c r="J2">
        <v>282</v>
      </c>
    </row>
    <row r="3" spans="1:10">
      <c r="A3" t="s">
        <v>206</v>
      </c>
      <c r="B3" s="30">
        <v>0</v>
      </c>
      <c r="C3" s="30">
        <v>0</v>
      </c>
      <c r="D3" s="30">
        <v>11.933267705572312</v>
      </c>
      <c r="E3" s="64">
        <v>1000</v>
      </c>
      <c r="F3" s="65" t="s">
        <v>295</v>
      </c>
      <c r="G3" s="65" t="s">
        <v>296</v>
      </c>
      <c r="H3">
        <v>11</v>
      </c>
      <c r="I3">
        <v>0</v>
      </c>
      <c r="J3">
        <v>259</v>
      </c>
    </row>
    <row r="4" spans="1:10">
      <c r="A4" t="s">
        <v>33</v>
      </c>
      <c r="B4" s="30">
        <v>1.6446743048284191</v>
      </c>
      <c r="C4" s="30">
        <v>9.5854031889007887E-2</v>
      </c>
      <c r="D4" s="30">
        <v>8.1199665884151475</v>
      </c>
      <c r="E4" s="64">
        <v>1000</v>
      </c>
      <c r="F4" s="65" t="s">
        <v>297</v>
      </c>
      <c r="G4" s="65" t="s">
        <v>298</v>
      </c>
      <c r="H4">
        <v>17</v>
      </c>
      <c r="I4">
        <v>1</v>
      </c>
      <c r="J4">
        <v>610</v>
      </c>
    </row>
    <row r="5" spans="1:10">
      <c r="A5" t="s">
        <v>146</v>
      </c>
      <c r="B5" s="30">
        <v>3.5627140510337907</v>
      </c>
      <c r="C5" s="30">
        <v>0.21615899354289428</v>
      </c>
      <c r="D5" s="30">
        <v>17.133706461482326</v>
      </c>
      <c r="E5" s="64">
        <v>1000</v>
      </c>
      <c r="F5" s="65" t="s">
        <v>297</v>
      </c>
      <c r="G5" s="65" t="s">
        <v>298</v>
      </c>
      <c r="H5">
        <v>18</v>
      </c>
      <c r="I5">
        <v>1</v>
      </c>
      <c r="J5">
        <v>271</v>
      </c>
    </row>
    <row r="6" spans="1:10">
      <c r="A6" t="s">
        <v>164</v>
      </c>
      <c r="B6" s="30">
        <v>23.086174211762472</v>
      </c>
      <c r="C6" s="30">
        <v>10.638072176974504</v>
      </c>
      <c r="D6" s="30">
        <v>46.814989150602401</v>
      </c>
      <c r="E6" s="64">
        <v>1000</v>
      </c>
      <c r="F6" s="65" t="s">
        <v>297</v>
      </c>
      <c r="G6" s="65" t="s">
        <v>298</v>
      </c>
      <c r="H6">
        <v>21</v>
      </c>
      <c r="I6">
        <v>7</v>
      </c>
      <c r="J6">
        <v>384</v>
      </c>
    </row>
    <row r="7" spans="1:10">
      <c r="A7" t="s">
        <v>55</v>
      </c>
      <c r="B7" s="30">
        <v>9.4852441195059267</v>
      </c>
      <c r="C7" s="30">
        <v>5.9129555211623179</v>
      </c>
      <c r="D7" s="30">
        <v>14.641460091804271</v>
      </c>
      <c r="E7" s="64">
        <v>1000</v>
      </c>
      <c r="F7" s="65" t="s">
        <v>297</v>
      </c>
      <c r="G7" s="65" t="s">
        <v>298</v>
      </c>
      <c r="H7">
        <v>65</v>
      </c>
      <c r="I7">
        <v>19</v>
      </c>
      <c r="J7">
        <v>2426</v>
      </c>
    </row>
    <row r="8" spans="1:10">
      <c r="A8" t="s">
        <v>186</v>
      </c>
      <c r="B8" s="30">
        <v>14.178263615050465</v>
      </c>
      <c r="C8" s="30">
        <v>3.7276126012074595</v>
      </c>
      <c r="D8" s="30">
        <v>40.526694321133533</v>
      </c>
      <c r="E8" s="64">
        <v>1000</v>
      </c>
      <c r="F8" s="65" t="s">
        <v>297</v>
      </c>
      <c r="G8" s="65" t="s">
        <v>298</v>
      </c>
      <c r="H8">
        <v>18</v>
      </c>
      <c r="I8">
        <v>3</v>
      </c>
      <c r="J8">
        <v>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82B5-C424-493C-86D4-99EF04AB7EA2}">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286</v>
      </c>
      <c r="C1" s="49" t="s">
        <v>287</v>
      </c>
      <c r="D1" s="49" t="s">
        <v>288</v>
      </c>
      <c r="E1" s="47" t="s">
        <v>289</v>
      </c>
      <c r="F1" s="47" t="s">
        <v>290</v>
      </c>
      <c r="G1" s="47" t="s">
        <v>291</v>
      </c>
      <c r="H1" s="47" t="s">
        <v>292</v>
      </c>
      <c r="I1" s="47" t="s">
        <v>293</v>
      </c>
      <c r="J1" s="47" t="s">
        <v>294</v>
      </c>
    </row>
    <row r="2" spans="1:10">
      <c r="A2" t="s">
        <v>155</v>
      </c>
      <c r="B2" s="30">
        <v>0</v>
      </c>
      <c r="C2" s="30">
        <v>0</v>
      </c>
      <c r="D2" s="30">
        <v>26.767943728521292</v>
      </c>
      <c r="E2" s="64">
        <v>1000</v>
      </c>
      <c r="F2" s="65" t="s">
        <v>295</v>
      </c>
      <c r="G2" s="65" t="s">
        <v>296</v>
      </c>
      <c r="H2">
        <v>7</v>
      </c>
      <c r="I2">
        <v>0</v>
      </c>
      <c r="J2">
        <v>92</v>
      </c>
    </row>
    <row r="3" spans="1:10">
      <c r="A3" t="s">
        <v>147</v>
      </c>
      <c r="B3" s="30">
        <v>5.3058118328590824</v>
      </c>
      <c r="C3" s="30">
        <v>0.33068505991366243</v>
      </c>
      <c r="D3" s="30">
        <v>25.595825571920862</v>
      </c>
      <c r="E3" s="64">
        <v>1000</v>
      </c>
      <c r="F3" s="65" t="s">
        <v>297</v>
      </c>
      <c r="G3" s="65" t="s">
        <v>298</v>
      </c>
      <c r="H3">
        <v>11</v>
      </c>
      <c r="I3">
        <v>1</v>
      </c>
      <c r="J3">
        <v>179</v>
      </c>
    </row>
    <row r="4" spans="1:10">
      <c r="A4" t="s">
        <v>167</v>
      </c>
      <c r="B4" s="30">
        <v>22.683432826318402</v>
      </c>
      <c r="C4" s="30">
        <v>6.9334523418509768</v>
      </c>
      <c r="D4" s="30">
        <v>64.284932673503448</v>
      </c>
      <c r="E4" s="64">
        <v>1000</v>
      </c>
      <c r="F4" s="65" t="s">
        <v>297</v>
      </c>
      <c r="G4" s="65" t="s">
        <v>298</v>
      </c>
      <c r="H4">
        <v>11</v>
      </c>
      <c r="I4">
        <v>3</v>
      </c>
      <c r="J4">
        <v>147</v>
      </c>
    </row>
    <row r="5" spans="1:10">
      <c r="A5" t="s">
        <v>165</v>
      </c>
      <c r="B5" s="30">
        <v>21.046716883537645</v>
      </c>
      <c r="C5" s="30">
        <v>7.1436705780806466</v>
      </c>
      <c r="D5" s="30">
        <v>54.206600496586994</v>
      </c>
      <c r="E5" s="64">
        <v>1000</v>
      </c>
      <c r="F5" s="65" t="s">
        <v>297</v>
      </c>
      <c r="G5" s="65" t="s">
        <v>298</v>
      </c>
      <c r="H5">
        <v>10</v>
      </c>
      <c r="I5">
        <v>4</v>
      </c>
      <c r="J5">
        <v>237</v>
      </c>
    </row>
    <row r="6" spans="1:10">
      <c r="A6" t="s">
        <v>63</v>
      </c>
      <c r="B6" s="30">
        <v>27.413371050133744</v>
      </c>
      <c r="C6" s="30">
        <v>12.100295666733258</v>
      </c>
      <c r="D6" s="30">
        <v>59.818673521701079</v>
      </c>
      <c r="E6" s="64">
        <v>1000</v>
      </c>
      <c r="F6" s="65" t="s">
        <v>297</v>
      </c>
      <c r="G6" s="65" t="s">
        <v>298</v>
      </c>
      <c r="H6">
        <v>18</v>
      </c>
      <c r="I6">
        <v>7</v>
      </c>
      <c r="J6">
        <v>394</v>
      </c>
    </row>
    <row r="7" spans="1:10">
      <c r="A7" t="s">
        <v>57</v>
      </c>
      <c r="B7" s="30">
        <v>6.838247638598669</v>
      </c>
      <c r="C7" s="30">
        <v>3.7291400498600149</v>
      </c>
      <c r="D7" s="30">
        <v>11.725843332082945</v>
      </c>
      <c r="E7" s="64">
        <v>1000</v>
      </c>
      <c r="F7" s="65" t="s">
        <v>297</v>
      </c>
      <c r="G7" s="65" t="s">
        <v>298</v>
      </c>
      <c r="H7">
        <v>47</v>
      </c>
      <c r="I7">
        <v>12</v>
      </c>
      <c r="J7">
        <v>2032</v>
      </c>
    </row>
    <row r="8" spans="1:10">
      <c r="A8" t="s">
        <v>191</v>
      </c>
      <c r="B8" s="30">
        <v>17.929014601521253</v>
      </c>
      <c r="C8" s="30">
        <v>0.98075734915527923</v>
      </c>
      <c r="D8" s="30">
        <v>105.9389893649798</v>
      </c>
      <c r="E8" s="64">
        <v>1000</v>
      </c>
      <c r="F8" s="65" t="s">
        <v>297</v>
      </c>
      <c r="G8" s="65" t="s">
        <v>298</v>
      </c>
      <c r="H8">
        <v>8</v>
      </c>
      <c r="I8">
        <v>1</v>
      </c>
      <c r="J8">
        <v>65</v>
      </c>
    </row>
    <row r="9" spans="1:10">
      <c r="A9" t="s">
        <v>187</v>
      </c>
      <c r="B9" s="30">
        <v>12.032092128479245</v>
      </c>
      <c r="C9" s="30">
        <v>2.2178433247845311</v>
      </c>
      <c r="D9" s="30">
        <v>41.666707771945127</v>
      </c>
      <c r="E9" s="64">
        <v>1000</v>
      </c>
      <c r="F9" s="65" t="s">
        <v>297</v>
      </c>
      <c r="G9" s="65" t="s">
        <v>298</v>
      </c>
      <c r="H9">
        <v>10</v>
      </c>
      <c r="I9">
        <v>2</v>
      </c>
      <c r="J9">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D6DD2-42F9-483F-A959-5A7BD3103A6A}">
  <dimension ref="A1:J8"/>
  <sheetViews>
    <sheetView workbookViewId="0">
      <selection activeCell="A2" sqref="A2: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286</v>
      </c>
      <c r="C1" s="49" t="s">
        <v>287</v>
      </c>
      <c r="D1" s="49" t="s">
        <v>288</v>
      </c>
      <c r="E1" s="47" t="s">
        <v>289</v>
      </c>
      <c r="F1" s="47" t="s">
        <v>290</v>
      </c>
      <c r="G1" s="47" t="s">
        <v>291</v>
      </c>
      <c r="H1" s="47" t="s">
        <v>292</v>
      </c>
      <c r="I1" s="47" t="s">
        <v>293</v>
      </c>
      <c r="J1" s="47" t="s">
        <v>294</v>
      </c>
    </row>
    <row r="2" spans="1:10">
      <c r="A2" t="s">
        <v>275</v>
      </c>
      <c r="B2" s="30">
        <v>0</v>
      </c>
      <c r="C2" s="30">
        <v>0</v>
      </c>
      <c r="D2" s="30">
        <v>10.455070651242231</v>
      </c>
      <c r="E2" s="64">
        <v>1000</v>
      </c>
      <c r="F2" s="65" t="s">
        <v>295</v>
      </c>
      <c r="G2" s="65" t="s">
        <v>296</v>
      </c>
      <c r="H2">
        <v>6</v>
      </c>
      <c r="I2">
        <v>0</v>
      </c>
      <c r="J2">
        <v>282</v>
      </c>
    </row>
    <row r="3" spans="1:10">
      <c r="A3" t="s">
        <v>210</v>
      </c>
      <c r="B3" s="30">
        <v>0</v>
      </c>
      <c r="C3" s="30">
        <v>0</v>
      </c>
      <c r="D3" s="30">
        <v>45.927509279907447</v>
      </c>
      <c r="E3" s="64">
        <v>1000</v>
      </c>
      <c r="F3" s="65" t="s">
        <v>295</v>
      </c>
      <c r="G3" s="65" t="s">
        <v>296</v>
      </c>
      <c r="H3">
        <v>4</v>
      </c>
      <c r="I3">
        <v>0</v>
      </c>
      <c r="J3">
        <v>49</v>
      </c>
    </row>
    <row r="4" spans="1:10">
      <c r="A4" t="s">
        <v>208</v>
      </c>
      <c r="B4" s="30">
        <v>0</v>
      </c>
      <c r="C4" s="30">
        <v>0</v>
      </c>
      <c r="D4" s="30">
        <v>13.864075200357629</v>
      </c>
      <c r="E4" s="64">
        <v>1000</v>
      </c>
      <c r="F4" s="65" t="s">
        <v>295</v>
      </c>
      <c r="G4" s="65" t="s">
        <v>296</v>
      </c>
      <c r="H4">
        <v>7</v>
      </c>
      <c r="I4">
        <v>0</v>
      </c>
      <c r="J4">
        <v>210</v>
      </c>
    </row>
    <row r="5" spans="1:10">
      <c r="A5" t="s">
        <v>62</v>
      </c>
      <c r="B5" s="30">
        <v>21.469937270192112</v>
      </c>
      <c r="C5" s="30">
        <v>11.389087298053861</v>
      </c>
      <c r="D5" s="30">
        <v>38.487312367894894</v>
      </c>
      <c r="E5" s="64">
        <v>1000</v>
      </c>
      <c r="F5" s="65" t="s">
        <v>297</v>
      </c>
      <c r="G5" s="65" t="s">
        <v>298</v>
      </c>
      <c r="H5">
        <v>44</v>
      </c>
      <c r="I5">
        <v>11</v>
      </c>
      <c r="J5">
        <v>698</v>
      </c>
    </row>
    <row r="6" spans="1:10">
      <c r="A6" t="s">
        <v>56</v>
      </c>
      <c r="B6" s="30">
        <v>8.42407448382966</v>
      </c>
      <c r="C6" s="30">
        <v>5.2590934235878173</v>
      </c>
      <c r="D6" s="30">
        <v>12.957251020089936</v>
      </c>
      <c r="E6" s="64">
        <v>1000</v>
      </c>
      <c r="F6" s="65" t="s">
        <v>297</v>
      </c>
      <c r="G6" s="65" t="s">
        <v>298</v>
      </c>
      <c r="H6">
        <v>78</v>
      </c>
      <c r="I6">
        <v>19</v>
      </c>
      <c r="J6">
        <v>2630</v>
      </c>
    </row>
    <row r="7" spans="1:10">
      <c r="A7" t="s">
        <v>50</v>
      </c>
      <c r="B7" s="30">
        <v>0</v>
      </c>
      <c r="C7" s="30">
        <v>0</v>
      </c>
      <c r="D7" s="30">
        <v>77.945569088374143</v>
      </c>
      <c r="E7" s="64">
        <v>1000</v>
      </c>
      <c r="F7" s="65" t="s">
        <v>295</v>
      </c>
      <c r="G7" s="65" t="s">
        <v>296</v>
      </c>
      <c r="H7">
        <v>3</v>
      </c>
      <c r="I7">
        <v>0</v>
      </c>
      <c r="J7">
        <v>25</v>
      </c>
    </row>
    <row r="8" spans="1:10">
      <c r="A8" t="s">
        <v>40</v>
      </c>
      <c r="B8" s="30">
        <v>1.7129655605921617</v>
      </c>
      <c r="C8" s="30">
        <v>0.10007572047674342</v>
      </c>
      <c r="D8" s="30">
        <v>8.4666279759794456</v>
      </c>
      <c r="E8" s="64">
        <v>1000</v>
      </c>
      <c r="F8" s="65" t="s">
        <v>297</v>
      </c>
      <c r="G8" s="65" t="s">
        <v>298</v>
      </c>
      <c r="H8">
        <v>14</v>
      </c>
      <c r="I8">
        <v>1</v>
      </c>
      <c r="J8">
        <v>585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zoomScale="70" zoomScaleNormal="70" workbookViewId="0">
      <selection activeCell="H179" sqref="H179"/>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0" t="s">
        <v>13</v>
      </c>
      <c r="B1" s="61" t="s">
        <v>14</v>
      </c>
      <c r="C1" s="39" t="s">
        <v>299</v>
      </c>
      <c r="D1" s="39" t="s">
        <v>300</v>
      </c>
      <c r="E1" s="39" t="s">
        <v>18</v>
      </c>
      <c r="F1" s="39" t="s">
        <v>301</v>
      </c>
      <c r="G1" s="39" t="s">
        <v>302</v>
      </c>
      <c r="H1" s="39" t="s">
        <v>303</v>
      </c>
      <c r="I1" s="39" t="s">
        <v>304</v>
      </c>
      <c r="J1" s="60" t="s">
        <v>305</v>
      </c>
      <c r="K1" s="60" t="s">
        <v>306</v>
      </c>
    </row>
    <row r="2" spans="1:28" s="48" customFormat="1">
      <c r="A2">
        <v>31</v>
      </c>
      <c r="B2" s="63">
        <v>45139</v>
      </c>
      <c r="C2" t="s">
        <v>307</v>
      </c>
      <c r="D2" t="s">
        <v>308</v>
      </c>
      <c r="E2" t="s">
        <v>206</v>
      </c>
      <c r="F2" t="s">
        <v>309</v>
      </c>
      <c r="G2">
        <v>30</v>
      </c>
      <c r="H2" t="s">
        <v>310</v>
      </c>
      <c r="I2" t="s">
        <v>311</v>
      </c>
      <c r="J2">
        <f>IF(F2="Culex tarsalis",G2,0)</f>
        <v>0</v>
      </c>
      <c r="K2">
        <f>IF(F2="Culex pipiens",G2,0)</f>
        <v>30</v>
      </c>
      <c r="L2"/>
      <c r="M2"/>
      <c r="N2"/>
      <c r="O2"/>
      <c r="P2"/>
      <c r="Q2"/>
      <c r="R2"/>
      <c r="S2"/>
      <c r="T2"/>
      <c r="U2"/>
      <c r="V2"/>
      <c r="W2"/>
      <c r="X2"/>
      <c r="Y2"/>
      <c r="Z2"/>
      <c r="AA2"/>
      <c r="AB2"/>
    </row>
    <row r="3" spans="1:28">
      <c r="A3">
        <v>31</v>
      </c>
      <c r="B3" s="63">
        <v>45139</v>
      </c>
      <c r="C3" t="s">
        <v>307</v>
      </c>
      <c r="D3" t="s">
        <v>308</v>
      </c>
      <c r="E3" t="s">
        <v>206</v>
      </c>
      <c r="F3" t="s">
        <v>312</v>
      </c>
      <c r="G3">
        <v>137</v>
      </c>
      <c r="H3" t="s">
        <v>310</v>
      </c>
      <c r="I3" t="s">
        <v>311</v>
      </c>
      <c r="J3">
        <f>IF(F3="Culex tarsalis",G3,0)</f>
        <v>137</v>
      </c>
      <c r="K3">
        <f>IF(F3="Culex pipiens",G3,0)</f>
        <v>0</v>
      </c>
    </row>
    <row r="4" spans="1:28">
      <c r="A4">
        <v>31</v>
      </c>
      <c r="B4" s="63">
        <v>45139</v>
      </c>
      <c r="C4" t="s">
        <v>307</v>
      </c>
      <c r="D4" t="s">
        <v>313</v>
      </c>
      <c r="E4" t="s">
        <v>206</v>
      </c>
      <c r="F4" t="s">
        <v>312</v>
      </c>
      <c r="G4">
        <v>9</v>
      </c>
      <c r="H4" t="s">
        <v>310</v>
      </c>
      <c r="I4" t="s">
        <v>314</v>
      </c>
      <c r="J4">
        <f>IF(F4="Culex tarsalis",G4,0)</f>
        <v>9</v>
      </c>
      <c r="K4">
        <f>IF(F4="Culex pipiens",G4,0)</f>
        <v>0</v>
      </c>
    </row>
    <row r="5" spans="1:28">
      <c r="A5">
        <v>31</v>
      </c>
      <c r="B5" s="63">
        <v>45139</v>
      </c>
      <c r="C5" t="s">
        <v>307</v>
      </c>
      <c r="D5" t="s">
        <v>315</v>
      </c>
      <c r="E5" t="s">
        <v>206</v>
      </c>
      <c r="F5" t="s">
        <v>309</v>
      </c>
      <c r="G5">
        <v>8</v>
      </c>
      <c r="H5" t="s">
        <v>310</v>
      </c>
      <c r="I5" t="s">
        <v>316</v>
      </c>
      <c r="J5">
        <f>IF(F5="Culex tarsalis",G5,0)</f>
        <v>0</v>
      </c>
      <c r="K5">
        <f>IF(F5="Culex pipiens",G5,0)</f>
        <v>8</v>
      </c>
    </row>
    <row r="6" spans="1:28">
      <c r="A6">
        <v>31</v>
      </c>
      <c r="B6" s="63">
        <v>45139</v>
      </c>
      <c r="C6" t="s">
        <v>307</v>
      </c>
      <c r="D6" t="s">
        <v>315</v>
      </c>
      <c r="E6" t="s">
        <v>206</v>
      </c>
      <c r="F6" t="s">
        <v>312</v>
      </c>
      <c r="G6">
        <v>15</v>
      </c>
      <c r="H6" t="s">
        <v>310</v>
      </c>
      <c r="I6" t="s">
        <v>316</v>
      </c>
      <c r="J6">
        <f>IF(F6="Culex tarsalis",G6,0)</f>
        <v>15</v>
      </c>
      <c r="K6">
        <f>IF(F6="Culex pipiens",G6,0)</f>
        <v>0</v>
      </c>
    </row>
    <row r="7" spans="1:28">
      <c r="A7">
        <v>31</v>
      </c>
      <c r="B7" s="63">
        <v>45139</v>
      </c>
      <c r="C7" t="s">
        <v>307</v>
      </c>
      <c r="D7" t="s">
        <v>317</v>
      </c>
      <c r="E7" t="s">
        <v>206</v>
      </c>
      <c r="F7" t="s">
        <v>309</v>
      </c>
      <c r="G7">
        <v>2</v>
      </c>
      <c r="H7" t="s">
        <v>310</v>
      </c>
      <c r="I7" t="s">
        <v>318</v>
      </c>
      <c r="J7">
        <f>IF(F7="Culex tarsalis",G7,0)</f>
        <v>0</v>
      </c>
      <c r="K7">
        <f>IF(F7="Culex pipiens",G7,0)</f>
        <v>2</v>
      </c>
    </row>
    <row r="8" spans="1:28">
      <c r="A8">
        <v>31</v>
      </c>
      <c r="B8" s="63">
        <v>45139</v>
      </c>
      <c r="C8" t="s">
        <v>307</v>
      </c>
      <c r="D8" t="s">
        <v>317</v>
      </c>
      <c r="E8" t="s">
        <v>206</v>
      </c>
      <c r="F8" t="s">
        <v>312</v>
      </c>
      <c r="G8">
        <v>28</v>
      </c>
      <c r="H8" t="s">
        <v>310</v>
      </c>
      <c r="I8" t="s">
        <v>318</v>
      </c>
      <c r="J8">
        <f>IF(F8="Culex tarsalis",G8,0)</f>
        <v>28</v>
      </c>
      <c r="K8">
        <f>IF(F8="Culex pipiens",G8,0)</f>
        <v>0</v>
      </c>
    </row>
    <row r="9" spans="1:28">
      <c r="A9">
        <v>31</v>
      </c>
      <c r="B9" s="63">
        <v>45139</v>
      </c>
      <c r="C9" t="s">
        <v>307</v>
      </c>
      <c r="D9" t="s">
        <v>319</v>
      </c>
      <c r="E9" t="s">
        <v>206</v>
      </c>
      <c r="F9" t="s">
        <v>309</v>
      </c>
      <c r="G9">
        <v>9</v>
      </c>
      <c r="H9" t="s">
        <v>310</v>
      </c>
      <c r="I9" t="s">
        <v>215</v>
      </c>
      <c r="J9">
        <f>IF(F9="Culex tarsalis",G9,0)</f>
        <v>0</v>
      </c>
      <c r="K9">
        <f>IF(F9="Culex pipiens",G9,0)</f>
        <v>9</v>
      </c>
    </row>
    <row r="10" spans="1:28" s="48" customFormat="1">
      <c r="A10">
        <v>31</v>
      </c>
      <c r="B10" s="63">
        <v>45139</v>
      </c>
      <c r="C10" t="s">
        <v>307</v>
      </c>
      <c r="D10" t="s">
        <v>319</v>
      </c>
      <c r="E10" t="s">
        <v>206</v>
      </c>
      <c r="F10" t="s">
        <v>312</v>
      </c>
      <c r="G10">
        <v>21</v>
      </c>
      <c r="H10" t="s">
        <v>310</v>
      </c>
      <c r="I10" t="s">
        <v>215</v>
      </c>
      <c r="J10">
        <f>IF(F10="Culex tarsalis",G10,0)</f>
        <v>21</v>
      </c>
      <c r="K10">
        <f>IF(F10="Culex pipiens",G10,0)</f>
        <v>0</v>
      </c>
      <c r="L10"/>
      <c r="M10"/>
      <c r="N10"/>
      <c r="O10"/>
      <c r="P10"/>
      <c r="Q10"/>
      <c r="R10"/>
      <c r="S10"/>
      <c r="T10"/>
      <c r="U10"/>
      <c r="V10"/>
      <c r="W10"/>
      <c r="X10"/>
      <c r="Y10"/>
      <c r="Z10"/>
      <c r="AA10"/>
      <c r="AB10"/>
    </row>
    <row r="11" spans="1:28">
      <c r="A11">
        <v>31</v>
      </c>
      <c r="B11" s="63">
        <v>45137</v>
      </c>
      <c r="C11" t="s">
        <v>320</v>
      </c>
      <c r="D11" t="s">
        <v>321</v>
      </c>
      <c r="E11" t="s">
        <v>55</v>
      </c>
      <c r="F11" t="s">
        <v>309</v>
      </c>
      <c r="G11">
        <v>24</v>
      </c>
      <c r="H11" t="s">
        <v>310</v>
      </c>
      <c r="I11" t="s">
        <v>105</v>
      </c>
      <c r="J11">
        <f>IF(F11="Culex tarsalis",G11,0)</f>
        <v>0</v>
      </c>
      <c r="K11">
        <f>IF(F11="Culex pipiens",G11,0)</f>
        <v>24</v>
      </c>
    </row>
    <row r="12" spans="1:28">
      <c r="A12">
        <v>31</v>
      </c>
      <c r="B12" s="63">
        <v>45137</v>
      </c>
      <c r="C12" t="s">
        <v>320</v>
      </c>
      <c r="D12" t="s">
        <v>321</v>
      </c>
      <c r="E12" t="s">
        <v>55</v>
      </c>
      <c r="F12" t="s">
        <v>312</v>
      </c>
      <c r="G12">
        <v>271</v>
      </c>
      <c r="H12" t="s">
        <v>310</v>
      </c>
      <c r="I12" t="s">
        <v>105</v>
      </c>
      <c r="J12">
        <f>IF(F12="Culex tarsalis",G12,0)</f>
        <v>271</v>
      </c>
      <c r="K12">
        <f>IF(F12="Culex pipiens",G12,0)</f>
        <v>0</v>
      </c>
    </row>
    <row r="13" spans="1:28">
      <c r="A13">
        <v>31</v>
      </c>
      <c r="B13" s="63">
        <v>45137</v>
      </c>
      <c r="C13" t="s">
        <v>320</v>
      </c>
      <c r="D13" t="s">
        <v>322</v>
      </c>
      <c r="E13" t="s">
        <v>55</v>
      </c>
      <c r="F13" t="s">
        <v>309</v>
      </c>
      <c r="G13">
        <v>8</v>
      </c>
      <c r="H13" t="s">
        <v>310</v>
      </c>
      <c r="I13" t="s">
        <v>94</v>
      </c>
      <c r="J13">
        <f>IF(F13="Culex tarsalis",G13,0)</f>
        <v>0</v>
      </c>
      <c r="K13">
        <f>IF(F13="Culex pipiens",G13,0)</f>
        <v>8</v>
      </c>
    </row>
    <row r="14" spans="1:28" s="48" customFormat="1">
      <c r="A14">
        <v>31</v>
      </c>
      <c r="B14" s="63">
        <v>45137</v>
      </c>
      <c r="C14" t="s">
        <v>320</v>
      </c>
      <c r="D14" t="s">
        <v>322</v>
      </c>
      <c r="E14" t="s">
        <v>55</v>
      </c>
      <c r="F14" t="s">
        <v>312</v>
      </c>
      <c r="G14">
        <v>79</v>
      </c>
      <c r="H14" t="s">
        <v>310</v>
      </c>
      <c r="I14" t="s">
        <v>94</v>
      </c>
      <c r="J14">
        <f>IF(F14="Culex tarsalis",G14,0)</f>
        <v>79</v>
      </c>
      <c r="K14">
        <f>IF(F14="Culex pipiens",G14,0)</f>
        <v>0</v>
      </c>
      <c r="L14"/>
      <c r="M14"/>
      <c r="N14"/>
      <c r="O14"/>
      <c r="P14"/>
      <c r="Q14"/>
      <c r="R14"/>
      <c r="S14"/>
      <c r="T14"/>
      <c r="U14"/>
      <c r="V14"/>
      <c r="W14"/>
      <c r="X14"/>
      <c r="Y14"/>
      <c r="Z14"/>
      <c r="AA14"/>
      <c r="AB14"/>
    </row>
    <row r="15" spans="1:28" s="48" customFormat="1">
      <c r="A15">
        <v>31</v>
      </c>
      <c r="B15" s="63">
        <v>45137</v>
      </c>
      <c r="C15" t="s">
        <v>320</v>
      </c>
      <c r="D15" t="s">
        <v>323</v>
      </c>
      <c r="E15" t="s">
        <v>55</v>
      </c>
      <c r="F15" t="s">
        <v>312</v>
      </c>
      <c r="G15">
        <v>26</v>
      </c>
      <c r="H15" t="s">
        <v>310</v>
      </c>
      <c r="I15" t="s">
        <v>92</v>
      </c>
      <c r="J15">
        <f>IF(F15="Culex tarsalis",G15,0)</f>
        <v>26</v>
      </c>
      <c r="K15">
        <f>IF(F15="Culex pipiens",G15,0)</f>
        <v>0</v>
      </c>
      <c r="L15"/>
      <c r="M15"/>
      <c r="N15"/>
      <c r="O15"/>
      <c r="P15"/>
      <c r="Q15"/>
      <c r="R15"/>
      <c r="S15"/>
      <c r="T15"/>
      <c r="U15"/>
      <c r="V15"/>
      <c r="W15"/>
      <c r="X15"/>
      <c r="Y15"/>
      <c r="Z15"/>
      <c r="AA15"/>
      <c r="AB15"/>
    </row>
    <row r="16" spans="1:28">
      <c r="A16">
        <v>31</v>
      </c>
      <c r="B16" s="63">
        <v>45137</v>
      </c>
      <c r="C16" t="s">
        <v>320</v>
      </c>
      <c r="D16" t="s">
        <v>324</v>
      </c>
      <c r="E16" t="s">
        <v>55</v>
      </c>
      <c r="F16" t="s">
        <v>312</v>
      </c>
      <c r="G16">
        <v>627</v>
      </c>
      <c r="H16" t="s">
        <v>310</v>
      </c>
      <c r="I16" t="s">
        <v>121</v>
      </c>
      <c r="J16">
        <f>IF(F16="Culex tarsalis",G16,0)</f>
        <v>627</v>
      </c>
      <c r="K16">
        <f>IF(F16="Culex pipiens",G16,0)</f>
        <v>0</v>
      </c>
    </row>
    <row r="17" spans="1:25">
      <c r="A17">
        <v>31</v>
      </c>
      <c r="B17" s="63">
        <v>45137</v>
      </c>
      <c r="C17" t="s">
        <v>320</v>
      </c>
      <c r="D17" t="s">
        <v>324</v>
      </c>
      <c r="E17" t="s">
        <v>55</v>
      </c>
      <c r="F17" t="s">
        <v>309</v>
      </c>
      <c r="G17">
        <v>44</v>
      </c>
      <c r="H17" t="s">
        <v>310</v>
      </c>
      <c r="I17" t="s">
        <v>121</v>
      </c>
      <c r="J17">
        <f>IF(F17="Culex tarsalis",G17,0)</f>
        <v>0</v>
      </c>
      <c r="K17">
        <f>IF(F17="Culex pipiens",G17,0)</f>
        <v>44</v>
      </c>
    </row>
    <row r="18" spans="1:25">
      <c r="A18">
        <v>31</v>
      </c>
      <c r="B18" s="63">
        <v>45137</v>
      </c>
      <c r="C18" t="s">
        <v>320</v>
      </c>
      <c r="D18" t="s">
        <v>325</v>
      </c>
      <c r="E18" t="s">
        <v>55</v>
      </c>
      <c r="F18" t="s">
        <v>312</v>
      </c>
      <c r="G18">
        <v>229</v>
      </c>
      <c r="H18" t="s">
        <v>310</v>
      </c>
      <c r="I18" t="s">
        <v>81</v>
      </c>
      <c r="J18">
        <f>IF(F18="Culex tarsalis",G18,0)</f>
        <v>229</v>
      </c>
      <c r="K18">
        <f>IF(F18="Culex pipiens",G18,0)</f>
        <v>0</v>
      </c>
    </row>
    <row r="19" spans="1:25">
      <c r="A19">
        <v>31</v>
      </c>
      <c r="B19" s="63">
        <v>45137</v>
      </c>
      <c r="C19" t="s">
        <v>320</v>
      </c>
      <c r="D19" t="s">
        <v>325</v>
      </c>
      <c r="E19" t="s">
        <v>55</v>
      </c>
      <c r="F19" t="s">
        <v>309</v>
      </c>
      <c r="G19">
        <v>6</v>
      </c>
      <c r="H19" t="s">
        <v>310</v>
      </c>
      <c r="I19" t="s">
        <v>81</v>
      </c>
      <c r="J19">
        <f>IF(F19="Culex tarsalis",G19,0)</f>
        <v>0</v>
      </c>
      <c r="K19">
        <f>IF(F19="Culex pipiens",G19,0)</f>
        <v>6</v>
      </c>
    </row>
    <row r="20" spans="1:25">
      <c r="A20">
        <v>31</v>
      </c>
      <c r="B20" s="63">
        <v>45137</v>
      </c>
      <c r="C20" t="s">
        <v>320</v>
      </c>
      <c r="D20" t="s">
        <v>326</v>
      </c>
      <c r="E20" t="s">
        <v>55</v>
      </c>
      <c r="F20" t="s">
        <v>309</v>
      </c>
      <c r="G20">
        <v>6</v>
      </c>
      <c r="H20" t="s">
        <v>310</v>
      </c>
      <c r="I20" t="s">
        <v>113</v>
      </c>
      <c r="J20">
        <f>IF(F20="Culex tarsalis",G20,0)</f>
        <v>0</v>
      </c>
      <c r="K20">
        <f>IF(F20="Culex pipiens",G20,0)</f>
        <v>6</v>
      </c>
    </row>
    <row r="21" spans="1:25">
      <c r="A21">
        <v>31</v>
      </c>
      <c r="B21" s="63">
        <v>45137</v>
      </c>
      <c r="C21" t="s">
        <v>320</v>
      </c>
      <c r="D21" t="s">
        <v>326</v>
      </c>
      <c r="E21" t="s">
        <v>55</v>
      </c>
      <c r="F21" t="s">
        <v>312</v>
      </c>
      <c r="G21">
        <v>80</v>
      </c>
      <c r="H21" t="s">
        <v>310</v>
      </c>
      <c r="I21" t="s">
        <v>113</v>
      </c>
      <c r="J21">
        <f>IF(F21="Culex tarsalis",G21,0)</f>
        <v>80</v>
      </c>
      <c r="K21">
        <f>IF(F21="Culex pipiens",G21,0)</f>
        <v>0</v>
      </c>
    </row>
    <row r="22" spans="1:25">
      <c r="A22">
        <v>31</v>
      </c>
      <c r="B22" s="63">
        <v>45137</v>
      </c>
      <c r="C22" t="s">
        <v>320</v>
      </c>
      <c r="D22" t="s">
        <v>327</v>
      </c>
      <c r="E22" t="s">
        <v>55</v>
      </c>
      <c r="F22" t="s">
        <v>312</v>
      </c>
      <c r="G22">
        <v>79</v>
      </c>
      <c r="H22" t="s">
        <v>310</v>
      </c>
      <c r="I22" t="s">
        <v>117</v>
      </c>
      <c r="J22">
        <f>IF(F22="Culex tarsalis",G22,0)</f>
        <v>79</v>
      </c>
      <c r="K22">
        <f>IF(F22="Culex pipiens",G22,0)</f>
        <v>0</v>
      </c>
    </row>
    <row r="23" spans="1:25">
      <c r="A23">
        <v>31</v>
      </c>
      <c r="B23" s="63">
        <v>45137</v>
      </c>
      <c r="C23" t="s">
        <v>320</v>
      </c>
      <c r="D23" t="s">
        <v>327</v>
      </c>
      <c r="E23" t="s">
        <v>55</v>
      </c>
      <c r="F23" t="s">
        <v>309</v>
      </c>
      <c r="G23">
        <v>7</v>
      </c>
      <c r="H23" t="s">
        <v>310</v>
      </c>
      <c r="I23" t="s">
        <v>117</v>
      </c>
      <c r="J23">
        <f>IF(F23="Culex tarsalis",G23,0)</f>
        <v>0</v>
      </c>
      <c r="K23">
        <f>IF(F23="Culex pipiens",G23,0)</f>
        <v>7</v>
      </c>
    </row>
    <row r="24" spans="1:25">
      <c r="A24">
        <v>31</v>
      </c>
      <c r="B24" s="63">
        <v>45137</v>
      </c>
      <c r="C24" t="s">
        <v>320</v>
      </c>
      <c r="D24" t="s">
        <v>328</v>
      </c>
      <c r="E24" t="s">
        <v>55</v>
      </c>
      <c r="F24" t="s">
        <v>309</v>
      </c>
      <c r="G24">
        <v>4</v>
      </c>
      <c r="H24" t="s">
        <v>310</v>
      </c>
      <c r="I24" t="s">
        <v>101</v>
      </c>
      <c r="J24">
        <f>IF(F24="Culex tarsalis",G24,0)</f>
        <v>0</v>
      </c>
      <c r="K24">
        <f>IF(F24="Culex pipiens",G24,0)</f>
        <v>4</v>
      </c>
    </row>
    <row r="25" spans="1:25">
      <c r="A25">
        <v>31</v>
      </c>
      <c r="B25" s="63">
        <v>45137</v>
      </c>
      <c r="C25" t="s">
        <v>320</v>
      </c>
      <c r="D25" t="s">
        <v>328</v>
      </c>
      <c r="E25" t="s">
        <v>55</v>
      </c>
      <c r="F25" t="s">
        <v>312</v>
      </c>
      <c r="G25">
        <v>82</v>
      </c>
      <c r="H25" t="s">
        <v>310</v>
      </c>
      <c r="I25" t="s">
        <v>101</v>
      </c>
      <c r="J25">
        <f>IF(F25="Culex tarsalis",G25,0)</f>
        <v>82</v>
      </c>
      <c r="K25">
        <f>IF(F25="Culex pipiens",G25,0)</f>
        <v>0</v>
      </c>
    </row>
    <row r="26" spans="1:25">
      <c r="A26">
        <v>31</v>
      </c>
      <c r="B26" s="63">
        <v>45137</v>
      </c>
      <c r="C26" t="s">
        <v>320</v>
      </c>
      <c r="D26" t="s">
        <v>329</v>
      </c>
      <c r="E26" t="s">
        <v>55</v>
      </c>
      <c r="F26" t="s">
        <v>312</v>
      </c>
      <c r="G26">
        <v>140</v>
      </c>
      <c r="H26" t="s">
        <v>310</v>
      </c>
      <c r="I26" t="s">
        <v>65</v>
      </c>
      <c r="J26">
        <f>IF(F26="Culex tarsalis",G26,0)</f>
        <v>140</v>
      </c>
      <c r="K26">
        <f>IF(F26="Culex pipiens",G26,0)</f>
        <v>0</v>
      </c>
      <c r="Y26" s="48"/>
    </row>
    <row r="27" spans="1:25">
      <c r="A27">
        <v>31</v>
      </c>
      <c r="B27" s="63">
        <v>45137</v>
      </c>
      <c r="C27" t="s">
        <v>320</v>
      </c>
      <c r="D27" t="s">
        <v>329</v>
      </c>
      <c r="E27" t="s">
        <v>55</v>
      </c>
      <c r="F27" t="s">
        <v>309</v>
      </c>
      <c r="G27">
        <v>1</v>
      </c>
      <c r="H27" t="s">
        <v>310</v>
      </c>
      <c r="I27" t="s">
        <v>65</v>
      </c>
      <c r="J27">
        <f>IF(F27="Culex tarsalis",G27,0)</f>
        <v>0</v>
      </c>
      <c r="K27">
        <f>IF(F27="Culex pipiens",G27,0)</f>
        <v>1</v>
      </c>
    </row>
    <row r="28" spans="1:25">
      <c r="A28">
        <v>31</v>
      </c>
      <c r="B28" s="63">
        <v>45137</v>
      </c>
      <c r="C28" t="s">
        <v>320</v>
      </c>
      <c r="D28" t="s">
        <v>330</v>
      </c>
      <c r="E28" t="s">
        <v>55</v>
      </c>
      <c r="F28" t="s">
        <v>309</v>
      </c>
      <c r="G28">
        <v>1</v>
      </c>
      <c r="H28" t="s">
        <v>310</v>
      </c>
      <c r="I28" t="s">
        <v>98</v>
      </c>
      <c r="J28">
        <f>IF(F28="Culex tarsalis",G28,0)</f>
        <v>0</v>
      </c>
      <c r="K28">
        <f>IF(F28="Culex pipiens",G28,0)</f>
        <v>1</v>
      </c>
    </row>
    <row r="29" spans="1:25">
      <c r="A29">
        <v>31</v>
      </c>
      <c r="B29" s="63">
        <v>45137</v>
      </c>
      <c r="C29" t="s">
        <v>320</v>
      </c>
      <c r="D29" t="s">
        <v>330</v>
      </c>
      <c r="E29" t="s">
        <v>55</v>
      </c>
      <c r="F29" t="s">
        <v>312</v>
      </c>
      <c r="G29">
        <v>14</v>
      </c>
      <c r="H29" t="s">
        <v>310</v>
      </c>
      <c r="I29" t="s">
        <v>98</v>
      </c>
      <c r="J29">
        <f>IF(F29="Culex tarsalis",G29,0)</f>
        <v>14</v>
      </c>
      <c r="K29">
        <f>IF(F29="Culex pipiens",G29,0)</f>
        <v>0</v>
      </c>
    </row>
    <row r="30" spans="1:25">
      <c r="A30">
        <v>31</v>
      </c>
      <c r="B30" s="63">
        <v>45137</v>
      </c>
      <c r="C30" t="s">
        <v>320</v>
      </c>
      <c r="D30" t="s">
        <v>331</v>
      </c>
      <c r="E30" t="s">
        <v>55</v>
      </c>
      <c r="F30" t="s">
        <v>312</v>
      </c>
      <c r="G30">
        <v>181</v>
      </c>
      <c r="H30" t="s">
        <v>310</v>
      </c>
      <c r="I30" t="s">
        <v>54</v>
      </c>
      <c r="J30">
        <f>IF(F30="Culex tarsalis",G30,0)</f>
        <v>181</v>
      </c>
      <c r="K30">
        <f>IF(F30="Culex pipiens",G30,0)</f>
        <v>0</v>
      </c>
    </row>
    <row r="31" spans="1:25">
      <c r="A31">
        <v>31</v>
      </c>
      <c r="B31" s="63">
        <v>45137</v>
      </c>
      <c r="C31" t="s">
        <v>320</v>
      </c>
      <c r="D31" t="s">
        <v>331</v>
      </c>
      <c r="E31" t="s">
        <v>55</v>
      </c>
      <c r="F31" t="s">
        <v>309</v>
      </c>
      <c r="G31">
        <v>45</v>
      </c>
      <c r="H31" t="s">
        <v>310</v>
      </c>
      <c r="I31" t="s">
        <v>54</v>
      </c>
      <c r="J31">
        <f>IF(F31="Culex tarsalis",G31,0)</f>
        <v>0</v>
      </c>
      <c r="K31">
        <f>IF(F31="Culex pipiens",G31,0)</f>
        <v>45</v>
      </c>
    </row>
    <row r="32" spans="1:25">
      <c r="A32">
        <v>31</v>
      </c>
      <c r="B32" s="63">
        <v>45137</v>
      </c>
      <c r="C32" t="s">
        <v>320</v>
      </c>
      <c r="D32" t="s">
        <v>332</v>
      </c>
      <c r="E32" t="s">
        <v>55</v>
      </c>
      <c r="F32" t="s">
        <v>312</v>
      </c>
      <c r="G32">
        <v>62</v>
      </c>
      <c r="H32" t="s">
        <v>310</v>
      </c>
      <c r="I32" t="s">
        <v>73</v>
      </c>
      <c r="J32">
        <f>IF(F32="Culex tarsalis",G32,0)</f>
        <v>62</v>
      </c>
      <c r="K32">
        <f>IF(F32="Culex pipiens",G32,0)</f>
        <v>0</v>
      </c>
    </row>
    <row r="33" spans="1:11">
      <c r="A33">
        <v>31</v>
      </c>
      <c r="B33" s="63">
        <v>45137</v>
      </c>
      <c r="C33" t="s">
        <v>320</v>
      </c>
      <c r="D33" t="s">
        <v>332</v>
      </c>
      <c r="E33" t="s">
        <v>55</v>
      </c>
      <c r="F33" t="s">
        <v>309</v>
      </c>
      <c r="G33">
        <v>2</v>
      </c>
      <c r="H33" t="s">
        <v>310</v>
      </c>
      <c r="I33" t="s">
        <v>73</v>
      </c>
      <c r="J33">
        <f>IF(F33="Culex tarsalis",G33,0)</f>
        <v>0</v>
      </c>
      <c r="K33">
        <f>IF(F33="Culex pipiens",G33,0)</f>
        <v>2</v>
      </c>
    </row>
    <row r="34" spans="1:11">
      <c r="A34">
        <v>31</v>
      </c>
      <c r="B34" s="63">
        <v>45137</v>
      </c>
      <c r="C34" t="s">
        <v>320</v>
      </c>
      <c r="D34" t="s">
        <v>333</v>
      </c>
      <c r="E34" t="s">
        <v>55</v>
      </c>
      <c r="F34" t="s">
        <v>309</v>
      </c>
      <c r="G34">
        <v>20</v>
      </c>
      <c r="H34" t="s">
        <v>310</v>
      </c>
      <c r="I34" t="s">
        <v>77</v>
      </c>
      <c r="J34">
        <f>IF(F34="Culex tarsalis",G34,0)</f>
        <v>0</v>
      </c>
      <c r="K34">
        <f>IF(F34="Culex pipiens",G34,0)</f>
        <v>20</v>
      </c>
    </row>
    <row r="35" spans="1:11">
      <c r="A35">
        <v>31</v>
      </c>
      <c r="B35" s="63">
        <v>45137</v>
      </c>
      <c r="C35" t="s">
        <v>320</v>
      </c>
      <c r="D35" t="s">
        <v>333</v>
      </c>
      <c r="E35" t="s">
        <v>55</v>
      </c>
      <c r="F35" t="s">
        <v>312</v>
      </c>
      <c r="G35">
        <v>79</v>
      </c>
      <c r="H35" t="s">
        <v>310</v>
      </c>
      <c r="I35" t="s">
        <v>77</v>
      </c>
      <c r="J35">
        <f>IF(F35="Culex tarsalis",G35,0)</f>
        <v>79</v>
      </c>
      <c r="K35">
        <f>IF(F35="Culex pipiens",G35,0)</f>
        <v>0</v>
      </c>
    </row>
    <row r="36" spans="1:11">
      <c r="A36">
        <v>31</v>
      </c>
      <c r="B36" s="63">
        <v>45138</v>
      </c>
      <c r="C36" t="s">
        <v>320</v>
      </c>
      <c r="D36" t="s">
        <v>334</v>
      </c>
      <c r="E36" t="s">
        <v>146</v>
      </c>
      <c r="F36" t="s">
        <v>312</v>
      </c>
      <c r="G36">
        <v>2</v>
      </c>
      <c r="H36" t="s">
        <v>310</v>
      </c>
      <c r="I36" t="s">
        <v>145</v>
      </c>
      <c r="J36">
        <f>IF(F36="Culex tarsalis",G36,0)</f>
        <v>2</v>
      </c>
      <c r="K36">
        <f>IF(F36="Culex pipiens",G36,0)</f>
        <v>0</v>
      </c>
    </row>
    <row r="37" spans="1:11">
      <c r="A37">
        <v>31</v>
      </c>
      <c r="B37" s="63">
        <v>45138</v>
      </c>
      <c r="C37" t="s">
        <v>320</v>
      </c>
      <c r="D37" t="s">
        <v>335</v>
      </c>
      <c r="E37" t="s">
        <v>146</v>
      </c>
      <c r="F37" t="s">
        <v>309</v>
      </c>
      <c r="G37">
        <v>11</v>
      </c>
      <c r="H37" t="s">
        <v>310</v>
      </c>
      <c r="I37" t="s">
        <v>160</v>
      </c>
      <c r="J37">
        <f>IF(F37="Culex tarsalis",G37,0)</f>
        <v>0</v>
      </c>
      <c r="K37">
        <f>IF(F37="Culex pipiens",G37,0)</f>
        <v>11</v>
      </c>
    </row>
    <row r="38" spans="1:11">
      <c r="A38">
        <v>31</v>
      </c>
      <c r="B38" s="63">
        <v>45138</v>
      </c>
      <c r="C38" t="s">
        <v>320</v>
      </c>
      <c r="D38" t="s">
        <v>335</v>
      </c>
      <c r="E38" t="s">
        <v>146</v>
      </c>
      <c r="F38" t="s">
        <v>312</v>
      </c>
      <c r="G38">
        <v>26</v>
      </c>
      <c r="H38" t="s">
        <v>310</v>
      </c>
      <c r="I38" t="s">
        <v>160</v>
      </c>
      <c r="J38">
        <f>IF(F38="Culex tarsalis",G38,0)</f>
        <v>26</v>
      </c>
      <c r="K38">
        <f>IF(F38="Culex pipiens",G38,0)</f>
        <v>0</v>
      </c>
    </row>
    <row r="39" spans="1:11">
      <c r="A39">
        <v>31</v>
      </c>
      <c r="B39" s="63">
        <v>45138</v>
      </c>
      <c r="C39" t="s">
        <v>320</v>
      </c>
      <c r="D39" t="s">
        <v>336</v>
      </c>
      <c r="E39" t="s">
        <v>146</v>
      </c>
      <c r="F39" t="s">
        <v>312</v>
      </c>
      <c r="G39">
        <v>20</v>
      </c>
      <c r="H39" t="s">
        <v>310</v>
      </c>
      <c r="I39" t="s">
        <v>153</v>
      </c>
      <c r="J39">
        <f>IF(F39="Culex tarsalis",G39,0)</f>
        <v>20</v>
      </c>
      <c r="K39">
        <f>IF(F39="Culex pipiens",G39,0)</f>
        <v>0</v>
      </c>
    </row>
    <row r="40" spans="1:11">
      <c r="A40">
        <v>31</v>
      </c>
      <c r="B40" s="63">
        <v>45138</v>
      </c>
      <c r="C40" t="s">
        <v>320</v>
      </c>
      <c r="D40" t="s">
        <v>336</v>
      </c>
      <c r="E40" t="s">
        <v>146</v>
      </c>
      <c r="F40" t="s">
        <v>309</v>
      </c>
      <c r="G40">
        <v>6</v>
      </c>
      <c r="H40" t="s">
        <v>310</v>
      </c>
      <c r="I40" t="s">
        <v>153</v>
      </c>
      <c r="J40">
        <f>IF(F40="Culex tarsalis",G40,0)</f>
        <v>0</v>
      </c>
      <c r="K40">
        <f>IF(F40="Culex pipiens",G40,0)</f>
        <v>6</v>
      </c>
    </row>
    <row r="41" spans="1:11">
      <c r="A41">
        <v>31</v>
      </c>
      <c r="B41" s="63">
        <v>45138</v>
      </c>
      <c r="C41" t="s">
        <v>320</v>
      </c>
      <c r="D41" t="s">
        <v>337</v>
      </c>
      <c r="E41" t="s">
        <v>146</v>
      </c>
      <c r="F41" t="s">
        <v>312</v>
      </c>
      <c r="G41">
        <v>6</v>
      </c>
      <c r="H41" t="s">
        <v>310</v>
      </c>
      <c r="I41" t="s">
        <v>173</v>
      </c>
      <c r="J41">
        <f>IF(F41="Culex tarsalis",G41,0)</f>
        <v>6</v>
      </c>
      <c r="K41">
        <f>IF(F41="Culex pipiens",G41,0)</f>
        <v>0</v>
      </c>
    </row>
    <row r="42" spans="1:11">
      <c r="A42">
        <v>31</v>
      </c>
      <c r="B42" s="63">
        <v>45138</v>
      </c>
      <c r="C42" t="s">
        <v>320</v>
      </c>
      <c r="D42" t="s">
        <v>338</v>
      </c>
      <c r="E42" t="s">
        <v>164</v>
      </c>
      <c r="F42" t="s">
        <v>309</v>
      </c>
      <c r="G42">
        <v>6</v>
      </c>
      <c r="H42" t="s">
        <v>310</v>
      </c>
      <c r="I42" t="s">
        <v>339</v>
      </c>
      <c r="J42">
        <f>IF(F42="Culex tarsalis",G42,0)</f>
        <v>0</v>
      </c>
      <c r="K42">
        <f>IF(F42="Culex pipiens",G42,0)</f>
        <v>6</v>
      </c>
    </row>
    <row r="43" spans="1:11">
      <c r="A43">
        <v>31</v>
      </c>
      <c r="B43" s="63">
        <v>45138</v>
      </c>
      <c r="C43" t="s">
        <v>320</v>
      </c>
      <c r="D43" t="s">
        <v>338</v>
      </c>
      <c r="E43" t="s">
        <v>164</v>
      </c>
      <c r="F43" t="s">
        <v>312</v>
      </c>
      <c r="G43">
        <v>20</v>
      </c>
      <c r="H43" t="s">
        <v>310</v>
      </c>
      <c r="I43" t="s">
        <v>339</v>
      </c>
      <c r="J43">
        <f>IF(F43="Culex tarsalis",G43,0)</f>
        <v>20</v>
      </c>
      <c r="K43">
        <f>IF(F43="Culex pipiens",G43,0)</f>
        <v>0</v>
      </c>
    </row>
    <row r="44" spans="1:11">
      <c r="A44">
        <v>31</v>
      </c>
      <c r="B44" s="63">
        <v>45138</v>
      </c>
      <c r="C44" t="s">
        <v>320</v>
      </c>
      <c r="D44" t="s">
        <v>340</v>
      </c>
      <c r="E44" t="s">
        <v>146</v>
      </c>
      <c r="F44" t="s">
        <v>312</v>
      </c>
      <c r="G44">
        <v>24</v>
      </c>
      <c r="H44" t="s">
        <v>310</v>
      </c>
      <c r="I44" t="s">
        <v>175</v>
      </c>
      <c r="J44">
        <f>IF(F44="Culex tarsalis",G44,0)</f>
        <v>24</v>
      </c>
      <c r="K44">
        <f>IF(F44="Culex pipiens",G44,0)</f>
        <v>0</v>
      </c>
    </row>
    <row r="45" spans="1:11">
      <c r="A45">
        <v>31</v>
      </c>
      <c r="B45" s="63">
        <v>45138</v>
      </c>
      <c r="C45" t="s">
        <v>320</v>
      </c>
      <c r="D45" t="s">
        <v>341</v>
      </c>
      <c r="E45" t="s">
        <v>146</v>
      </c>
      <c r="F45" t="s">
        <v>309</v>
      </c>
      <c r="G45">
        <v>8</v>
      </c>
      <c r="H45" t="s">
        <v>310</v>
      </c>
      <c r="I45" t="s">
        <v>177</v>
      </c>
      <c r="J45">
        <f>IF(F45="Culex tarsalis",G45,0)</f>
        <v>0</v>
      </c>
      <c r="K45">
        <f>IF(F45="Culex pipiens",G45,0)</f>
        <v>8</v>
      </c>
    </row>
    <row r="46" spans="1:11">
      <c r="A46">
        <v>31</v>
      </c>
      <c r="B46" s="63">
        <v>45138</v>
      </c>
      <c r="C46" t="s">
        <v>320</v>
      </c>
      <c r="D46" t="s">
        <v>341</v>
      </c>
      <c r="E46" t="s">
        <v>146</v>
      </c>
      <c r="F46" t="s">
        <v>312</v>
      </c>
      <c r="G46">
        <v>22</v>
      </c>
      <c r="H46" t="s">
        <v>310</v>
      </c>
      <c r="I46" t="s">
        <v>177</v>
      </c>
      <c r="J46">
        <f>IF(F46="Culex tarsalis",G46,0)</f>
        <v>22</v>
      </c>
      <c r="K46">
        <f>IF(F46="Culex pipiens",G46,0)</f>
        <v>0</v>
      </c>
    </row>
    <row r="47" spans="1:11">
      <c r="A47">
        <v>31</v>
      </c>
      <c r="B47" s="63">
        <v>45138</v>
      </c>
      <c r="C47" t="s">
        <v>320</v>
      </c>
      <c r="D47" t="s">
        <v>342</v>
      </c>
      <c r="E47" t="s">
        <v>146</v>
      </c>
      <c r="F47" t="s">
        <v>309</v>
      </c>
      <c r="G47">
        <v>65</v>
      </c>
      <c r="H47" t="s">
        <v>310</v>
      </c>
      <c r="I47" t="s">
        <v>180</v>
      </c>
      <c r="J47">
        <f>IF(F47="Culex tarsalis",G47,0)</f>
        <v>0</v>
      </c>
      <c r="K47">
        <f>IF(F47="Culex pipiens",G47,0)</f>
        <v>65</v>
      </c>
    </row>
    <row r="48" spans="1:11">
      <c r="A48">
        <v>31</v>
      </c>
      <c r="B48" s="63">
        <v>45138</v>
      </c>
      <c r="C48" t="s">
        <v>320</v>
      </c>
      <c r="D48" t="s">
        <v>342</v>
      </c>
      <c r="E48" t="s">
        <v>146</v>
      </c>
      <c r="F48" t="s">
        <v>312</v>
      </c>
      <c r="G48">
        <v>51</v>
      </c>
      <c r="H48" t="s">
        <v>310</v>
      </c>
      <c r="I48" t="s">
        <v>180</v>
      </c>
      <c r="J48">
        <f>IF(F48="Culex tarsalis",G48,0)</f>
        <v>51</v>
      </c>
      <c r="K48">
        <f>IF(F48="Culex pipiens",G48,0)</f>
        <v>0</v>
      </c>
    </row>
    <row r="49" spans="1:11">
      <c r="A49">
        <v>31</v>
      </c>
      <c r="B49" s="63">
        <v>45138</v>
      </c>
      <c r="C49" t="s">
        <v>320</v>
      </c>
      <c r="D49" t="s">
        <v>343</v>
      </c>
      <c r="E49" t="s">
        <v>146</v>
      </c>
      <c r="F49" t="s">
        <v>312</v>
      </c>
      <c r="G49">
        <v>12</v>
      </c>
      <c r="H49" t="s">
        <v>310</v>
      </c>
      <c r="I49" t="s">
        <v>157</v>
      </c>
      <c r="J49">
        <f>IF(F49="Culex tarsalis",G49,0)</f>
        <v>12</v>
      </c>
      <c r="K49">
        <f>IF(F49="Culex pipiens",G49,0)</f>
        <v>0</v>
      </c>
    </row>
    <row r="50" spans="1:11">
      <c r="A50">
        <v>31</v>
      </c>
      <c r="B50" s="63">
        <v>45138</v>
      </c>
      <c r="C50" t="s">
        <v>320</v>
      </c>
      <c r="D50" t="s">
        <v>343</v>
      </c>
      <c r="E50" t="s">
        <v>146</v>
      </c>
      <c r="F50" t="s">
        <v>309</v>
      </c>
      <c r="G50">
        <v>1</v>
      </c>
      <c r="H50" t="s">
        <v>310</v>
      </c>
      <c r="I50" t="s">
        <v>157</v>
      </c>
      <c r="J50">
        <f>IF(F50="Culex tarsalis",G50,0)</f>
        <v>0</v>
      </c>
      <c r="K50">
        <f>IF(F50="Culex pipiens",G50,0)</f>
        <v>1</v>
      </c>
    </row>
    <row r="51" spans="1:11">
      <c r="A51">
        <v>31</v>
      </c>
      <c r="B51" s="63">
        <v>45138</v>
      </c>
      <c r="C51" t="s">
        <v>320</v>
      </c>
      <c r="D51" t="s">
        <v>344</v>
      </c>
      <c r="E51" t="s">
        <v>146</v>
      </c>
      <c r="F51" t="s">
        <v>312</v>
      </c>
      <c r="G51">
        <v>14</v>
      </c>
      <c r="H51" t="s">
        <v>310</v>
      </c>
      <c r="I51" t="s">
        <v>171</v>
      </c>
      <c r="J51">
        <f>IF(F51="Culex tarsalis",G51,0)</f>
        <v>14</v>
      </c>
      <c r="K51">
        <f>IF(F51="Culex pipiens",G51,0)</f>
        <v>0</v>
      </c>
    </row>
    <row r="52" spans="1:11">
      <c r="A52">
        <v>31</v>
      </c>
      <c r="B52" s="63">
        <v>45138</v>
      </c>
      <c r="C52" t="s">
        <v>320</v>
      </c>
      <c r="D52" t="s">
        <v>345</v>
      </c>
      <c r="E52" t="s">
        <v>146</v>
      </c>
      <c r="F52" t="s">
        <v>312</v>
      </c>
      <c r="G52">
        <v>2</v>
      </c>
      <c r="H52" t="s">
        <v>310</v>
      </c>
      <c r="I52" t="s">
        <v>151</v>
      </c>
      <c r="J52">
        <f>IF(F52="Culex tarsalis",G52,0)</f>
        <v>2</v>
      </c>
      <c r="K52">
        <f>IF(F52="Culex pipiens",G52,0)</f>
        <v>0</v>
      </c>
    </row>
    <row r="53" spans="1:11">
      <c r="A53">
        <v>31</v>
      </c>
      <c r="B53" s="63">
        <v>45139</v>
      </c>
      <c r="C53" t="s">
        <v>320</v>
      </c>
      <c r="D53" t="s">
        <v>346</v>
      </c>
      <c r="E53" t="s">
        <v>164</v>
      </c>
      <c r="F53" t="s">
        <v>309</v>
      </c>
      <c r="G53">
        <v>2</v>
      </c>
      <c r="H53" t="s">
        <v>310</v>
      </c>
      <c r="I53" t="s">
        <v>225</v>
      </c>
      <c r="J53">
        <f>IF(F53="Culex tarsalis",G53,0)</f>
        <v>0</v>
      </c>
      <c r="K53">
        <f>IF(F53="Culex pipiens",G53,0)</f>
        <v>2</v>
      </c>
    </row>
    <row r="54" spans="1:11">
      <c r="A54">
        <v>31</v>
      </c>
      <c r="B54" s="63">
        <v>45139</v>
      </c>
      <c r="C54" t="s">
        <v>320</v>
      </c>
      <c r="D54" t="s">
        <v>346</v>
      </c>
      <c r="E54" t="s">
        <v>164</v>
      </c>
      <c r="F54" t="s">
        <v>312</v>
      </c>
      <c r="G54">
        <v>11</v>
      </c>
      <c r="H54" t="s">
        <v>310</v>
      </c>
      <c r="I54" t="s">
        <v>225</v>
      </c>
      <c r="J54">
        <f>IF(F54="Culex tarsalis",G54,0)</f>
        <v>11</v>
      </c>
      <c r="K54">
        <f>IF(F54="Culex pipiens",G54,0)</f>
        <v>0</v>
      </c>
    </row>
    <row r="55" spans="1:11">
      <c r="A55">
        <v>31</v>
      </c>
      <c r="B55" s="63">
        <v>45139</v>
      </c>
      <c r="C55" t="s">
        <v>320</v>
      </c>
      <c r="D55" t="s">
        <v>347</v>
      </c>
      <c r="E55" t="s">
        <v>164</v>
      </c>
      <c r="F55" t="s">
        <v>312</v>
      </c>
      <c r="G55">
        <v>29</v>
      </c>
      <c r="H55" t="s">
        <v>310</v>
      </c>
      <c r="I55" t="s">
        <v>193</v>
      </c>
      <c r="J55">
        <f>IF(F55="Culex tarsalis",G55,0)</f>
        <v>29</v>
      </c>
      <c r="K55">
        <f>IF(F55="Culex pipiens",G55,0)</f>
        <v>0</v>
      </c>
    </row>
    <row r="56" spans="1:11">
      <c r="A56">
        <v>31</v>
      </c>
      <c r="B56" s="63">
        <v>45139</v>
      </c>
      <c r="C56" t="s">
        <v>320</v>
      </c>
      <c r="D56" t="s">
        <v>347</v>
      </c>
      <c r="E56" t="s">
        <v>164</v>
      </c>
      <c r="F56" t="s">
        <v>309</v>
      </c>
      <c r="G56">
        <v>2</v>
      </c>
      <c r="H56" t="s">
        <v>310</v>
      </c>
      <c r="I56" t="s">
        <v>193</v>
      </c>
      <c r="J56">
        <f>IF(F56="Culex tarsalis",G56,0)</f>
        <v>0</v>
      </c>
      <c r="K56">
        <f>IF(F56="Culex pipiens",G56,0)</f>
        <v>2</v>
      </c>
    </row>
    <row r="57" spans="1:11">
      <c r="A57">
        <v>31</v>
      </c>
      <c r="B57" s="63">
        <v>45139</v>
      </c>
      <c r="C57" t="s">
        <v>320</v>
      </c>
      <c r="D57" t="s">
        <v>348</v>
      </c>
      <c r="E57" t="s">
        <v>164</v>
      </c>
      <c r="F57" t="s">
        <v>312</v>
      </c>
      <c r="G57">
        <v>25</v>
      </c>
      <c r="H57" t="s">
        <v>310</v>
      </c>
      <c r="I57" t="s">
        <v>228</v>
      </c>
      <c r="J57">
        <f>IF(F57="Culex tarsalis",G57,0)</f>
        <v>25</v>
      </c>
      <c r="K57">
        <f>IF(F57="Culex pipiens",G57,0)</f>
        <v>0</v>
      </c>
    </row>
    <row r="58" spans="1:11">
      <c r="A58">
        <v>31</v>
      </c>
      <c r="B58" s="63">
        <v>45139</v>
      </c>
      <c r="C58" t="s">
        <v>320</v>
      </c>
      <c r="D58" t="s">
        <v>348</v>
      </c>
      <c r="E58" t="s">
        <v>164</v>
      </c>
      <c r="F58" t="s">
        <v>309</v>
      </c>
      <c r="G58">
        <v>7</v>
      </c>
      <c r="H58" t="s">
        <v>310</v>
      </c>
      <c r="I58" t="s">
        <v>228</v>
      </c>
      <c r="J58">
        <f>IF(F58="Culex tarsalis",G58,0)</f>
        <v>0</v>
      </c>
      <c r="K58">
        <f>IF(F58="Culex pipiens",G58,0)</f>
        <v>7</v>
      </c>
    </row>
    <row r="59" spans="1:11">
      <c r="A59">
        <v>31</v>
      </c>
      <c r="B59" s="63">
        <v>45139</v>
      </c>
      <c r="C59" t="s">
        <v>320</v>
      </c>
      <c r="D59" t="s">
        <v>349</v>
      </c>
      <c r="E59" t="s">
        <v>186</v>
      </c>
      <c r="F59" t="s">
        <v>312</v>
      </c>
      <c r="G59">
        <v>12</v>
      </c>
      <c r="H59" t="s">
        <v>310</v>
      </c>
      <c r="I59" t="s">
        <v>185</v>
      </c>
      <c r="J59">
        <f>IF(F59="Culex tarsalis",G59,0)</f>
        <v>12</v>
      </c>
      <c r="K59">
        <f>IF(F59="Culex pipiens",G59,0)</f>
        <v>0</v>
      </c>
    </row>
    <row r="60" spans="1:11">
      <c r="A60">
        <v>31</v>
      </c>
      <c r="B60" s="63">
        <v>45139</v>
      </c>
      <c r="C60" t="s">
        <v>320</v>
      </c>
      <c r="D60" t="s">
        <v>350</v>
      </c>
      <c r="E60" t="s">
        <v>164</v>
      </c>
      <c r="F60" t="s">
        <v>309</v>
      </c>
      <c r="G60">
        <v>4</v>
      </c>
      <c r="H60" t="s">
        <v>310</v>
      </c>
      <c r="I60" t="s">
        <v>240</v>
      </c>
      <c r="J60">
        <f>IF(F60="Culex tarsalis",G60,0)</f>
        <v>0</v>
      </c>
      <c r="K60">
        <f>IF(F60="Culex pipiens",G60,0)</f>
        <v>4</v>
      </c>
    </row>
    <row r="61" spans="1:11">
      <c r="A61">
        <v>31</v>
      </c>
      <c r="B61" s="63">
        <v>45139</v>
      </c>
      <c r="C61" t="s">
        <v>320</v>
      </c>
      <c r="D61" t="s">
        <v>350</v>
      </c>
      <c r="E61" t="s">
        <v>164</v>
      </c>
      <c r="F61" t="s">
        <v>312</v>
      </c>
      <c r="G61">
        <v>17</v>
      </c>
      <c r="H61" t="s">
        <v>310</v>
      </c>
      <c r="I61" t="s">
        <v>240</v>
      </c>
      <c r="J61">
        <f>IF(F61="Culex tarsalis",G61,0)</f>
        <v>17</v>
      </c>
      <c r="K61">
        <f>IF(F61="Culex pipiens",G61,0)</f>
        <v>0</v>
      </c>
    </row>
    <row r="62" spans="1:11">
      <c r="A62">
        <v>31</v>
      </c>
      <c r="B62" s="63">
        <v>45139</v>
      </c>
      <c r="C62" t="s">
        <v>320</v>
      </c>
      <c r="D62" t="s">
        <v>351</v>
      </c>
      <c r="E62" t="s">
        <v>186</v>
      </c>
      <c r="F62" t="s">
        <v>309</v>
      </c>
      <c r="G62">
        <v>10</v>
      </c>
      <c r="H62" t="s">
        <v>310</v>
      </c>
      <c r="I62" t="s">
        <v>189</v>
      </c>
      <c r="J62">
        <f>IF(F62="Culex tarsalis",G62,0)</f>
        <v>0</v>
      </c>
      <c r="K62">
        <f>IF(F62="Culex pipiens",G62,0)</f>
        <v>10</v>
      </c>
    </row>
    <row r="63" spans="1:11">
      <c r="A63">
        <v>31</v>
      </c>
      <c r="B63" s="63">
        <v>45139</v>
      </c>
      <c r="C63" t="s">
        <v>320</v>
      </c>
      <c r="D63" t="s">
        <v>351</v>
      </c>
      <c r="E63" t="s">
        <v>186</v>
      </c>
      <c r="F63" t="s">
        <v>312</v>
      </c>
      <c r="G63">
        <v>12</v>
      </c>
      <c r="H63" t="s">
        <v>310</v>
      </c>
      <c r="I63" t="s">
        <v>189</v>
      </c>
      <c r="J63">
        <f>IF(F63="Culex tarsalis",G63,0)</f>
        <v>12</v>
      </c>
      <c r="K63">
        <f>IF(F63="Culex pipiens",G63,0)</f>
        <v>0</v>
      </c>
    </row>
    <row r="64" spans="1:11">
      <c r="A64">
        <v>31</v>
      </c>
      <c r="B64" s="63">
        <v>45139</v>
      </c>
      <c r="C64" t="s">
        <v>320</v>
      </c>
      <c r="D64" t="s">
        <v>352</v>
      </c>
      <c r="E64" t="s">
        <v>164</v>
      </c>
      <c r="F64" t="s">
        <v>309</v>
      </c>
      <c r="G64">
        <v>2</v>
      </c>
      <c r="H64" t="s">
        <v>310</v>
      </c>
      <c r="I64" t="s">
        <v>196</v>
      </c>
      <c r="J64">
        <f>IF(F64="Culex tarsalis",G64,0)</f>
        <v>0</v>
      </c>
      <c r="K64">
        <f>IF(F64="Culex pipiens",G64,0)</f>
        <v>2</v>
      </c>
    </row>
    <row r="65" spans="1:11">
      <c r="A65">
        <v>31</v>
      </c>
      <c r="B65" s="63">
        <v>45139</v>
      </c>
      <c r="C65" t="s">
        <v>320</v>
      </c>
      <c r="D65" t="s">
        <v>352</v>
      </c>
      <c r="E65" t="s">
        <v>164</v>
      </c>
      <c r="F65" t="s">
        <v>312</v>
      </c>
      <c r="G65">
        <v>15</v>
      </c>
      <c r="H65" t="s">
        <v>310</v>
      </c>
      <c r="I65" t="s">
        <v>196</v>
      </c>
      <c r="J65">
        <f>IF(F65="Culex tarsalis",G65,0)</f>
        <v>15</v>
      </c>
      <c r="K65">
        <f>IF(F65="Culex pipiens",G65,0)</f>
        <v>0</v>
      </c>
    </row>
    <row r="66" spans="1:11">
      <c r="A66">
        <v>31</v>
      </c>
      <c r="B66" s="63">
        <v>45139</v>
      </c>
      <c r="C66" t="s">
        <v>320</v>
      </c>
      <c r="D66" t="s">
        <v>353</v>
      </c>
      <c r="E66" t="s">
        <v>164</v>
      </c>
      <c r="F66" t="s">
        <v>309</v>
      </c>
      <c r="G66">
        <v>9</v>
      </c>
      <c r="H66" t="s">
        <v>310</v>
      </c>
      <c r="I66" t="s">
        <v>236</v>
      </c>
      <c r="J66">
        <f>IF(F66="Culex tarsalis",G66,0)</f>
        <v>0</v>
      </c>
      <c r="K66">
        <f>IF(F66="Culex pipiens",G66,0)</f>
        <v>9</v>
      </c>
    </row>
    <row r="67" spans="1:11">
      <c r="A67">
        <v>31</v>
      </c>
      <c r="B67" s="63">
        <v>45139</v>
      </c>
      <c r="C67" t="s">
        <v>320</v>
      </c>
      <c r="D67" t="s">
        <v>353</v>
      </c>
      <c r="E67" t="s">
        <v>164</v>
      </c>
      <c r="F67" t="s">
        <v>312</v>
      </c>
      <c r="G67">
        <v>74</v>
      </c>
      <c r="H67" t="s">
        <v>310</v>
      </c>
      <c r="I67" t="s">
        <v>236</v>
      </c>
      <c r="J67">
        <f>IF(F67="Culex tarsalis",G67,0)</f>
        <v>74</v>
      </c>
      <c r="K67">
        <f>IF(F67="Culex pipiens",G67,0)</f>
        <v>0</v>
      </c>
    </row>
    <row r="68" spans="1:11">
      <c r="A68">
        <v>31</v>
      </c>
      <c r="B68" s="63">
        <v>45139</v>
      </c>
      <c r="C68" t="s">
        <v>320</v>
      </c>
      <c r="D68" t="s">
        <v>354</v>
      </c>
      <c r="E68" t="s">
        <v>164</v>
      </c>
      <c r="F68" t="s">
        <v>309</v>
      </c>
      <c r="G68">
        <v>1</v>
      </c>
      <c r="H68" t="s">
        <v>310</v>
      </c>
      <c r="I68" t="s">
        <v>233</v>
      </c>
      <c r="J68">
        <f>IF(F68="Culex tarsalis",G68,0)</f>
        <v>0</v>
      </c>
      <c r="K68">
        <f>IF(F68="Culex pipiens",G68,0)</f>
        <v>1</v>
      </c>
    </row>
    <row r="69" spans="1:11">
      <c r="A69">
        <v>31</v>
      </c>
      <c r="B69" s="63">
        <v>45139</v>
      </c>
      <c r="C69" t="s">
        <v>320</v>
      </c>
      <c r="D69" t="s">
        <v>354</v>
      </c>
      <c r="E69" t="s">
        <v>164</v>
      </c>
      <c r="F69" t="s">
        <v>312</v>
      </c>
      <c r="G69">
        <v>45</v>
      </c>
      <c r="H69" t="s">
        <v>310</v>
      </c>
      <c r="I69" t="s">
        <v>233</v>
      </c>
      <c r="J69">
        <f>IF(F69="Culex tarsalis",G69,0)</f>
        <v>45</v>
      </c>
      <c r="K69">
        <f>IF(F69="Culex pipiens",G69,0)</f>
        <v>0</v>
      </c>
    </row>
    <row r="70" spans="1:11">
      <c r="A70">
        <v>31</v>
      </c>
      <c r="B70" s="63">
        <v>45140</v>
      </c>
      <c r="C70" t="s">
        <v>320</v>
      </c>
      <c r="D70" t="s">
        <v>355</v>
      </c>
      <c r="E70" t="s">
        <v>186</v>
      </c>
      <c r="F70" t="s">
        <v>312</v>
      </c>
      <c r="G70">
        <v>32</v>
      </c>
      <c r="H70" t="s">
        <v>310</v>
      </c>
      <c r="I70" t="s">
        <v>243</v>
      </c>
      <c r="J70">
        <f>IF(F70="Culex tarsalis",G70,0)</f>
        <v>32</v>
      </c>
      <c r="K70">
        <f>IF(F70="Culex pipiens",G70,0)</f>
        <v>0</v>
      </c>
    </row>
    <row r="71" spans="1:11">
      <c r="A71">
        <v>31</v>
      </c>
      <c r="B71" s="63">
        <v>45140</v>
      </c>
      <c r="C71" t="s">
        <v>320</v>
      </c>
      <c r="D71" t="s">
        <v>355</v>
      </c>
      <c r="E71" t="s">
        <v>186</v>
      </c>
      <c r="F71" t="s">
        <v>309</v>
      </c>
      <c r="G71">
        <v>3</v>
      </c>
      <c r="H71" t="s">
        <v>310</v>
      </c>
      <c r="I71" t="s">
        <v>243</v>
      </c>
      <c r="J71">
        <f>IF(F71="Culex tarsalis",G71,0)</f>
        <v>0</v>
      </c>
      <c r="K71">
        <f>IF(F71="Culex pipiens",G71,0)</f>
        <v>3</v>
      </c>
    </row>
    <row r="72" spans="1:11">
      <c r="A72">
        <v>31</v>
      </c>
      <c r="B72" s="63">
        <v>45140</v>
      </c>
      <c r="C72" t="s">
        <v>320</v>
      </c>
      <c r="D72" t="s">
        <v>356</v>
      </c>
      <c r="E72" t="s">
        <v>55</v>
      </c>
      <c r="F72" t="s">
        <v>309</v>
      </c>
      <c r="G72">
        <v>8</v>
      </c>
      <c r="H72" t="s">
        <v>310</v>
      </c>
      <c r="I72" t="s">
        <v>246</v>
      </c>
      <c r="J72">
        <f>IF(F72="Culex tarsalis",G72,0)</f>
        <v>0</v>
      </c>
      <c r="K72">
        <f>IF(F72="Culex pipiens",G72,0)</f>
        <v>8</v>
      </c>
    </row>
    <row r="73" spans="1:11">
      <c r="A73">
        <v>31</v>
      </c>
      <c r="B73" s="63">
        <v>45140</v>
      </c>
      <c r="C73" t="s">
        <v>320</v>
      </c>
      <c r="D73" t="s">
        <v>356</v>
      </c>
      <c r="E73" t="s">
        <v>55</v>
      </c>
      <c r="F73" t="s">
        <v>312</v>
      </c>
      <c r="G73">
        <v>83</v>
      </c>
      <c r="H73" t="s">
        <v>310</v>
      </c>
      <c r="I73" t="s">
        <v>246</v>
      </c>
      <c r="J73">
        <f>IF(F73="Culex tarsalis",G73,0)</f>
        <v>83</v>
      </c>
      <c r="K73">
        <f>IF(F73="Culex pipiens",G73,0)</f>
        <v>0</v>
      </c>
    </row>
    <row r="74" spans="1:11">
      <c r="A74">
        <v>31</v>
      </c>
      <c r="B74" s="63">
        <v>45140</v>
      </c>
      <c r="C74" t="s">
        <v>320</v>
      </c>
      <c r="D74" t="s">
        <v>357</v>
      </c>
      <c r="E74" t="s">
        <v>186</v>
      </c>
      <c r="F74" t="s">
        <v>312</v>
      </c>
      <c r="G74">
        <v>5</v>
      </c>
      <c r="H74" t="s">
        <v>310</v>
      </c>
      <c r="I74" t="s">
        <v>264</v>
      </c>
      <c r="J74">
        <f>IF(F74="Culex tarsalis",G74,0)</f>
        <v>5</v>
      </c>
      <c r="K74">
        <f>IF(F74="Culex pipiens",G74,0)</f>
        <v>0</v>
      </c>
    </row>
    <row r="75" spans="1:11">
      <c r="A75">
        <v>31</v>
      </c>
      <c r="B75" s="63">
        <v>45140</v>
      </c>
      <c r="C75" t="s">
        <v>320</v>
      </c>
      <c r="D75" t="s">
        <v>357</v>
      </c>
      <c r="E75" t="s">
        <v>186</v>
      </c>
      <c r="F75" t="s">
        <v>309</v>
      </c>
      <c r="G75">
        <v>1</v>
      </c>
      <c r="H75" t="s">
        <v>310</v>
      </c>
      <c r="I75" t="s">
        <v>264</v>
      </c>
      <c r="J75">
        <f>IF(F75="Culex tarsalis",G75,0)</f>
        <v>0</v>
      </c>
      <c r="K75">
        <f>IF(F75="Culex pipiens",G75,0)</f>
        <v>1</v>
      </c>
    </row>
    <row r="76" spans="1:11">
      <c r="A76">
        <v>31</v>
      </c>
      <c r="B76" s="63">
        <v>45140</v>
      </c>
      <c r="C76" t="s">
        <v>320</v>
      </c>
      <c r="D76" t="s">
        <v>358</v>
      </c>
      <c r="E76" t="s">
        <v>186</v>
      </c>
      <c r="F76" t="s">
        <v>309</v>
      </c>
      <c r="G76">
        <v>4</v>
      </c>
      <c r="H76" t="s">
        <v>310</v>
      </c>
      <c r="I76" t="s">
        <v>260</v>
      </c>
      <c r="J76">
        <f>IF(F76="Culex tarsalis",G76,0)</f>
        <v>0</v>
      </c>
      <c r="K76">
        <f>IF(F76="Culex pipiens",G76,0)</f>
        <v>4</v>
      </c>
    </row>
    <row r="77" spans="1:11">
      <c r="A77">
        <v>31</v>
      </c>
      <c r="B77" s="63">
        <v>45140</v>
      </c>
      <c r="C77" t="s">
        <v>320</v>
      </c>
      <c r="D77" t="s">
        <v>358</v>
      </c>
      <c r="E77" t="s">
        <v>186</v>
      </c>
      <c r="F77" t="s">
        <v>312</v>
      </c>
      <c r="G77">
        <v>68</v>
      </c>
      <c r="H77" t="s">
        <v>310</v>
      </c>
      <c r="I77" t="s">
        <v>260</v>
      </c>
      <c r="J77">
        <f>IF(F77="Culex tarsalis",G77,0)</f>
        <v>68</v>
      </c>
      <c r="K77">
        <f>IF(F77="Culex pipiens",G77,0)</f>
        <v>0</v>
      </c>
    </row>
    <row r="78" spans="1:11">
      <c r="A78">
        <v>31</v>
      </c>
      <c r="B78" s="63">
        <v>45140</v>
      </c>
      <c r="C78" t="s">
        <v>320</v>
      </c>
      <c r="D78" t="s">
        <v>359</v>
      </c>
      <c r="E78" t="s">
        <v>186</v>
      </c>
      <c r="F78" t="s">
        <v>312</v>
      </c>
      <c r="G78">
        <v>11</v>
      </c>
      <c r="H78" t="s">
        <v>310</v>
      </c>
      <c r="I78" t="s">
        <v>257</v>
      </c>
      <c r="J78">
        <f>IF(F78="Culex tarsalis",G78,0)</f>
        <v>11</v>
      </c>
      <c r="K78">
        <f>IF(F78="Culex pipiens",G78,0)</f>
        <v>0</v>
      </c>
    </row>
    <row r="79" spans="1:11">
      <c r="A79">
        <v>31</v>
      </c>
      <c r="B79" s="63">
        <v>45140</v>
      </c>
      <c r="C79" t="s">
        <v>320</v>
      </c>
      <c r="D79" t="s">
        <v>359</v>
      </c>
      <c r="E79" t="s">
        <v>186</v>
      </c>
      <c r="F79" t="s">
        <v>309</v>
      </c>
      <c r="G79">
        <v>6</v>
      </c>
      <c r="H79" t="s">
        <v>310</v>
      </c>
      <c r="I79" t="s">
        <v>257</v>
      </c>
      <c r="J79">
        <f>IF(F79="Culex tarsalis",G79,0)</f>
        <v>0</v>
      </c>
      <c r="K79">
        <f>IF(F79="Culex pipiens",G79,0)</f>
        <v>6</v>
      </c>
    </row>
    <row r="80" spans="1:11">
      <c r="A80">
        <v>31</v>
      </c>
      <c r="B80" s="63">
        <v>45140</v>
      </c>
      <c r="C80" t="s">
        <v>320</v>
      </c>
      <c r="D80" t="s">
        <v>360</v>
      </c>
      <c r="E80" t="s">
        <v>186</v>
      </c>
      <c r="F80" t="s">
        <v>309</v>
      </c>
      <c r="G80">
        <v>4</v>
      </c>
      <c r="H80" t="s">
        <v>310</v>
      </c>
      <c r="I80" t="s">
        <v>250</v>
      </c>
      <c r="J80">
        <f>IF(F80="Culex tarsalis",G80,0)</f>
        <v>0</v>
      </c>
      <c r="K80">
        <f>IF(F80="Culex pipiens",G80,0)</f>
        <v>4</v>
      </c>
    </row>
    <row r="81" spans="1:11">
      <c r="A81">
        <v>31</v>
      </c>
      <c r="B81" s="63">
        <v>45140</v>
      </c>
      <c r="C81" t="s">
        <v>320</v>
      </c>
      <c r="D81" t="s">
        <v>360</v>
      </c>
      <c r="E81" t="s">
        <v>186</v>
      </c>
      <c r="F81" t="s">
        <v>312</v>
      </c>
      <c r="G81">
        <v>19</v>
      </c>
      <c r="H81" t="s">
        <v>310</v>
      </c>
      <c r="I81" t="s">
        <v>250</v>
      </c>
      <c r="J81">
        <f>IF(F81="Culex tarsalis",G81,0)</f>
        <v>19</v>
      </c>
      <c r="K81">
        <f>IF(F81="Culex pipiens",G81,0)</f>
        <v>0</v>
      </c>
    </row>
    <row r="82" spans="1:11">
      <c r="A82">
        <v>31</v>
      </c>
      <c r="B82" s="63">
        <v>45140</v>
      </c>
      <c r="C82" t="s">
        <v>320</v>
      </c>
      <c r="D82" t="s">
        <v>361</v>
      </c>
      <c r="E82" t="s">
        <v>186</v>
      </c>
      <c r="F82" t="s">
        <v>312</v>
      </c>
      <c r="G82">
        <v>18</v>
      </c>
      <c r="H82" t="s">
        <v>310</v>
      </c>
      <c r="I82" t="s">
        <v>267</v>
      </c>
      <c r="J82">
        <f>IF(F82="Culex tarsalis",G82,0)</f>
        <v>18</v>
      </c>
      <c r="K82">
        <f>IF(F82="Culex pipiens",G82,0)</f>
        <v>0</v>
      </c>
    </row>
    <row r="83" spans="1:11">
      <c r="A83">
        <v>31</v>
      </c>
      <c r="B83" s="63">
        <v>45140</v>
      </c>
      <c r="C83" t="s">
        <v>320</v>
      </c>
      <c r="D83" t="s">
        <v>361</v>
      </c>
      <c r="E83" t="s">
        <v>186</v>
      </c>
      <c r="F83" t="s">
        <v>309</v>
      </c>
      <c r="G83">
        <v>4</v>
      </c>
      <c r="H83" t="s">
        <v>310</v>
      </c>
      <c r="I83" t="s">
        <v>267</v>
      </c>
      <c r="J83">
        <f>IF(F83="Culex tarsalis",G83,0)</f>
        <v>0</v>
      </c>
      <c r="K83">
        <f>IF(F83="Culex pipiens",G83,0)</f>
        <v>4</v>
      </c>
    </row>
    <row r="84" spans="1:11">
      <c r="A84">
        <v>31</v>
      </c>
      <c r="B84" s="63">
        <v>45140</v>
      </c>
      <c r="C84" t="s">
        <v>320</v>
      </c>
      <c r="D84" t="s">
        <v>362</v>
      </c>
      <c r="E84" t="s">
        <v>186</v>
      </c>
      <c r="F84" t="s">
        <v>312</v>
      </c>
      <c r="G84">
        <v>5</v>
      </c>
      <c r="H84" t="s">
        <v>310</v>
      </c>
      <c r="I84" t="s">
        <v>253</v>
      </c>
      <c r="J84">
        <f>IF(F84="Culex tarsalis",G84,0)</f>
        <v>5</v>
      </c>
      <c r="K84">
        <f>IF(F84="Culex pipiens",G84,0)</f>
        <v>0</v>
      </c>
    </row>
    <row r="85" spans="1:11">
      <c r="A85">
        <v>31</v>
      </c>
      <c r="B85" s="63">
        <v>45137</v>
      </c>
      <c r="C85" t="s">
        <v>363</v>
      </c>
      <c r="D85" t="s">
        <v>364</v>
      </c>
      <c r="E85" t="s">
        <v>33</v>
      </c>
      <c r="F85" t="s">
        <v>312</v>
      </c>
      <c r="G85">
        <v>576</v>
      </c>
      <c r="H85" t="s">
        <v>310</v>
      </c>
      <c r="I85" t="s">
        <v>365</v>
      </c>
      <c r="J85">
        <f>IF(F85="Culex tarsalis",G85,0)</f>
        <v>576</v>
      </c>
      <c r="K85">
        <f>IF(F85="Culex pipiens",G85,0)</f>
        <v>0</v>
      </c>
    </row>
    <row r="86" spans="1:11">
      <c r="A86">
        <v>31</v>
      </c>
      <c r="B86" s="63">
        <v>45137</v>
      </c>
      <c r="C86" t="s">
        <v>363</v>
      </c>
      <c r="D86" t="s">
        <v>364</v>
      </c>
      <c r="E86" t="s">
        <v>33</v>
      </c>
      <c r="F86" t="s">
        <v>309</v>
      </c>
      <c r="G86">
        <v>28</v>
      </c>
      <c r="H86" t="s">
        <v>310</v>
      </c>
      <c r="I86" t="s">
        <v>365</v>
      </c>
      <c r="J86">
        <f>IF(F86="Culex tarsalis",G86,0)</f>
        <v>0</v>
      </c>
      <c r="K86">
        <f>IF(F86="Culex pipiens",G86,0)</f>
        <v>28</v>
      </c>
    </row>
    <row r="87" spans="1:11">
      <c r="A87">
        <v>31</v>
      </c>
      <c r="B87" s="63">
        <v>45137</v>
      </c>
      <c r="C87" t="s">
        <v>363</v>
      </c>
      <c r="D87" t="s">
        <v>366</v>
      </c>
      <c r="E87" t="s">
        <v>33</v>
      </c>
      <c r="F87" t="s">
        <v>312</v>
      </c>
      <c r="G87">
        <v>480</v>
      </c>
      <c r="H87" t="s">
        <v>310</v>
      </c>
      <c r="I87" t="s">
        <v>367</v>
      </c>
      <c r="J87">
        <f>IF(F87="Culex tarsalis",G87,0)</f>
        <v>480</v>
      </c>
      <c r="K87">
        <f>IF(F87="Culex pipiens",G87,0)</f>
        <v>0</v>
      </c>
    </row>
    <row r="88" spans="1:11">
      <c r="A88">
        <v>31</v>
      </c>
      <c r="B88" s="63">
        <v>45137</v>
      </c>
      <c r="C88" t="s">
        <v>363</v>
      </c>
      <c r="D88" t="s">
        <v>366</v>
      </c>
      <c r="E88" t="s">
        <v>33</v>
      </c>
      <c r="F88" t="s">
        <v>309</v>
      </c>
      <c r="G88">
        <v>16</v>
      </c>
      <c r="H88" t="s">
        <v>310</v>
      </c>
      <c r="I88" t="s">
        <v>367</v>
      </c>
      <c r="J88">
        <f>IF(F88="Culex tarsalis",G88,0)</f>
        <v>0</v>
      </c>
      <c r="K88">
        <f>IF(F88="Culex pipiens",G88,0)</f>
        <v>16</v>
      </c>
    </row>
    <row r="89" spans="1:11">
      <c r="A89">
        <v>31</v>
      </c>
      <c r="B89" s="63">
        <v>45137</v>
      </c>
      <c r="C89" t="s">
        <v>363</v>
      </c>
      <c r="D89" t="s">
        <v>368</v>
      </c>
      <c r="E89" t="s">
        <v>33</v>
      </c>
      <c r="F89" t="s">
        <v>312</v>
      </c>
      <c r="G89">
        <v>120</v>
      </c>
      <c r="H89" t="s">
        <v>310</v>
      </c>
      <c r="I89" t="s">
        <v>34</v>
      </c>
      <c r="J89">
        <f>IF(F89="Culex tarsalis",G89,0)</f>
        <v>120</v>
      </c>
      <c r="K89">
        <f>IF(F89="Culex pipiens",G89,0)</f>
        <v>0</v>
      </c>
    </row>
    <row r="90" spans="1:11">
      <c r="A90">
        <v>31</v>
      </c>
      <c r="B90" s="63">
        <v>45137</v>
      </c>
      <c r="C90" t="s">
        <v>363</v>
      </c>
      <c r="D90" t="s">
        <v>369</v>
      </c>
      <c r="E90" t="s">
        <v>33</v>
      </c>
      <c r="F90" t="s">
        <v>312</v>
      </c>
      <c r="G90">
        <v>156</v>
      </c>
      <c r="H90" t="s">
        <v>310</v>
      </c>
      <c r="I90" t="s">
        <v>370</v>
      </c>
      <c r="J90">
        <f>IF(F90="Culex tarsalis",G90,0)</f>
        <v>156</v>
      </c>
      <c r="K90">
        <f>IF(F90="Culex pipiens",G90,0)</f>
        <v>0</v>
      </c>
    </row>
    <row r="91" spans="1:11">
      <c r="A91">
        <v>31</v>
      </c>
      <c r="B91" s="63">
        <v>45137</v>
      </c>
      <c r="C91" t="s">
        <v>363</v>
      </c>
      <c r="D91" t="s">
        <v>371</v>
      </c>
      <c r="E91" t="s">
        <v>33</v>
      </c>
      <c r="F91" t="s">
        <v>312</v>
      </c>
      <c r="G91">
        <v>204</v>
      </c>
      <c r="H91" t="s">
        <v>310</v>
      </c>
      <c r="I91" t="s">
        <v>372</v>
      </c>
      <c r="J91">
        <f>IF(F91="Culex tarsalis",G91,0)</f>
        <v>204</v>
      </c>
      <c r="K91">
        <f>IF(F91="Culex pipiens",G91,0)</f>
        <v>0</v>
      </c>
    </row>
    <row r="92" spans="1:11">
      <c r="A92">
        <v>31</v>
      </c>
      <c r="B92" s="63">
        <v>45137</v>
      </c>
      <c r="C92" t="s">
        <v>363</v>
      </c>
      <c r="D92" t="s">
        <v>373</v>
      </c>
      <c r="E92" t="s">
        <v>33</v>
      </c>
      <c r="F92" t="s">
        <v>312</v>
      </c>
      <c r="G92">
        <v>560</v>
      </c>
      <c r="H92" t="s">
        <v>310</v>
      </c>
      <c r="I92" t="s">
        <v>374</v>
      </c>
      <c r="J92">
        <f>IF(F92="Culex tarsalis",G92,0)</f>
        <v>560</v>
      </c>
      <c r="K92">
        <f>IF(F92="Culex pipiens",G92,0)</f>
        <v>0</v>
      </c>
    </row>
    <row r="93" spans="1:11">
      <c r="A93">
        <v>31</v>
      </c>
      <c r="B93" s="70">
        <v>45137</v>
      </c>
      <c r="C93" s="68" t="s">
        <v>363</v>
      </c>
      <c r="D93" s="68" t="s">
        <v>375</v>
      </c>
      <c r="E93" s="68" t="s">
        <v>33</v>
      </c>
      <c r="F93" s="68" t="s">
        <v>312</v>
      </c>
      <c r="G93" s="68">
        <v>164</v>
      </c>
      <c r="H93" s="68" t="s">
        <v>310</v>
      </c>
      <c r="I93" s="68" t="s">
        <v>376</v>
      </c>
      <c r="J93">
        <f>IF(F93="Culex tarsalis",G93,0)</f>
        <v>164</v>
      </c>
      <c r="K93">
        <f>IF(F93="Culex pipiens",G93,0)</f>
        <v>0</v>
      </c>
    </row>
    <row r="94" spans="1:11">
      <c r="A94">
        <v>31</v>
      </c>
      <c r="B94" s="70">
        <v>45137</v>
      </c>
      <c r="C94" s="68" t="s">
        <v>363</v>
      </c>
      <c r="D94" s="68" t="s">
        <v>377</v>
      </c>
      <c r="E94" s="68" t="s">
        <v>33</v>
      </c>
      <c r="F94" s="68" t="s">
        <v>312</v>
      </c>
      <c r="G94" s="68">
        <v>1616</v>
      </c>
      <c r="H94" s="68" t="s">
        <v>310</v>
      </c>
      <c r="I94" s="68" t="s">
        <v>44</v>
      </c>
      <c r="J94">
        <f>IF(F94="Culex tarsalis",G94,0)</f>
        <v>1616</v>
      </c>
      <c r="K94">
        <f>IF(F94="Culex pipiens",G94,0)</f>
        <v>0</v>
      </c>
    </row>
    <row r="95" spans="1:11">
      <c r="A95">
        <v>31</v>
      </c>
      <c r="B95" s="70">
        <v>45137</v>
      </c>
      <c r="C95" s="68" t="s">
        <v>363</v>
      </c>
      <c r="D95" s="68" t="s">
        <v>377</v>
      </c>
      <c r="E95" s="68" t="s">
        <v>33</v>
      </c>
      <c r="F95" s="68" t="s">
        <v>309</v>
      </c>
      <c r="G95" s="68">
        <v>4</v>
      </c>
      <c r="H95" s="68" t="s">
        <v>310</v>
      </c>
      <c r="I95" s="68" t="s">
        <v>44</v>
      </c>
      <c r="J95">
        <f>IF(F95="Culex tarsalis",G95,0)</f>
        <v>0</v>
      </c>
      <c r="K95">
        <f>IF(F95="Culex pipiens",G95,0)</f>
        <v>4</v>
      </c>
    </row>
    <row r="96" spans="1:11">
      <c r="A96">
        <v>31</v>
      </c>
      <c r="B96" s="70">
        <v>45137</v>
      </c>
      <c r="C96" s="68" t="s">
        <v>363</v>
      </c>
      <c r="D96" s="68" t="s">
        <v>378</v>
      </c>
      <c r="E96" s="68" t="s">
        <v>33</v>
      </c>
      <c r="F96" s="68" t="s">
        <v>312</v>
      </c>
      <c r="G96" s="68">
        <v>244</v>
      </c>
      <c r="H96" s="68" t="s">
        <v>310</v>
      </c>
      <c r="I96" s="68" t="s">
        <v>379</v>
      </c>
      <c r="J96">
        <f>IF(F96="Culex tarsalis",G96,0)</f>
        <v>244</v>
      </c>
      <c r="K96">
        <f>IF(F96="Culex pipiens",G96,0)</f>
        <v>0</v>
      </c>
    </row>
    <row r="97" spans="1:11">
      <c r="A97">
        <v>31</v>
      </c>
      <c r="B97" s="70">
        <v>45137</v>
      </c>
      <c r="C97" s="68" t="s">
        <v>363</v>
      </c>
      <c r="D97" s="68" t="s">
        <v>378</v>
      </c>
      <c r="E97" s="68" t="s">
        <v>33</v>
      </c>
      <c r="F97" s="68" t="s">
        <v>309</v>
      </c>
      <c r="G97" s="68">
        <v>52</v>
      </c>
      <c r="H97" s="68" t="s">
        <v>310</v>
      </c>
      <c r="I97" s="68" t="s">
        <v>379</v>
      </c>
      <c r="J97">
        <f>IF(F97="Culex tarsalis",G97,0)</f>
        <v>0</v>
      </c>
      <c r="K97">
        <f>IF(F97="Culex pipiens",G97,0)</f>
        <v>52</v>
      </c>
    </row>
    <row r="98" spans="1:11">
      <c r="A98">
        <v>31</v>
      </c>
      <c r="B98" s="70">
        <v>45137</v>
      </c>
      <c r="C98" s="68" t="s">
        <v>363</v>
      </c>
      <c r="D98" s="68" t="s">
        <v>380</v>
      </c>
      <c r="E98" s="68" t="s">
        <v>33</v>
      </c>
      <c r="F98" s="68" t="s">
        <v>312</v>
      </c>
      <c r="G98" s="68">
        <v>17</v>
      </c>
      <c r="H98" s="68" t="s">
        <v>310</v>
      </c>
      <c r="I98" s="68" t="s">
        <v>381</v>
      </c>
      <c r="J98">
        <f>IF(F98="Culex tarsalis",G98,0)</f>
        <v>17</v>
      </c>
      <c r="K98">
        <f>IF(F98="Culex pipiens",G98,0)</f>
        <v>0</v>
      </c>
    </row>
    <row r="99" spans="1:11">
      <c r="A99">
        <v>31</v>
      </c>
      <c r="B99" s="70">
        <v>45138</v>
      </c>
      <c r="C99" s="68" t="s">
        <v>363</v>
      </c>
      <c r="D99" s="68" t="s">
        <v>382</v>
      </c>
      <c r="E99" s="68" t="s">
        <v>33</v>
      </c>
      <c r="F99" s="68" t="s">
        <v>312</v>
      </c>
      <c r="G99" s="68">
        <v>63</v>
      </c>
      <c r="H99" s="68" t="s">
        <v>310</v>
      </c>
      <c r="I99" s="68" t="s">
        <v>383</v>
      </c>
      <c r="J99">
        <f>IF(F99="Culex tarsalis",G99,0)</f>
        <v>63</v>
      </c>
      <c r="K99">
        <f>IF(F99="Culex pipiens",G99,0)</f>
        <v>0</v>
      </c>
    </row>
    <row r="100" spans="1:11">
      <c r="A100">
        <v>31</v>
      </c>
      <c r="B100" s="70">
        <v>45138</v>
      </c>
      <c r="C100" s="68" t="s">
        <v>363</v>
      </c>
      <c r="D100" s="68" t="s">
        <v>382</v>
      </c>
      <c r="E100" s="68" t="s">
        <v>33</v>
      </c>
      <c r="F100" s="68" t="s">
        <v>309</v>
      </c>
      <c r="G100" s="68">
        <v>8</v>
      </c>
      <c r="H100" s="68" t="s">
        <v>310</v>
      </c>
      <c r="I100" s="68" t="s">
        <v>383</v>
      </c>
      <c r="J100">
        <f>IF(F100="Culex tarsalis",G100,0)</f>
        <v>0</v>
      </c>
      <c r="K100">
        <f>IF(F100="Culex pipiens",G100,0)</f>
        <v>8</v>
      </c>
    </row>
    <row r="101" spans="1:11">
      <c r="A101">
        <v>31</v>
      </c>
      <c r="B101" s="63">
        <v>45138</v>
      </c>
      <c r="C101" t="s">
        <v>363</v>
      </c>
      <c r="D101" t="s">
        <v>384</v>
      </c>
      <c r="E101" t="s">
        <v>33</v>
      </c>
      <c r="F101" t="s">
        <v>312</v>
      </c>
      <c r="G101">
        <v>30</v>
      </c>
      <c r="H101" t="s">
        <v>310</v>
      </c>
      <c r="I101" t="s">
        <v>385</v>
      </c>
      <c r="J101">
        <f>IF(F101="Culex tarsalis",G101,0)</f>
        <v>30</v>
      </c>
      <c r="K101">
        <f>IF(F101="Culex pipiens",G101,0)</f>
        <v>0</v>
      </c>
    </row>
    <row r="102" spans="1:11">
      <c r="A102">
        <v>31</v>
      </c>
      <c r="B102" s="63">
        <v>45138</v>
      </c>
      <c r="C102" t="s">
        <v>363</v>
      </c>
      <c r="D102" t="s">
        <v>384</v>
      </c>
      <c r="E102" t="s">
        <v>33</v>
      </c>
      <c r="F102" t="s">
        <v>309</v>
      </c>
      <c r="G102">
        <v>11</v>
      </c>
      <c r="H102" t="s">
        <v>310</v>
      </c>
      <c r="I102" t="s">
        <v>385</v>
      </c>
      <c r="J102">
        <f>IF(F102="Culex tarsalis",G102,0)</f>
        <v>0</v>
      </c>
      <c r="K102">
        <f>IF(F102="Culex pipiens",G102,0)</f>
        <v>11</v>
      </c>
    </row>
    <row r="103" spans="1:11">
      <c r="A103">
        <v>31</v>
      </c>
      <c r="B103" s="63">
        <v>45138</v>
      </c>
      <c r="C103" t="s">
        <v>363</v>
      </c>
      <c r="D103" t="s">
        <v>386</v>
      </c>
      <c r="E103" t="s">
        <v>33</v>
      </c>
      <c r="F103" t="s">
        <v>312</v>
      </c>
      <c r="G103">
        <v>392</v>
      </c>
      <c r="H103" t="s">
        <v>310</v>
      </c>
      <c r="I103" t="s">
        <v>136</v>
      </c>
      <c r="J103">
        <f>IF(F103="Culex tarsalis",G103,0)</f>
        <v>392</v>
      </c>
      <c r="K103">
        <f>IF(F103="Culex pipiens",G103,0)</f>
        <v>0</v>
      </c>
    </row>
    <row r="104" spans="1:11">
      <c r="A104">
        <v>31</v>
      </c>
      <c r="B104" s="63">
        <v>45138</v>
      </c>
      <c r="C104" t="s">
        <v>363</v>
      </c>
      <c r="D104" t="s">
        <v>387</v>
      </c>
      <c r="E104" t="s">
        <v>33</v>
      </c>
      <c r="F104" t="s">
        <v>309</v>
      </c>
      <c r="G104">
        <v>1</v>
      </c>
      <c r="H104" t="s">
        <v>310</v>
      </c>
      <c r="I104" t="s">
        <v>388</v>
      </c>
      <c r="J104">
        <f>IF(F104="Culex tarsalis",G104,0)</f>
        <v>0</v>
      </c>
      <c r="K104">
        <f>IF(F104="Culex pipiens",G104,0)</f>
        <v>1</v>
      </c>
    </row>
    <row r="105" spans="1:11">
      <c r="A105">
        <v>31</v>
      </c>
      <c r="B105" s="63">
        <v>45138</v>
      </c>
      <c r="C105" t="s">
        <v>363</v>
      </c>
      <c r="D105" t="s">
        <v>387</v>
      </c>
      <c r="E105" t="s">
        <v>33</v>
      </c>
      <c r="F105" t="s">
        <v>312</v>
      </c>
      <c r="G105">
        <v>3</v>
      </c>
      <c r="H105" t="s">
        <v>310</v>
      </c>
      <c r="I105" t="s">
        <v>388</v>
      </c>
      <c r="J105">
        <f>IF(F105="Culex tarsalis",G105,0)</f>
        <v>3</v>
      </c>
      <c r="K105">
        <f>IF(F105="Culex pipiens",G105,0)</f>
        <v>0</v>
      </c>
    </row>
    <row r="106" spans="1:11">
      <c r="A106">
        <v>31</v>
      </c>
      <c r="B106" s="63">
        <v>45138</v>
      </c>
      <c r="C106" t="s">
        <v>363</v>
      </c>
      <c r="D106" t="s">
        <v>389</v>
      </c>
      <c r="E106" t="s">
        <v>33</v>
      </c>
      <c r="F106" t="s">
        <v>309</v>
      </c>
      <c r="G106">
        <v>19</v>
      </c>
      <c r="H106" t="s">
        <v>310</v>
      </c>
      <c r="I106" t="s">
        <v>140</v>
      </c>
      <c r="J106">
        <f>IF(F106="Culex tarsalis",G106,0)</f>
        <v>0</v>
      </c>
      <c r="K106">
        <f>IF(F106="Culex pipiens",G106,0)</f>
        <v>19</v>
      </c>
    </row>
    <row r="107" spans="1:11">
      <c r="A107">
        <v>31</v>
      </c>
      <c r="B107" s="63">
        <v>45138</v>
      </c>
      <c r="C107" t="s">
        <v>363</v>
      </c>
      <c r="D107" t="s">
        <v>389</v>
      </c>
      <c r="E107" t="s">
        <v>33</v>
      </c>
      <c r="F107" t="s">
        <v>312</v>
      </c>
      <c r="G107">
        <v>118</v>
      </c>
      <c r="H107" t="s">
        <v>310</v>
      </c>
      <c r="I107" t="s">
        <v>140</v>
      </c>
      <c r="J107">
        <f>IF(F107="Culex tarsalis",G107,0)</f>
        <v>118</v>
      </c>
      <c r="K107">
        <f>IF(F107="Culex pipiens",G107,0)</f>
        <v>0</v>
      </c>
    </row>
    <row r="108" spans="1:11">
      <c r="A108">
        <v>31</v>
      </c>
      <c r="B108" s="63">
        <v>45138</v>
      </c>
      <c r="C108" t="s">
        <v>363</v>
      </c>
      <c r="D108" t="s">
        <v>390</v>
      </c>
      <c r="E108" t="s">
        <v>33</v>
      </c>
      <c r="F108" t="s">
        <v>312</v>
      </c>
      <c r="G108">
        <v>9</v>
      </c>
      <c r="H108" t="s">
        <v>310</v>
      </c>
      <c r="I108" t="s">
        <v>149</v>
      </c>
      <c r="J108">
        <f>IF(F108="Culex tarsalis",G108,0)</f>
        <v>9</v>
      </c>
      <c r="K108">
        <f>IF(F108="Culex pipiens",G108,0)</f>
        <v>0</v>
      </c>
    </row>
    <row r="109" spans="1:11">
      <c r="A109">
        <v>31</v>
      </c>
      <c r="B109" s="63">
        <v>45138</v>
      </c>
      <c r="C109" t="s">
        <v>363</v>
      </c>
      <c r="D109" t="s">
        <v>391</v>
      </c>
      <c r="E109" t="s">
        <v>33</v>
      </c>
      <c r="F109" t="s">
        <v>312</v>
      </c>
      <c r="G109">
        <v>176</v>
      </c>
      <c r="H109" t="s">
        <v>310</v>
      </c>
      <c r="I109" t="s">
        <v>392</v>
      </c>
      <c r="J109">
        <f>IF(F109="Culex tarsalis",G109,0)</f>
        <v>176</v>
      </c>
      <c r="K109">
        <f>IF(F109="Culex pipiens",G109,0)</f>
        <v>0</v>
      </c>
    </row>
    <row r="110" spans="1:11">
      <c r="A110">
        <v>31</v>
      </c>
      <c r="B110" s="63">
        <v>45138</v>
      </c>
      <c r="C110" t="s">
        <v>363</v>
      </c>
      <c r="D110" t="s">
        <v>391</v>
      </c>
      <c r="E110" t="s">
        <v>33</v>
      </c>
      <c r="F110" t="s">
        <v>309</v>
      </c>
      <c r="G110">
        <v>56</v>
      </c>
      <c r="H110" t="s">
        <v>310</v>
      </c>
      <c r="I110" t="s">
        <v>392</v>
      </c>
      <c r="J110">
        <f>IF(F110="Culex tarsalis",G110,0)</f>
        <v>0</v>
      </c>
      <c r="K110">
        <f>IF(F110="Culex pipiens",G110,0)</f>
        <v>56</v>
      </c>
    </row>
    <row r="111" spans="1:11">
      <c r="A111">
        <v>31</v>
      </c>
      <c r="B111" s="63">
        <v>45138</v>
      </c>
      <c r="C111" t="s">
        <v>363</v>
      </c>
      <c r="D111" t="s">
        <v>393</v>
      </c>
      <c r="E111" t="s">
        <v>33</v>
      </c>
      <c r="F111" t="s">
        <v>312</v>
      </c>
      <c r="G111">
        <v>15</v>
      </c>
      <c r="H111" t="s">
        <v>310</v>
      </c>
      <c r="I111" t="s">
        <v>394</v>
      </c>
      <c r="J111">
        <f>IF(F111="Culex tarsalis",G111,0)</f>
        <v>15</v>
      </c>
      <c r="K111">
        <f>IF(F111="Culex pipiens",G111,0)</f>
        <v>0</v>
      </c>
    </row>
    <row r="112" spans="1:11">
      <c r="A112">
        <v>31</v>
      </c>
      <c r="B112" s="63">
        <v>45138</v>
      </c>
      <c r="C112" t="s">
        <v>363</v>
      </c>
      <c r="D112" t="s">
        <v>395</v>
      </c>
      <c r="E112" t="s">
        <v>33</v>
      </c>
      <c r="F112" t="s">
        <v>309</v>
      </c>
      <c r="G112">
        <v>3</v>
      </c>
      <c r="H112" t="s">
        <v>310</v>
      </c>
      <c r="I112" t="s">
        <v>396</v>
      </c>
      <c r="J112">
        <f>IF(F112="Culex tarsalis",G112,0)</f>
        <v>0</v>
      </c>
      <c r="K112">
        <f>IF(F112="Culex pipiens",G112,0)</f>
        <v>3</v>
      </c>
    </row>
    <row r="113" spans="1:11">
      <c r="A113">
        <v>31</v>
      </c>
      <c r="B113" s="63">
        <v>45138</v>
      </c>
      <c r="C113" t="s">
        <v>363</v>
      </c>
      <c r="D113" t="s">
        <v>395</v>
      </c>
      <c r="E113" t="s">
        <v>33</v>
      </c>
      <c r="F113" t="s">
        <v>312</v>
      </c>
      <c r="G113">
        <v>21</v>
      </c>
      <c r="H113" t="s">
        <v>310</v>
      </c>
      <c r="I113" t="s">
        <v>396</v>
      </c>
      <c r="J113">
        <f>IF(F113="Culex tarsalis",G113,0)</f>
        <v>21</v>
      </c>
      <c r="K113">
        <f>IF(F113="Culex pipiens",G113,0)</f>
        <v>0</v>
      </c>
    </row>
    <row r="114" spans="1:11">
      <c r="A114">
        <v>31</v>
      </c>
      <c r="B114" s="63">
        <v>45138</v>
      </c>
      <c r="C114" t="s">
        <v>363</v>
      </c>
      <c r="D114" t="s">
        <v>397</v>
      </c>
      <c r="E114" t="s">
        <v>33</v>
      </c>
      <c r="F114" t="s">
        <v>312</v>
      </c>
      <c r="G114">
        <v>228</v>
      </c>
      <c r="H114" t="s">
        <v>310</v>
      </c>
      <c r="I114" t="s">
        <v>398</v>
      </c>
      <c r="J114">
        <f>IF(F114="Culex tarsalis",G114,0)</f>
        <v>228</v>
      </c>
      <c r="K114">
        <f>IF(F114="Culex pipiens",G114,0)</f>
        <v>0</v>
      </c>
    </row>
    <row r="115" spans="1:11">
      <c r="A115">
        <v>31</v>
      </c>
      <c r="B115" s="63">
        <v>45138</v>
      </c>
      <c r="C115" t="s">
        <v>363</v>
      </c>
      <c r="D115" t="s">
        <v>397</v>
      </c>
      <c r="E115" t="s">
        <v>33</v>
      </c>
      <c r="F115" t="s">
        <v>309</v>
      </c>
      <c r="G115">
        <v>12</v>
      </c>
      <c r="H115" t="s">
        <v>310</v>
      </c>
      <c r="I115" t="s">
        <v>398</v>
      </c>
      <c r="J115">
        <f>IF(F115="Culex tarsalis",G115,0)</f>
        <v>0</v>
      </c>
      <c r="K115">
        <f>IF(F115="Culex pipiens",G115,0)</f>
        <v>12</v>
      </c>
    </row>
    <row r="116" spans="1:11">
      <c r="A116">
        <v>31</v>
      </c>
      <c r="B116" s="63">
        <v>45138</v>
      </c>
      <c r="C116" t="s">
        <v>363</v>
      </c>
      <c r="D116" t="s">
        <v>399</v>
      </c>
      <c r="E116" t="s">
        <v>33</v>
      </c>
      <c r="F116" t="s">
        <v>309</v>
      </c>
      <c r="G116">
        <v>16</v>
      </c>
      <c r="H116" t="s">
        <v>310</v>
      </c>
      <c r="I116" t="s">
        <v>400</v>
      </c>
      <c r="J116">
        <f>IF(F116="Culex tarsalis",G116,0)</f>
        <v>0</v>
      </c>
      <c r="K116">
        <f>IF(F116="Culex pipiens",G116,0)</f>
        <v>16</v>
      </c>
    </row>
    <row r="117" spans="1:11">
      <c r="A117">
        <v>31</v>
      </c>
      <c r="B117" s="63">
        <v>45138</v>
      </c>
      <c r="C117" t="s">
        <v>363</v>
      </c>
      <c r="D117" t="s">
        <v>399</v>
      </c>
      <c r="E117" t="s">
        <v>33</v>
      </c>
      <c r="F117" t="s">
        <v>312</v>
      </c>
      <c r="G117">
        <v>136</v>
      </c>
      <c r="H117" t="s">
        <v>310</v>
      </c>
      <c r="I117" t="s">
        <v>400</v>
      </c>
      <c r="J117">
        <f>IF(F117="Culex tarsalis",G117,0)</f>
        <v>136</v>
      </c>
      <c r="K117">
        <f>IF(F117="Culex pipiens",G117,0)</f>
        <v>0</v>
      </c>
    </row>
    <row r="118" spans="1:11">
      <c r="A118">
        <v>31</v>
      </c>
      <c r="B118" s="63">
        <v>45139</v>
      </c>
      <c r="C118" t="s">
        <v>363</v>
      </c>
      <c r="D118" t="s">
        <v>401</v>
      </c>
      <c r="E118" t="s">
        <v>33</v>
      </c>
      <c r="F118" t="s">
        <v>309</v>
      </c>
      <c r="G118">
        <v>6</v>
      </c>
      <c r="H118" t="s">
        <v>310</v>
      </c>
      <c r="I118" t="s">
        <v>402</v>
      </c>
      <c r="J118">
        <f>IF(F118="Culex tarsalis",G118,0)</f>
        <v>0</v>
      </c>
      <c r="K118">
        <f>IF(F118="Culex pipiens",G118,0)</f>
        <v>6</v>
      </c>
    </row>
    <row r="119" spans="1:11">
      <c r="A119">
        <v>31</v>
      </c>
      <c r="B119" s="63">
        <v>45139</v>
      </c>
      <c r="C119" t="s">
        <v>363</v>
      </c>
      <c r="D119" t="s">
        <v>401</v>
      </c>
      <c r="E119" t="s">
        <v>33</v>
      </c>
      <c r="F119" t="s">
        <v>312</v>
      </c>
      <c r="G119">
        <v>28</v>
      </c>
      <c r="H119" t="s">
        <v>310</v>
      </c>
      <c r="I119" t="s">
        <v>402</v>
      </c>
      <c r="J119">
        <f>IF(F119="Culex tarsalis",G119,0)</f>
        <v>28</v>
      </c>
      <c r="K119">
        <f>IF(F119="Culex pipiens",G119,0)</f>
        <v>0</v>
      </c>
    </row>
    <row r="120" spans="1:11">
      <c r="A120">
        <v>31</v>
      </c>
      <c r="B120" s="63">
        <v>45139</v>
      </c>
      <c r="C120" t="s">
        <v>363</v>
      </c>
      <c r="D120" t="s">
        <v>403</v>
      </c>
      <c r="E120" t="s">
        <v>33</v>
      </c>
      <c r="F120" t="s">
        <v>312</v>
      </c>
      <c r="G120">
        <v>38</v>
      </c>
      <c r="H120" t="s">
        <v>310</v>
      </c>
      <c r="I120" t="s">
        <v>203</v>
      </c>
      <c r="J120">
        <f>IF(F120="Culex tarsalis",G120,0)</f>
        <v>38</v>
      </c>
      <c r="K120">
        <f>IF(F120="Culex pipiens",G120,0)</f>
        <v>0</v>
      </c>
    </row>
    <row r="121" spans="1:11">
      <c r="A121">
        <v>31</v>
      </c>
      <c r="B121" s="63">
        <v>45139</v>
      </c>
      <c r="C121" t="s">
        <v>363</v>
      </c>
      <c r="D121" t="s">
        <v>403</v>
      </c>
      <c r="E121" t="s">
        <v>33</v>
      </c>
      <c r="F121" t="s">
        <v>309</v>
      </c>
      <c r="G121">
        <v>2</v>
      </c>
      <c r="H121" t="s">
        <v>310</v>
      </c>
      <c r="I121" t="s">
        <v>203</v>
      </c>
      <c r="J121">
        <f>IF(F121="Culex tarsalis",G121,0)</f>
        <v>0</v>
      </c>
      <c r="K121">
        <f>IF(F121="Culex pipiens",G121,0)</f>
        <v>2</v>
      </c>
    </row>
    <row r="122" spans="1:11">
      <c r="A122">
        <v>31</v>
      </c>
      <c r="B122" s="63">
        <v>45139</v>
      </c>
      <c r="C122" t="s">
        <v>363</v>
      </c>
      <c r="D122" t="s">
        <v>404</v>
      </c>
      <c r="E122" t="s">
        <v>33</v>
      </c>
      <c r="F122" t="s">
        <v>312</v>
      </c>
      <c r="G122">
        <v>49</v>
      </c>
      <c r="H122" t="s">
        <v>310</v>
      </c>
      <c r="I122" t="s">
        <v>405</v>
      </c>
      <c r="J122">
        <f>IF(F122="Culex tarsalis",G122,0)</f>
        <v>49</v>
      </c>
      <c r="K122">
        <f>IF(F122="Culex pipiens",G122,0)</f>
        <v>0</v>
      </c>
    </row>
    <row r="123" spans="1:11">
      <c r="A123">
        <v>31</v>
      </c>
      <c r="B123" s="63">
        <v>45139</v>
      </c>
      <c r="C123" t="s">
        <v>363</v>
      </c>
      <c r="D123" t="s">
        <v>404</v>
      </c>
      <c r="E123" t="s">
        <v>33</v>
      </c>
      <c r="F123" t="s">
        <v>309</v>
      </c>
      <c r="G123">
        <v>2</v>
      </c>
      <c r="H123" t="s">
        <v>310</v>
      </c>
      <c r="I123" t="s">
        <v>405</v>
      </c>
      <c r="J123">
        <f>IF(F123="Culex tarsalis",G123,0)</f>
        <v>0</v>
      </c>
      <c r="K123">
        <f>IF(F123="Culex pipiens",G123,0)</f>
        <v>2</v>
      </c>
    </row>
    <row r="124" spans="1:11">
      <c r="A124">
        <v>31</v>
      </c>
      <c r="B124" s="63">
        <v>45139</v>
      </c>
      <c r="C124" t="s">
        <v>363</v>
      </c>
      <c r="D124" t="s">
        <v>406</v>
      </c>
      <c r="E124" t="s">
        <v>33</v>
      </c>
      <c r="F124" t="s">
        <v>312</v>
      </c>
      <c r="G124">
        <v>45</v>
      </c>
      <c r="H124" t="s">
        <v>310</v>
      </c>
      <c r="I124" t="s">
        <v>407</v>
      </c>
      <c r="J124">
        <f>IF(F124="Culex tarsalis",G124,0)</f>
        <v>45</v>
      </c>
      <c r="K124">
        <f>IF(F124="Culex pipiens",G124,0)</f>
        <v>0</v>
      </c>
    </row>
    <row r="125" spans="1:11">
      <c r="A125">
        <v>31</v>
      </c>
      <c r="B125" s="63">
        <v>45139</v>
      </c>
      <c r="C125" t="s">
        <v>363</v>
      </c>
      <c r="D125" t="s">
        <v>406</v>
      </c>
      <c r="E125" t="s">
        <v>33</v>
      </c>
      <c r="F125" t="s">
        <v>309</v>
      </c>
      <c r="G125">
        <v>3</v>
      </c>
      <c r="H125" t="s">
        <v>310</v>
      </c>
      <c r="I125" t="s">
        <v>407</v>
      </c>
      <c r="J125">
        <f>IF(F125="Culex tarsalis",G125,0)</f>
        <v>0</v>
      </c>
      <c r="K125">
        <f>IF(F125="Culex pipiens",G125,0)</f>
        <v>3</v>
      </c>
    </row>
    <row r="126" spans="1:11">
      <c r="A126">
        <v>31</v>
      </c>
      <c r="B126" s="63">
        <v>45139</v>
      </c>
      <c r="C126" t="s">
        <v>363</v>
      </c>
      <c r="D126" t="s">
        <v>408</v>
      </c>
      <c r="E126" t="s">
        <v>33</v>
      </c>
      <c r="F126" t="s">
        <v>309</v>
      </c>
      <c r="G126">
        <v>6</v>
      </c>
      <c r="H126" t="s">
        <v>310</v>
      </c>
      <c r="I126" t="s">
        <v>409</v>
      </c>
      <c r="J126">
        <f>IF(F126="Culex tarsalis",G126,0)</f>
        <v>0</v>
      </c>
      <c r="K126">
        <f>IF(F126="Culex pipiens",G126,0)</f>
        <v>6</v>
      </c>
    </row>
    <row r="127" spans="1:11">
      <c r="A127">
        <v>31</v>
      </c>
      <c r="B127" s="63">
        <v>45139</v>
      </c>
      <c r="C127" t="s">
        <v>363</v>
      </c>
      <c r="D127" t="s">
        <v>408</v>
      </c>
      <c r="E127" t="s">
        <v>33</v>
      </c>
      <c r="F127" t="s">
        <v>312</v>
      </c>
      <c r="G127">
        <v>61</v>
      </c>
      <c r="H127" t="s">
        <v>310</v>
      </c>
      <c r="I127" t="s">
        <v>409</v>
      </c>
      <c r="J127">
        <f>IF(F127="Culex tarsalis",G127,0)</f>
        <v>61</v>
      </c>
      <c r="K127">
        <f>IF(F127="Culex pipiens",G127,0)</f>
        <v>0</v>
      </c>
    </row>
    <row r="128" spans="1:11">
      <c r="A128">
        <v>31</v>
      </c>
      <c r="B128" s="63">
        <v>45139</v>
      </c>
      <c r="C128" t="s">
        <v>363</v>
      </c>
      <c r="D128" t="s">
        <v>410</v>
      </c>
      <c r="E128" t="s">
        <v>33</v>
      </c>
      <c r="F128" t="s">
        <v>309</v>
      </c>
      <c r="G128">
        <v>4</v>
      </c>
      <c r="H128" t="s">
        <v>310</v>
      </c>
      <c r="I128" t="s">
        <v>411</v>
      </c>
      <c r="J128">
        <f>IF(F128="Culex tarsalis",G128,0)</f>
        <v>0</v>
      </c>
      <c r="K128">
        <f>IF(F128="Culex pipiens",G128,0)</f>
        <v>4</v>
      </c>
    </row>
    <row r="129" spans="1:11">
      <c r="A129">
        <v>31</v>
      </c>
      <c r="B129" s="63">
        <v>45139</v>
      </c>
      <c r="C129" t="s">
        <v>363</v>
      </c>
      <c r="D129" t="s">
        <v>410</v>
      </c>
      <c r="E129" t="s">
        <v>33</v>
      </c>
      <c r="F129" t="s">
        <v>312</v>
      </c>
      <c r="G129">
        <v>35</v>
      </c>
      <c r="H129" t="s">
        <v>310</v>
      </c>
      <c r="I129" t="s">
        <v>411</v>
      </c>
      <c r="J129">
        <f>IF(F129="Culex tarsalis",G129,0)</f>
        <v>35</v>
      </c>
      <c r="K129">
        <f>IF(F129="Culex pipiens",G129,0)</f>
        <v>0</v>
      </c>
    </row>
    <row r="130" spans="1:11">
      <c r="A130">
        <v>31</v>
      </c>
      <c r="B130" s="63">
        <v>45139</v>
      </c>
      <c r="C130" t="s">
        <v>363</v>
      </c>
      <c r="D130" t="s">
        <v>412</v>
      </c>
      <c r="E130" t="s">
        <v>33</v>
      </c>
      <c r="F130" t="s">
        <v>309</v>
      </c>
      <c r="G130">
        <v>16</v>
      </c>
      <c r="H130" t="s">
        <v>310</v>
      </c>
      <c r="I130" t="s">
        <v>413</v>
      </c>
      <c r="J130">
        <f>IF(F130="Culex tarsalis",G130,0)</f>
        <v>0</v>
      </c>
      <c r="K130">
        <f>IF(F130="Culex pipiens",G130,0)</f>
        <v>16</v>
      </c>
    </row>
    <row r="131" spans="1:11">
      <c r="A131">
        <v>31</v>
      </c>
      <c r="B131" s="63">
        <v>45139</v>
      </c>
      <c r="C131" t="s">
        <v>363</v>
      </c>
      <c r="D131" t="s">
        <v>412</v>
      </c>
      <c r="E131" t="s">
        <v>33</v>
      </c>
      <c r="F131" t="s">
        <v>312</v>
      </c>
      <c r="G131">
        <v>116</v>
      </c>
      <c r="H131" t="s">
        <v>310</v>
      </c>
      <c r="I131" t="s">
        <v>413</v>
      </c>
      <c r="J131">
        <f>IF(F131="Culex tarsalis",G131,0)</f>
        <v>116</v>
      </c>
      <c r="K131">
        <f>IF(F131="Culex pipiens",G131,0)</f>
        <v>0</v>
      </c>
    </row>
    <row r="132" spans="1:11">
      <c r="A132">
        <v>31</v>
      </c>
      <c r="B132" s="63">
        <v>45139</v>
      </c>
      <c r="C132" t="s">
        <v>363</v>
      </c>
      <c r="D132" t="s">
        <v>414</v>
      </c>
      <c r="E132" t="s">
        <v>33</v>
      </c>
      <c r="F132" t="s">
        <v>309</v>
      </c>
      <c r="G132">
        <v>2</v>
      </c>
      <c r="H132" t="s">
        <v>310</v>
      </c>
      <c r="I132" t="s">
        <v>415</v>
      </c>
      <c r="J132">
        <f>IF(F132="Culex tarsalis",G132,0)</f>
        <v>0</v>
      </c>
      <c r="K132">
        <f>IF(F132="Culex pipiens",G132,0)</f>
        <v>2</v>
      </c>
    </row>
    <row r="133" spans="1:11">
      <c r="A133">
        <v>31</v>
      </c>
      <c r="B133" s="63">
        <v>45139</v>
      </c>
      <c r="C133" t="s">
        <v>363</v>
      </c>
      <c r="D133" t="s">
        <v>414</v>
      </c>
      <c r="E133" t="s">
        <v>33</v>
      </c>
      <c r="F133" t="s">
        <v>312</v>
      </c>
      <c r="G133">
        <v>40</v>
      </c>
      <c r="H133" t="s">
        <v>310</v>
      </c>
      <c r="I133" t="s">
        <v>415</v>
      </c>
      <c r="J133">
        <f>IF(F133="Culex tarsalis",G133,0)</f>
        <v>40</v>
      </c>
      <c r="K133">
        <f>IF(F133="Culex pipiens",G133,0)</f>
        <v>0</v>
      </c>
    </row>
    <row r="134" spans="1:11">
      <c r="A134">
        <v>31</v>
      </c>
      <c r="B134" s="63">
        <v>45140</v>
      </c>
      <c r="C134" t="s">
        <v>363</v>
      </c>
      <c r="D134" t="s">
        <v>416</v>
      </c>
      <c r="E134" t="s">
        <v>33</v>
      </c>
      <c r="F134" t="s">
        <v>312</v>
      </c>
      <c r="G134">
        <v>47</v>
      </c>
      <c r="H134" t="s">
        <v>310</v>
      </c>
      <c r="I134" t="s">
        <v>417</v>
      </c>
      <c r="J134">
        <f>IF(F134="Culex tarsalis",G134,0)</f>
        <v>47</v>
      </c>
      <c r="K134">
        <f>IF(F134="Culex pipiens",G134,0)</f>
        <v>0</v>
      </c>
    </row>
    <row r="135" spans="1:11">
      <c r="A135">
        <v>31</v>
      </c>
      <c r="B135" s="63">
        <v>45140</v>
      </c>
      <c r="C135" t="s">
        <v>363</v>
      </c>
      <c r="D135" t="s">
        <v>416</v>
      </c>
      <c r="E135" t="s">
        <v>33</v>
      </c>
      <c r="F135" t="s">
        <v>309</v>
      </c>
      <c r="G135">
        <v>3</v>
      </c>
      <c r="H135" t="s">
        <v>310</v>
      </c>
      <c r="I135" t="s">
        <v>417</v>
      </c>
      <c r="J135">
        <f>IF(F135="Culex tarsalis",G135,0)</f>
        <v>0</v>
      </c>
      <c r="K135">
        <f>IF(F135="Culex pipiens",G135,0)</f>
        <v>3</v>
      </c>
    </row>
    <row r="136" spans="1:11">
      <c r="A136">
        <v>31</v>
      </c>
      <c r="B136" s="63">
        <v>45140</v>
      </c>
      <c r="C136" t="s">
        <v>363</v>
      </c>
      <c r="D136" t="s">
        <v>418</v>
      </c>
      <c r="E136" t="s">
        <v>33</v>
      </c>
      <c r="F136" t="s">
        <v>312</v>
      </c>
      <c r="G136">
        <v>112</v>
      </c>
      <c r="H136" t="s">
        <v>310</v>
      </c>
      <c r="I136" t="s">
        <v>419</v>
      </c>
      <c r="J136">
        <f>IF(F136="Culex tarsalis",G136,0)</f>
        <v>112</v>
      </c>
      <c r="K136">
        <f>IF(F136="Culex pipiens",G136,0)</f>
        <v>0</v>
      </c>
    </row>
    <row r="137" spans="1:11">
      <c r="A137">
        <v>31</v>
      </c>
      <c r="B137" s="63">
        <v>45140</v>
      </c>
      <c r="C137" t="s">
        <v>363</v>
      </c>
      <c r="D137" t="s">
        <v>418</v>
      </c>
      <c r="E137" t="s">
        <v>33</v>
      </c>
      <c r="F137" t="s">
        <v>309</v>
      </c>
      <c r="G137">
        <v>16</v>
      </c>
      <c r="H137" t="s">
        <v>310</v>
      </c>
      <c r="I137" t="s">
        <v>419</v>
      </c>
      <c r="J137">
        <f>IF(F137="Culex tarsalis",G137,0)</f>
        <v>0</v>
      </c>
      <c r="K137">
        <f>IF(F137="Culex pipiens",G137,0)</f>
        <v>16</v>
      </c>
    </row>
    <row r="138" spans="1:11">
      <c r="A138">
        <v>31</v>
      </c>
      <c r="B138" s="70">
        <v>45140</v>
      </c>
      <c r="C138" s="68" t="s">
        <v>363</v>
      </c>
      <c r="D138" s="68" t="s">
        <v>420</v>
      </c>
      <c r="E138" s="68" t="s">
        <v>33</v>
      </c>
      <c r="F138" s="68" t="s">
        <v>312</v>
      </c>
      <c r="G138" s="68">
        <v>32</v>
      </c>
      <c r="H138" s="68" t="s">
        <v>310</v>
      </c>
      <c r="I138" s="68" t="s">
        <v>421</v>
      </c>
      <c r="J138">
        <f>IF(F138="Culex tarsalis",G138,0)</f>
        <v>32</v>
      </c>
      <c r="K138">
        <f>IF(F138="Culex pipiens",G138,0)</f>
        <v>0</v>
      </c>
    </row>
    <row r="139" spans="1:11">
      <c r="A139">
        <v>31</v>
      </c>
      <c r="B139" s="63">
        <v>45140</v>
      </c>
      <c r="C139" t="s">
        <v>363</v>
      </c>
      <c r="D139" t="s">
        <v>420</v>
      </c>
      <c r="E139" t="s">
        <v>33</v>
      </c>
      <c r="F139" t="s">
        <v>309</v>
      </c>
      <c r="G139">
        <v>2</v>
      </c>
      <c r="H139" t="s">
        <v>310</v>
      </c>
      <c r="I139" t="s">
        <v>421</v>
      </c>
      <c r="J139">
        <f>IF(F139="Culex tarsalis",G139,0)</f>
        <v>0</v>
      </c>
      <c r="K139">
        <f>IF(F139="Culex pipiens",G139,0)</f>
        <v>2</v>
      </c>
    </row>
    <row r="140" spans="1:11">
      <c r="A140">
        <v>31</v>
      </c>
      <c r="B140" s="63">
        <v>45140</v>
      </c>
      <c r="C140" t="s">
        <v>363</v>
      </c>
      <c r="D140" t="s">
        <v>422</v>
      </c>
      <c r="E140" t="s">
        <v>33</v>
      </c>
      <c r="F140" t="s">
        <v>309</v>
      </c>
      <c r="G140">
        <v>1</v>
      </c>
      <c r="H140" t="s">
        <v>310</v>
      </c>
      <c r="I140" t="s">
        <v>423</v>
      </c>
      <c r="J140">
        <f>IF(F140="Culex tarsalis",G140,0)</f>
        <v>0</v>
      </c>
      <c r="K140">
        <f>IF(F140="Culex pipiens",G140,0)</f>
        <v>1</v>
      </c>
    </row>
    <row r="141" spans="1:11">
      <c r="A141">
        <v>31</v>
      </c>
      <c r="B141" s="63">
        <v>45140</v>
      </c>
      <c r="C141" t="s">
        <v>363</v>
      </c>
      <c r="D141" t="s">
        <v>422</v>
      </c>
      <c r="E141" t="s">
        <v>33</v>
      </c>
      <c r="F141" t="s">
        <v>312</v>
      </c>
      <c r="G141">
        <v>7</v>
      </c>
      <c r="H141" t="s">
        <v>310</v>
      </c>
      <c r="I141" t="s">
        <v>423</v>
      </c>
      <c r="J141">
        <f>IF(F141="Culex tarsalis",G141,0)</f>
        <v>7</v>
      </c>
      <c r="K141">
        <f>IF(F141="Culex pipiens",G141,0)</f>
        <v>0</v>
      </c>
    </row>
    <row r="142" spans="1:11">
      <c r="A142">
        <v>31</v>
      </c>
      <c r="B142" s="63">
        <v>45140</v>
      </c>
      <c r="C142" t="s">
        <v>363</v>
      </c>
      <c r="D142" t="s">
        <v>424</v>
      </c>
      <c r="E142" t="s">
        <v>33</v>
      </c>
      <c r="F142" t="s">
        <v>309</v>
      </c>
      <c r="G142">
        <v>12</v>
      </c>
      <c r="H142" t="s">
        <v>310</v>
      </c>
      <c r="I142" t="s">
        <v>425</v>
      </c>
      <c r="J142">
        <f>IF(F142="Culex tarsalis",G142,0)</f>
        <v>0</v>
      </c>
      <c r="K142">
        <f>IF(F142="Culex pipiens",G142,0)</f>
        <v>12</v>
      </c>
    </row>
    <row r="143" spans="1:11">
      <c r="A143">
        <v>31</v>
      </c>
      <c r="B143" s="63">
        <v>45140</v>
      </c>
      <c r="C143" t="s">
        <v>363</v>
      </c>
      <c r="D143" t="s">
        <v>424</v>
      </c>
      <c r="E143" t="s">
        <v>33</v>
      </c>
      <c r="F143" t="s">
        <v>312</v>
      </c>
      <c r="G143">
        <v>148</v>
      </c>
      <c r="H143" t="s">
        <v>310</v>
      </c>
      <c r="I143" t="s">
        <v>425</v>
      </c>
      <c r="J143">
        <f>IF(F143="Culex tarsalis",G143,0)</f>
        <v>148</v>
      </c>
      <c r="K143">
        <f>IF(F143="Culex pipiens",G143,0)</f>
        <v>0</v>
      </c>
    </row>
    <row r="144" spans="1:11">
      <c r="A144">
        <v>31</v>
      </c>
      <c r="B144" s="63">
        <v>45140</v>
      </c>
      <c r="C144" t="s">
        <v>363</v>
      </c>
      <c r="D144" t="s">
        <v>426</v>
      </c>
      <c r="E144" t="s">
        <v>33</v>
      </c>
      <c r="F144" t="s">
        <v>312</v>
      </c>
      <c r="G144">
        <v>33</v>
      </c>
      <c r="H144" t="s">
        <v>310</v>
      </c>
      <c r="I144" t="s">
        <v>427</v>
      </c>
      <c r="J144">
        <f>IF(F144="Culex tarsalis",G144,0)</f>
        <v>33</v>
      </c>
      <c r="K144">
        <f>IF(F144="Culex pipiens",G144,0)</f>
        <v>0</v>
      </c>
    </row>
    <row r="145" spans="1:11">
      <c r="A145">
        <v>31</v>
      </c>
      <c r="B145" s="63">
        <v>45140</v>
      </c>
      <c r="C145" t="s">
        <v>363</v>
      </c>
      <c r="D145" t="s">
        <v>428</v>
      </c>
      <c r="E145" t="s">
        <v>33</v>
      </c>
      <c r="F145" t="s">
        <v>312</v>
      </c>
      <c r="G145">
        <v>228</v>
      </c>
      <c r="H145" t="s">
        <v>310</v>
      </c>
      <c r="I145" t="s">
        <v>429</v>
      </c>
      <c r="J145">
        <f>IF(F145="Culex tarsalis",G145,0)</f>
        <v>228</v>
      </c>
      <c r="K145">
        <f>IF(F145="Culex pipiens",G145,0)</f>
        <v>0</v>
      </c>
    </row>
    <row r="146" spans="1:11">
      <c r="A146">
        <v>31</v>
      </c>
      <c r="B146" s="63">
        <v>45140</v>
      </c>
      <c r="C146" t="s">
        <v>363</v>
      </c>
      <c r="D146" t="s">
        <v>428</v>
      </c>
      <c r="E146" t="s">
        <v>33</v>
      </c>
      <c r="F146" t="s">
        <v>309</v>
      </c>
      <c r="G146">
        <v>24</v>
      </c>
      <c r="H146" t="s">
        <v>310</v>
      </c>
      <c r="I146" t="s">
        <v>429</v>
      </c>
      <c r="J146">
        <f>IF(F146="Culex tarsalis",G146,0)</f>
        <v>0</v>
      </c>
      <c r="K146">
        <f>IF(F146="Culex pipiens",G146,0)</f>
        <v>24</v>
      </c>
    </row>
    <row r="147" spans="1:11">
      <c r="A147">
        <v>31</v>
      </c>
      <c r="B147" s="63">
        <v>45140</v>
      </c>
      <c r="C147" t="s">
        <v>363</v>
      </c>
      <c r="D147" t="s">
        <v>430</v>
      </c>
      <c r="E147" t="s">
        <v>33</v>
      </c>
      <c r="F147" t="s">
        <v>312</v>
      </c>
      <c r="G147">
        <v>82</v>
      </c>
      <c r="H147" t="s">
        <v>310</v>
      </c>
      <c r="I147" t="s">
        <v>431</v>
      </c>
      <c r="J147">
        <f>IF(F147="Culex tarsalis",G147,0)</f>
        <v>82</v>
      </c>
      <c r="K147">
        <f>IF(F147="Culex pipiens",G147,0)</f>
        <v>0</v>
      </c>
    </row>
    <row r="148" spans="1:11">
      <c r="A148">
        <v>31</v>
      </c>
      <c r="B148" s="63">
        <v>45140</v>
      </c>
      <c r="C148" t="s">
        <v>363</v>
      </c>
      <c r="D148" t="s">
        <v>430</v>
      </c>
      <c r="E148" t="s">
        <v>33</v>
      </c>
      <c r="F148" t="s">
        <v>309</v>
      </c>
      <c r="G148">
        <v>12</v>
      </c>
      <c r="H148" t="s">
        <v>310</v>
      </c>
      <c r="I148" t="s">
        <v>431</v>
      </c>
      <c r="J148">
        <f>IF(F148="Culex tarsalis",G148,0)</f>
        <v>0</v>
      </c>
      <c r="K148">
        <f>IF(F148="Culex pipiens",G148,0)</f>
        <v>12</v>
      </c>
    </row>
    <row r="149" spans="1:11">
      <c r="A149">
        <v>31</v>
      </c>
      <c r="B149" s="63">
        <v>45137</v>
      </c>
      <c r="C149" t="s">
        <v>432</v>
      </c>
      <c r="D149" t="s">
        <v>433</v>
      </c>
      <c r="E149" t="s">
        <v>434</v>
      </c>
      <c r="F149" t="s">
        <v>312</v>
      </c>
      <c r="G149">
        <v>54</v>
      </c>
      <c r="H149" t="s">
        <v>310</v>
      </c>
      <c r="I149" t="s">
        <v>435</v>
      </c>
      <c r="J149">
        <f>IF(F149="Culex tarsalis",G149,0)</f>
        <v>54</v>
      </c>
      <c r="K149">
        <f>IF(F149="Culex pipiens",G149,0)</f>
        <v>0</v>
      </c>
    </row>
    <row r="150" spans="1:11">
      <c r="A150">
        <v>31</v>
      </c>
      <c r="B150" s="63">
        <v>45137</v>
      </c>
      <c r="C150" t="s">
        <v>432</v>
      </c>
      <c r="D150" t="s">
        <v>436</v>
      </c>
      <c r="E150" t="s">
        <v>434</v>
      </c>
      <c r="F150" t="s">
        <v>312</v>
      </c>
      <c r="G150">
        <v>104</v>
      </c>
      <c r="H150" t="s">
        <v>310</v>
      </c>
      <c r="I150" t="s">
        <v>437</v>
      </c>
      <c r="J150">
        <f>IF(F150="Culex tarsalis",G150,0)</f>
        <v>104</v>
      </c>
      <c r="K150">
        <f>IF(F150="Culex pipiens",G150,0)</f>
        <v>0</v>
      </c>
    </row>
    <row r="151" spans="1:11">
      <c r="A151">
        <v>31</v>
      </c>
      <c r="B151" s="63">
        <v>45137</v>
      </c>
      <c r="C151" t="s">
        <v>432</v>
      </c>
      <c r="D151" t="s">
        <v>436</v>
      </c>
      <c r="E151" t="s">
        <v>434</v>
      </c>
      <c r="F151" t="s">
        <v>309</v>
      </c>
      <c r="G151">
        <v>12</v>
      </c>
      <c r="H151" t="s">
        <v>310</v>
      </c>
      <c r="I151" t="s">
        <v>437</v>
      </c>
      <c r="J151">
        <f>IF(F151="Culex tarsalis",G151,0)</f>
        <v>0</v>
      </c>
      <c r="K151">
        <f>IF(F151="Culex pipiens",G151,0)</f>
        <v>12</v>
      </c>
    </row>
    <row r="152" spans="1:11">
      <c r="A152">
        <v>31</v>
      </c>
      <c r="B152" s="72">
        <v>45137</v>
      </c>
      <c r="C152" s="73" t="s">
        <v>432</v>
      </c>
      <c r="D152" s="73" t="s">
        <v>438</v>
      </c>
      <c r="E152" s="73" t="s">
        <v>434</v>
      </c>
      <c r="F152" s="73" t="s">
        <v>312</v>
      </c>
      <c r="G152" s="73">
        <v>184</v>
      </c>
      <c r="H152" s="73" t="s">
        <v>310</v>
      </c>
      <c r="I152" s="73" t="s">
        <v>439</v>
      </c>
      <c r="J152">
        <f>IF(F152="Culex tarsalis",G152,0)</f>
        <v>184</v>
      </c>
      <c r="K152">
        <f>IF(F152="Culex pipiens",G152,0)</f>
        <v>0</v>
      </c>
    </row>
    <row r="153" spans="1:11">
      <c r="A153">
        <v>31</v>
      </c>
      <c r="B153" s="72">
        <v>45137</v>
      </c>
      <c r="C153" s="73" t="s">
        <v>432</v>
      </c>
      <c r="D153" s="73" t="s">
        <v>440</v>
      </c>
      <c r="E153" s="73" t="s">
        <v>434</v>
      </c>
      <c r="F153" s="73" t="s">
        <v>312</v>
      </c>
      <c r="G153" s="73">
        <v>100</v>
      </c>
      <c r="H153" s="73" t="s">
        <v>310</v>
      </c>
      <c r="I153" s="73" t="s">
        <v>441</v>
      </c>
      <c r="J153">
        <f>IF(F153="Culex tarsalis",G153,0)</f>
        <v>100</v>
      </c>
      <c r="K153">
        <f>IF(F153="Culex pipiens",G153,0)</f>
        <v>0</v>
      </c>
    </row>
    <row r="154" spans="1:11">
      <c r="A154">
        <v>31</v>
      </c>
      <c r="B154" s="72">
        <v>45137</v>
      </c>
      <c r="C154" s="73" t="s">
        <v>432</v>
      </c>
      <c r="D154" s="73" t="s">
        <v>442</v>
      </c>
      <c r="E154" s="73" t="s">
        <v>434</v>
      </c>
      <c r="F154" s="73" t="s">
        <v>312</v>
      </c>
      <c r="G154" s="73">
        <v>143</v>
      </c>
      <c r="H154" s="73" t="s">
        <v>310</v>
      </c>
      <c r="I154" s="73" t="s">
        <v>443</v>
      </c>
      <c r="J154">
        <f>IF(F154="Culex tarsalis",G154,0)</f>
        <v>143</v>
      </c>
      <c r="K154">
        <f>IF(F154="Culex pipiens",G154,0)</f>
        <v>0</v>
      </c>
    </row>
    <row r="155" spans="1:11">
      <c r="A155">
        <v>31</v>
      </c>
      <c r="B155" s="72">
        <v>45137</v>
      </c>
      <c r="C155" s="73" t="s">
        <v>432</v>
      </c>
      <c r="D155" s="73" t="s">
        <v>442</v>
      </c>
      <c r="E155" s="73" t="s">
        <v>434</v>
      </c>
      <c r="F155" s="73" t="s">
        <v>309</v>
      </c>
      <c r="G155" s="73">
        <v>5</v>
      </c>
      <c r="H155" s="73" t="s">
        <v>310</v>
      </c>
      <c r="I155" s="73" t="s">
        <v>443</v>
      </c>
      <c r="J155">
        <f>IF(F155="Culex tarsalis",G155,0)</f>
        <v>0</v>
      </c>
      <c r="K155">
        <f>IF(F155="Culex pipiens",G155,0)</f>
        <v>5</v>
      </c>
    </row>
    <row r="156" spans="1:11">
      <c r="A156">
        <v>31</v>
      </c>
      <c r="B156" s="72">
        <v>45137</v>
      </c>
      <c r="C156" s="73" t="s">
        <v>432</v>
      </c>
      <c r="D156" s="73" t="s">
        <v>444</v>
      </c>
      <c r="E156" s="73" t="s">
        <v>434</v>
      </c>
      <c r="F156" s="73" t="s">
        <v>309</v>
      </c>
      <c r="G156" s="73">
        <v>16</v>
      </c>
      <c r="H156" s="73" t="s">
        <v>310</v>
      </c>
      <c r="I156" s="73" t="s">
        <v>445</v>
      </c>
      <c r="J156">
        <f>IF(F156="Culex tarsalis",G156,0)</f>
        <v>0</v>
      </c>
      <c r="K156">
        <f>IF(F156="Culex pipiens",G156,0)</f>
        <v>16</v>
      </c>
    </row>
    <row r="157" spans="1:11">
      <c r="A157">
        <v>31</v>
      </c>
      <c r="B157" s="72">
        <v>45137</v>
      </c>
      <c r="C157" s="73" t="s">
        <v>432</v>
      </c>
      <c r="D157" s="73" t="s">
        <v>444</v>
      </c>
      <c r="E157" s="73" t="s">
        <v>434</v>
      </c>
      <c r="F157" s="73" t="s">
        <v>312</v>
      </c>
      <c r="G157" s="73">
        <v>240</v>
      </c>
      <c r="H157" s="73" t="s">
        <v>310</v>
      </c>
      <c r="I157" s="73" t="s">
        <v>445</v>
      </c>
      <c r="J157">
        <f>IF(F157="Culex tarsalis",G157,0)</f>
        <v>240</v>
      </c>
      <c r="K157">
        <f>IF(F157="Culex pipiens",G157,0)</f>
        <v>0</v>
      </c>
    </row>
    <row r="158" spans="1:11">
      <c r="A158">
        <v>31</v>
      </c>
      <c r="B158" s="63">
        <v>45137</v>
      </c>
      <c r="C158" t="s">
        <v>432</v>
      </c>
      <c r="D158" t="s">
        <v>446</v>
      </c>
      <c r="E158" t="s">
        <v>434</v>
      </c>
      <c r="F158" t="s">
        <v>312</v>
      </c>
      <c r="G158">
        <v>232</v>
      </c>
      <c r="H158" t="s">
        <v>310</v>
      </c>
      <c r="I158" t="s">
        <v>447</v>
      </c>
      <c r="J158">
        <f>IF(F158="Culex tarsalis",G158,0)</f>
        <v>232</v>
      </c>
      <c r="K158">
        <f>IF(F158="Culex pipiens",G158,0)</f>
        <v>0</v>
      </c>
    </row>
    <row r="159" spans="1:11">
      <c r="A159">
        <v>31</v>
      </c>
      <c r="B159" s="63">
        <v>45138</v>
      </c>
      <c r="C159" t="s">
        <v>448</v>
      </c>
      <c r="D159" t="s">
        <v>449</v>
      </c>
      <c r="E159" t="s">
        <v>273</v>
      </c>
      <c r="F159" t="s">
        <v>312</v>
      </c>
      <c r="G159">
        <v>49</v>
      </c>
      <c r="H159" t="s">
        <v>310</v>
      </c>
      <c r="I159" t="s">
        <v>274</v>
      </c>
      <c r="J159">
        <f>IF(F159="Culex tarsalis",G159,0)</f>
        <v>49</v>
      </c>
      <c r="K159">
        <f>IF(F159="Culex pipiens",G159,0)</f>
        <v>0</v>
      </c>
    </row>
    <row r="160" spans="1:11">
      <c r="A160">
        <v>31</v>
      </c>
      <c r="B160" s="63">
        <v>45138</v>
      </c>
      <c r="C160" t="s">
        <v>448</v>
      </c>
      <c r="D160" t="s">
        <v>450</v>
      </c>
      <c r="E160" t="s">
        <v>273</v>
      </c>
      <c r="F160" t="s">
        <v>312</v>
      </c>
      <c r="G160">
        <v>49</v>
      </c>
      <c r="H160" t="s">
        <v>310</v>
      </c>
      <c r="I160" t="s">
        <v>277</v>
      </c>
      <c r="J160">
        <f>IF(F160="Culex tarsalis",G160,0)</f>
        <v>49</v>
      </c>
      <c r="K160">
        <f>IF(F160="Culex pipiens",G160,0)</f>
        <v>0</v>
      </c>
    </row>
    <row r="161" spans="1:11">
      <c r="A161">
        <v>31</v>
      </c>
      <c r="B161" s="63">
        <v>45138</v>
      </c>
      <c r="C161" t="s">
        <v>448</v>
      </c>
      <c r="D161" t="s">
        <v>451</v>
      </c>
      <c r="E161" t="s">
        <v>273</v>
      </c>
      <c r="F161" t="s">
        <v>312</v>
      </c>
      <c r="G161">
        <v>49</v>
      </c>
      <c r="H161" t="s">
        <v>310</v>
      </c>
      <c r="I161" t="s">
        <v>279</v>
      </c>
      <c r="J161">
        <f>IF(F161="Culex tarsalis",G161,0)</f>
        <v>49</v>
      </c>
      <c r="K161">
        <f>IF(F161="Culex pipiens",G161,0)</f>
        <v>0</v>
      </c>
    </row>
    <row r="162" spans="1:11">
      <c r="A162">
        <v>31</v>
      </c>
      <c r="B162" s="63">
        <v>45138</v>
      </c>
      <c r="C162" t="s">
        <v>448</v>
      </c>
      <c r="D162" t="s">
        <v>452</v>
      </c>
      <c r="E162" t="s">
        <v>273</v>
      </c>
      <c r="F162" t="s">
        <v>312</v>
      </c>
      <c r="G162">
        <v>37</v>
      </c>
      <c r="H162" t="s">
        <v>310</v>
      </c>
      <c r="I162" t="s">
        <v>281</v>
      </c>
      <c r="J162">
        <f>IF(F162="Culex tarsalis",G162,0)</f>
        <v>37</v>
      </c>
      <c r="K162">
        <f>IF(F162="Culex pipiens",G162,0)</f>
        <v>0</v>
      </c>
    </row>
    <row r="163" spans="1:11">
      <c r="A163">
        <v>31</v>
      </c>
      <c r="B163" s="63">
        <v>45138</v>
      </c>
      <c r="C163" t="s">
        <v>448</v>
      </c>
      <c r="D163" t="s">
        <v>453</v>
      </c>
      <c r="E163" t="s">
        <v>273</v>
      </c>
      <c r="F163" t="s">
        <v>312</v>
      </c>
      <c r="G163">
        <v>49</v>
      </c>
      <c r="H163" t="s">
        <v>310</v>
      </c>
      <c r="I163" t="s">
        <v>283</v>
      </c>
      <c r="J163">
        <f>IF(F163="Culex tarsalis",G163,0)</f>
        <v>49</v>
      </c>
      <c r="K163">
        <f>IF(F163="Culex pipiens",G163,0)</f>
        <v>0</v>
      </c>
    </row>
    <row r="164" spans="1:11">
      <c r="A164">
        <v>31</v>
      </c>
      <c r="B164" s="63">
        <v>45138</v>
      </c>
      <c r="C164" t="s">
        <v>448</v>
      </c>
      <c r="D164" t="s">
        <v>454</v>
      </c>
      <c r="E164" t="s">
        <v>273</v>
      </c>
      <c r="F164" t="s">
        <v>312</v>
      </c>
      <c r="G164">
        <v>49</v>
      </c>
      <c r="H164" t="s">
        <v>310</v>
      </c>
      <c r="I164" t="s">
        <v>285</v>
      </c>
      <c r="J164">
        <f>IF(F164="Culex tarsalis",G164,0)</f>
        <v>49</v>
      </c>
      <c r="K164">
        <f>IF(F164="Culex pipiens",G164,0)</f>
        <v>0</v>
      </c>
    </row>
    <row r="165" spans="1:11">
      <c r="B165" s="63"/>
    </row>
    <row r="166" spans="1:11">
      <c r="B166" s="63"/>
    </row>
    <row r="167" spans="1:11">
      <c r="B167" s="63"/>
    </row>
    <row r="168" spans="1:11">
      <c r="B168" s="63"/>
    </row>
    <row r="169" spans="1:11">
      <c r="B169" s="63"/>
    </row>
    <row r="170" spans="1:11">
      <c r="B170" s="63"/>
    </row>
    <row r="171" spans="1:11">
      <c r="B171" s="63"/>
    </row>
    <row r="172" spans="1:11">
      <c r="B172" s="63"/>
    </row>
    <row r="173" spans="1:11">
      <c r="B173" s="63"/>
    </row>
    <row r="174" spans="1:11">
      <c r="B174" s="63"/>
    </row>
    <row r="175" spans="1:11">
      <c r="B175" s="70"/>
      <c r="C175" s="68"/>
      <c r="D175" s="68"/>
      <c r="E175" s="68"/>
      <c r="F175" s="68"/>
      <c r="G175" s="68"/>
      <c r="H175" s="68"/>
      <c r="I175" s="68"/>
    </row>
    <row r="176" spans="1:11">
      <c r="B176" s="63"/>
    </row>
    <row r="177" spans="2:9">
      <c r="B177" s="63"/>
    </row>
    <row r="178" spans="2:9">
      <c r="B178" s="63"/>
    </row>
    <row r="179" spans="2:9">
      <c r="B179" s="63"/>
    </row>
    <row r="180" spans="2:9">
      <c r="B180" s="63"/>
    </row>
    <row r="181" spans="2:9">
      <c r="B181" s="63"/>
    </row>
    <row r="182" spans="2:9">
      <c r="B182" s="63"/>
    </row>
    <row r="183" spans="2:9">
      <c r="B183" s="63"/>
    </row>
    <row r="184" spans="2:9">
      <c r="B184" s="63"/>
    </row>
    <row r="185" spans="2:9">
      <c r="B185" s="70"/>
      <c r="C185" s="68"/>
      <c r="D185" s="68"/>
      <c r="E185" s="68"/>
      <c r="F185" s="68"/>
      <c r="G185" s="68"/>
      <c r="H185" s="68"/>
      <c r="I185" s="68"/>
    </row>
    <row r="186" spans="2:9">
      <c r="B186" s="63"/>
    </row>
    <row r="187" spans="2:9">
      <c r="B187" s="63"/>
    </row>
    <row r="188" spans="2:9">
      <c r="B188" s="63"/>
    </row>
    <row r="189" spans="2:9">
      <c r="B189" s="63"/>
    </row>
    <row r="190" spans="2:9">
      <c r="B190" s="63"/>
    </row>
    <row r="191" spans="2:9">
      <c r="B191" s="63"/>
    </row>
    <row r="192" spans="2:9">
      <c r="B192" s="63"/>
    </row>
    <row r="193" spans="2:2">
      <c r="B193" s="63"/>
    </row>
    <row r="194" spans="2:2">
      <c r="B194" s="63"/>
    </row>
    <row r="195" spans="2:2">
      <c r="B195" s="63"/>
    </row>
    <row r="196" spans="2:2">
      <c r="B196" s="63"/>
    </row>
    <row r="197" spans="2:2">
      <c r="B197" s="63"/>
    </row>
    <row r="198" spans="2:2">
      <c r="B198" s="63"/>
    </row>
    <row r="199" spans="2:2">
      <c r="B199" s="63"/>
    </row>
    <row r="200" spans="2:2">
      <c r="B200" s="63"/>
    </row>
    <row r="201" spans="2:2">
      <c r="B201" s="63"/>
    </row>
    <row r="202" spans="2:2">
      <c r="B202" s="63"/>
    </row>
    <row r="203" spans="2:2">
      <c r="B203" s="63"/>
    </row>
    <row r="204" spans="2:2">
      <c r="B204" s="63"/>
    </row>
    <row r="205" spans="2:2">
      <c r="B205" s="63"/>
    </row>
    <row r="206" spans="2:2">
      <c r="B206" s="63"/>
    </row>
    <row r="207" spans="2:2">
      <c r="B207" s="63"/>
    </row>
    <row r="208" spans="2:2">
      <c r="B208" s="63"/>
    </row>
    <row r="209" spans="2:2">
      <c r="B209" s="63"/>
    </row>
    <row r="210" spans="2:2">
      <c r="B210" s="63"/>
    </row>
    <row r="211" spans="2:2">
      <c r="B211" s="63"/>
    </row>
    <row r="212" spans="2:2">
      <c r="B212" s="63"/>
    </row>
    <row r="213" spans="2:2">
      <c r="B213" s="63"/>
    </row>
    <row r="214" spans="2:2">
      <c r="B214" s="63"/>
    </row>
    <row r="215" spans="2:2">
      <c r="B215" s="63"/>
    </row>
    <row r="216" spans="2:2">
      <c r="B216" s="63"/>
    </row>
    <row r="217" spans="2:2">
      <c r="B217" s="63"/>
    </row>
    <row r="218" spans="2:2">
      <c r="B218" s="63"/>
    </row>
    <row r="219" spans="2:2">
      <c r="B219" s="63"/>
    </row>
    <row r="220" spans="2:2">
      <c r="B220" s="63"/>
    </row>
    <row r="221" spans="2:2">
      <c r="B221" s="63"/>
    </row>
    <row r="222" spans="2:2">
      <c r="B222" s="63"/>
    </row>
    <row r="223" spans="2:2">
      <c r="B223" s="63"/>
    </row>
    <row r="224" spans="2:2">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176">
    <sortCondition ref="H2:H176"/>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10" sqref="C10"/>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455</v>
      </c>
      <c r="G1" s="32" t="s">
        <v>456</v>
      </c>
    </row>
    <row r="2" spans="1:10">
      <c r="A2" s="2" t="s">
        <v>13</v>
      </c>
      <c r="B2" t="s">
        <v>457</v>
      </c>
    </row>
    <row r="4" spans="1:10">
      <c r="A4" s="2" t="s">
        <v>458</v>
      </c>
      <c r="B4" t="s">
        <v>459</v>
      </c>
      <c r="C4" t="s">
        <v>460</v>
      </c>
      <c r="D4" t="s">
        <v>461</v>
      </c>
      <c r="G4" s="24" t="s">
        <v>458</v>
      </c>
      <c r="H4" s="24" t="s">
        <v>459</v>
      </c>
      <c r="I4" s="24" t="s">
        <v>460</v>
      </c>
      <c r="J4" s="24" t="s">
        <v>461</v>
      </c>
    </row>
    <row r="5" spans="1:10">
      <c r="A5" s="1" t="s">
        <v>146</v>
      </c>
      <c r="B5">
        <v>91</v>
      </c>
      <c r="C5">
        <v>179</v>
      </c>
      <c r="D5">
        <v>270</v>
      </c>
      <c r="G5" s="1" t="s">
        <v>33</v>
      </c>
      <c r="H5">
        <f>GETPIVOTDATA("Sum of Cx pipiens",$A$4,"Zone","LV")</f>
        <v>337</v>
      </c>
      <c r="I5">
        <f>GETPIVOTDATA("Sum of Cx tarsalis",$A$4,"Zone","LV")</f>
        <v>6429</v>
      </c>
      <c r="J5">
        <f>GETPIVOTDATA("Sum of Total CX",$A$4,"Zone","LV")</f>
        <v>6766</v>
      </c>
    </row>
    <row r="6" spans="1:10">
      <c r="A6" s="1" t="s">
        <v>164</v>
      </c>
      <c r="B6">
        <v>33</v>
      </c>
      <c r="C6">
        <v>236</v>
      </c>
      <c r="D6">
        <v>269</v>
      </c>
      <c r="G6" s="1" t="s">
        <v>146</v>
      </c>
      <c r="H6">
        <f>GETPIVOTDATA("Sum of Cx pipiens",$A$4,"Zone","NE")</f>
        <v>91</v>
      </c>
      <c r="I6">
        <f>GETPIVOTDATA("Sum of Cx tarsalis",$A$4,"Zone","NE")</f>
        <v>179</v>
      </c>
      <c r="J6">
        <f>GETPIVOTDATA("Sum of Total CX",$A$4,"Zone","NE")</f>
        <v>270</v>
      </c>
    </row>
    <row r="7" spans="1:10">
      <c r="A7" s="1" t="s">
        <v>55</v>
      </c>
      <c r="B7">
        <v>176</v>
      </c>
      <c r="C7">
        <v>2032</v>
      </c>
      <c r="D7">
        <v>2208</v>
      </c>
      <c r="G7" s="1" t="s">
        <v>164</v>
      </c>
      <c r="H7">
        <f>GETPIVOTDATA("Sum of Cx pipiens",$A$4,"Zone","NW")</f>
        <v>33</v>
      </c>
      <c r="I7">
        <f>GETPIVOTDATA("Sum of Cx tarsalis",$A$4,"Zone","NW")</f>
        <v>236</v>
      </c>
      <c r="J7">
        <f>GETPIVOTDATA("Sum of Total CX",$A$4,"Zone","NW")</f>
        <v>269</v>
      </c>
    </row>
    <row r="8" spans="1:10">
      <c r="A8" s="1" t="s">
        <v>186</v>
      </c>
      <c r="B8">
        <v>32</v>
      </c>
      <c r="C8">
        <v>182</v>
      </c>
      <c r="D8">
        <v>214</v>
      </c>
      <c r="G8" s="1" t="s">
        <v>55</v>
      </c>
      <c r="H8">
        <f>GETPIVOTDATA("Sum of Cx pipiens",$A$4,"Zone","SE")</f>
        <v>176</v>
      </c>
      <c r="I8">
        <f>GETPIVOTDATA("Sum of Cx tarsalis",$A$4,"Zone","SE")</f>
        <v>2032</v>
      </c>
      <c r="J8">
        <f>GETPIVOTDATA("Sum of Total CX",$A$4,"Zone","SE")</f>
        <v>2208</v>
      </c>
    </row>
    <row r="9" spans="1:10">
      <c r="A9" s="1" t="s">
        <v>33</v>
      </c>
      <c r="B9">
        <v>337</v>
      </c>
      <c r="C9">
        <v>6429</v>
      </c>
      <c r="D9">
        <v>6766</v>
      </c>
      <c r="G9" s="1" t="s">
        <v>186</v>
      </c>
      <c r="H9">
        <f>GETPIVOTDATA("Sum of Cx pipiens",$A$4,"Zone","SW")</f>
        <v>32</v>
      </c>
      <c r="I9">
        <f>GETPIVOTDATA("Sum of Cx tarsalis",$A$4,"Zone","SW")</f>
        <v>182</v>
      </c>
      <c r="J9">
        <f>GETPIVOTDATA("Sum of Total CX",$A$4,"Zone","SW")</f>
        <v>214</v>
      </c>
    </row>
    <row r="10" spans="1:10">
      <c r="A10" s="1" t="s">
        <v>434</v>
      </c>
      <c r="B10">
        <v>33</v>
      </c>
      <c r="C10">
        <v>1057</v>
      </c>
      <c r="D10">
        <v>1090</v>
      </c>
      <c r="G10" s="1" t="s">
        <v>206</v>
      </c>
      <c r="H10">
        <f>GETPIVOTDATA("Sum of Cx pipiens",$A$4,"Zone","BE")</f>
        <v>49</v>
      </c>
      <c r="I10">
        <f>GETPIVOTDATA("Sum of Cx tarsalis",$A$4,"Zone","BE")</f>
        <v>210</v>
      </c>
      <c r="J10">
        <f>GETPIVOTDATA("Sum of Total CX",$A$4,"Zone","BE")</f>
        <v>259</v>
      </c>
    </row>
    <row r="11" spans="1:10">
      <c r="A11" s="1" t="s">
        <v>206</v>
      </c>
      <c r="B11">
        <v>49</v>
      </c>
      <c r="C11">
        <v>210</v>
      </c>
      <c r="D11">
        <v>259</v>
      </c>
      <c r="G11" s="1" t="s">
        <v>273</v>
      </c>
      <c r="H11">
        <f>GETPIVOTDATA("Sum of Cx pipiens",$A$4,"Zone","BC")</f>
        <v>0</v>
      </c>
      <c r="I11">
        <f>GETPIVOTDATA("Sum of Cx tarsalis",$A$4,"Zone","BC")</f>
        <v>282</v>
      </c>
      <c r="J11">
        <f>GETPIVOTDATA("Sum of Total CX",$A$4,"Zone","BC")</f>
        <v>282</v>
      </c>
    </row>
    <row r="12" spans="1:10">
      <c r="A12" s="1" t="s">
        <v>273</v>
      </c>
      <c r="B12">
        <v>0</v>
      </c>
      <c r="C12">
        <v>282</v>
      </c>
      <c r="D12">
        <v>282</v>
      </c>
      <c r="G12" s="1"/>
    </row>
    <row r="13" spans="1:10">
      <c r="A13" s="1" t="s">
        <v>462</v>
      </c>
      <c r="B13">
        <v>751</v>
      </c>
      <c r="C13">
        <v>10607</v>
      </c>
      <c r="D13">
        <v>11358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11" sqref="B11"/>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84" t="s">
        <v>463</v>
      </c>
      <c r="B1" s="84"/>
      <c r="H1" s="84" t="s">
        <v>464</v>
      </c>
      <c r="I1" s="84"/>
    </row>
    <row r="2" spans="1:11">
      <c r="A2" s="2" t="s">
        <v>13</v>
      </c>
      <c r="B2" t="s">
        <v>457</v>
      </c>
    </row>
    <row r="4" spans="1:11">
      <c r="A4" s="2" t="s">
        <v>465</v>
      </c>
      <c r="B4" s="2" t="s">
        <v>466</v>
      </c>
      <c r="H4" s="23" t="s">
        <v>465</v>
      </c>
      <c r="I4" s="23" t="s">
        <v>466</v>
      </c>
      <c r="J4" s="23"/>
      <c r="K4" s="23"/>
    </row>
    <row r="5" spans="1:11">
      <c r="A5" s="2" t="s">
        <v>458</v>
      </c>
      <c r="B5" t="s">
        <v>37</v>
      </c>
      <c r="C5" t="s">
        <v>49</v>
      </c>
      <c r="D5" t="s">
        <v>462</v>
      </c>
      <c r="H5" s="24" t="s">
        <v>458</v>
      </c>
      <c r="I5" s="24" t="s">
        <v>467</v>
      </c>
      <c r="J5" s="24" t="s">
        <v>468</v>
      </c>
      <c r="K5" s="24" t="s">
        <v>462</v>
      </c>
    </row>
    <row r="6" spans="1:11">
      <c r="A6" s="1" t="s">
        <v>33</v>
      </c>
      <c r="B6">
        <v>585</v>
      </c>
      <c r="C6">
        <v>25</v>
      </c>
      <c r="D6">
        <v>610</v>
      </c>
      <c r="H6" s="1" t="s">
        <v>33</v>
      </c>
      <c r="I6">
        <f>GETPIVOTDATA("Total",$A$4,"Zone","LV","Spp","Pipiens")</f>
        <v>25</v>
      </c>
      <c r="J6">
        <f>GETPIVOTDATA("Total",$A$4,"Zone","LV","Spp","Tarsalis")</f>
        <v>585</v>
      </c>
      <c r="K6">
        <f>GETPIVOTDATA("Total",$A$4,"Zone","LV")</f>
        <v>610</v>
      </c>
    </row>
    <row r="7" spans="1:11">
      <c r="A7" s="1" t="s">
        <v>146</v>
      </c>
      <c r="B7">
        <v>179</v>
      </c>
      <c r="C7">
        <v>92</v>
      </c>
      <c r="D7">
        <v>271</v>
      </c>
      <c r="H7" s="1" t="s">
        <v>146</v>
      </c>
      <c r="I7">
        <f>GETPIVOTDATA("Total",$A$4,"Zone","NE","Spp","Pipiens")</f>
        <v>92</v>
      </c>
      <c r="J7">
        <f>GETPIVOTDATA("Total",$A$4,"Zone","NE","Spp","Tarsalis")</f>
        <v>179</v>
      </c>
      <c r="K7">
        <f>GETPIVOTDATA("Total",$A$4,"Zone","NE")</f>
        <v>271</v>
      </c>
    </row>
    <row r="8" spans="1:11">
      <c r="A8" s="1" t="s">
        <v>164</v>
      </c>
      <c r="B8">
        <v>237</v>
      </c>
      <c r="C8">
        <v>147</v>
      </c>
      <c r="D8">
        <v>384</v>
      </c>
      <c r="H8" s="1" t="s">
        <v>164</v>
      </c>
      <c r="I8">
        <f>GETPIVOTDATA("Total",$A$4,"Zone","NW","Spp","Pipiens")</f>
        <v>147</v>
      </c>
      <c r="J8">
        <f>GETPIVOTDATA("Total",$A$4,"Zone","NW","Spp","Tarsalis")</f>
        <v>237</v>
      </c>
      <c r="K8">
        <f>GETPIVOTDATA("Total",$A$4,"Zone","NW")</f>
        <v>384</v>
      </c>
    </row>
    <row r="9" spans="1:11">
      <c r="A9" s="1" t="s">
        <v>55</v>
      </c>
      <c r="B9">
        <v>2032</v>
      </c>
      <c r="C9">
        <v>394</v>
      </c>
      <c r="D9">
        <v>2426</v>
      </c>
      <c r="H9" s="1" t="s">
        <v>55</v>
      </c>
      <c r="I9">
        <f>GETPIVOTDATA("Total",$A$4,"Zone","SE","Spp","Pipiens")</f>
        <v>394</v>
      </c>
      <c r="J9">
        <f>GETPIVOTDATA("Total",$A$4,"Zone","SE","Spp","Tarsalis")</f>
        <v>2032</v>
      </c>
      <c r="K9">
        <f>GETPIVOTDATA("Total",$A$4,"Zone","SE")</f>
        <v>2426</v>
      </c>
    </row>
    <row r="10" spans="1:11">
      <c r="A10" s="1" t="s">
        <v>186</v>
      </c>
      <c r="B10">
        <v>182</v>
      </c>
      <c r="C10">
        <v>65</v>
      </c>
      <c r="D10">
        <v>247</v>
      </c>
      <c r="H10" s="1" t="s">
        <v>186</v>
      </c>
      <c r="I10">
        <f>GETPIVOTDATA("Total",$A$4,"Zone","SW","Spp","Pipiens")</f>
        <v>65</v>
      </c>
      <c r="J10">
        <f>GETPIVOTDATA("Total",$A$4,"Zone","SW","Spp","Tarsalis")</f>
        <v>182</v>
      </c>
      <c r="K10">
        <f>GETPIVOTDATA("Total",$A$4,"Zone","SW")</f>
        <v>247</v>
      </c>
    </row>
    <row r="11" spans="1:11">
      <c r="A11" s="1" t="s">
        <v>206</v>
      </c>
      <c r="B11">
        <v>210</v>
      </c>
      <c r="C11">
        <v>49</v>
      </c>
      <c r="D11">
        <v>259</v>
      </c>
      <c r="H11" s="1" t="s">
        <v>206</v>
      </c>
      <c r="I11">
        <f>GETPIVOTDATA("Total",$A$4,"Zone","BE","Spp","Pipiens")</f>
        <v>49</v>
      </c>
      <c r="J11">
        <f>GETPIVOTDATA("Total",$A$4,"Zone","BE","Spp","Tarsalis")</f>
        <v>210</v>
      </c>
      <c r="K11">
        <f>GETPIVOTDATA("Total",$A$4,"Zone","BE")</f>
        <v>259</v>
      </c>
    </row>
    <row r="12" spans="1:11">
      <c r="A12" s="1" t="s">
        <v>273</v>
      </c>
      <c r="B12">
        <v>282</v>
      </c>
      <c r="D12">
        <v>282</v>
      </c>
      <c r="H12" s="1" t="s">
        <v>273</v>
      </c>
      <c r="I12">
        <f>GETPIVOTDATA("Total",$A$4,"Zone","BC","Spp","Pipiens")</f>
        <v>0</v>
      </c>
      <c r="J12">
        <f>GETPIVOTDATA("Total",$A$4,"Zone","BC","Spp","Tarsalis")</f>
        <v>282</v>
      </c>
      <c r="K12">
        <f>GETPIVOTDATA("Total",$A$4,"Zone","BC")</f>
        <v>282</v>
      </c>
    </row>
    <row r="13" spans="1:11">
      <c r="A13" s="1" t="s">
        <v>462</v>
      </c>
      <c r="B13">
        <v>3707</v>
      </c>
      <c r="C13">
        <v>772</v>
      </c>
      <c r="D13">
        <v>4479</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file>

<file path=customXml/itemProps2.xml><?xml version="1.0" encoding="utf-8"?>
<ds:datastoreItem xmlns:ds="http://schemas.openxmlformats.org/officeDocument/2006/customXml" ds:itemID="{25AB0F6D-8CB6-46CB-9DC6-2D07921FCE0A}"/>
</file>

<file path=customXml/itemProps3.xml><?xml version="1.0" encoding="utf-8"?>
<ds:datastoreItem xmlns:ds="http://schemas.openxmlformats.org/officeDocument/2006/customXml" ds:itemID="{EC3D7A6C-0A97-4772-BB87-1B118DD12D09}"/>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Halpern,Kara</cp:lastModifiedBy>
  <cp:revision/>
  <dcterms:created xsi:type="dcterms:W3CDTF">2014-05-12T19:16:27Z</dcterms:created>
  <dcterms:modified xsi:type="dcterms:W3CDTF">2023-08-30T16:18:00Z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