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C:\Users\landon1\Downloads\"/>
    </mc:Choice>
  </mc:AlternateContent>
  <xr:revisionPtr revIDLastSave="0" documentId="13_ncr:1_{09AAA5ED-D8DB-49EC-AAC5-96553086D950}" xr6:coauthVersionLast="45" xr6:coauthVersionMax="47" xr10:uidLastSave="{00000000-0000-0000-0000-000000000000}"/>
  <bookViews>
    <workbookView xWindow="450" yWindow="180" windowWidth="18390" windowHeight="14565" tabRatio="869" firstSheet="6" activeTab="13" xr2:uid="{00000000-000D-0000-FFFF-FFFF00000000}"/>
  </bookViews>
  <sheets>
    <sheet name="READ ME" sheetId="65" r:id="rId1"/>
    <sheet name="Weekly Data Input" sheetId="2" r:id="rId2"/>
    <sheet name="Weekly 009 input" sheetId="59" r:id="rId3"/>
    <sheet name="Total Number Of Ind" sheetId="63" r:id="rId4"/>
    <sheet name="Total Number Ind Examined " sheetId="61" r:id="rId5"/>
    <sheet name="Total Number of Pools Examined" sheetId="64" r:id="rId6"/>
    <sheet name="Total Number of WNV + Pools" sheetId="6" r:id="rId7"/>
    <sheet name="CITYINFRATE" sheetId="57" r:id="rId8"/>
    <sheet name="ZONEINFRATE" sheetId="58" r:id="rId9"/>
    <sheet name="InfRateTotal" sheetId="97" r:id="rId10"/>
    <sheet name="InfRateZone" sheetId="93" r:id="rId11"/>
    <sheet name="InfRateZO" sheetId="91" r:id="rId12"/>
    <sheet name="InfRateCI" sheetId="89" r:id="rId13"/>
    <sheet name="Graphs" sheetId="5" r:id="rId14"/>
  </sheets>
  <definedNames>
    <definedName name="_xlnm._FilterDatabase" localSheetId="1" hidden="1">'Weekly Data Input'!#REF!</definedName>
  </definedNames>
  <calcPr calcId="191028"/>
  <pivotCaches>
    <pivotCache cacheId="8" r:id="rId15"/>
    <pivotCache cacheId="19"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 i="59" l="1"/>
  <c r="K4" i="59"/>
  <c r="J2" i="59"/>
  <c r="K2" i="59"/>
  <c r="J5" i="59"/>
  <c r="K5" i="59"/>
  <c r="J3" i="59"/>
  <c r="K3" i="59"/>
  <c r="J6" i="59"/>
  <c r="K6" i="59"/>
  <c r="K35" i="59" l="1"/>
  <c r="K79" i="59"/>
  <c r="K80" i="59"/>
  <c r="K81" i="59"/>
  <c r="K36" i="59"/>
  <c r="K39" i="59"/>
  <c r="K91" i="59"/>
  <c r="K44" i="59"/>
  <c r="K92" i="59"/>
  <c r="K48" i="59"/>
  <c r="K11" i="59"/>
  <c r="K12" i="59"/>
  <c r="K13" i="59"/>
  <c r="K18" i="59"/>
  <c r="K23" i="59"/>
  <c r="J35" i="59"/>
  <c r="J79" i="59"/>
  <c r="J80" i="59"/>
  <c r="J81" i="59"/>
  <c r="J36" i="59"/>
  <c r="J39" i="59"/>
  <c r="J91" i="59"/>
  <c r="J44" i="59"/>
  <c r="J92" i="59"/>
  <c r="J48" i="59"/>
  <c r="J11" i="59"/>
  <c r="J12" i="59"/>
  <c r="J13" i="59"/>
  <c r="J18" i="59"/>
  <c r="J23" i="59"/>
  <c r="L76" i="5" l="1"/>
  <c r="K34" i="59"/>
  <c r="K78" i="59"/>
  <c r="J34" i="59"/>
  <c r="J78" i="59"/>
  <c r="M74" i="5" l="1"/>
  <c r="M73" i="5"/>
  <c r="L74" i="5"/>
  <c r="L73" i="5"/>
  <c r="J24" i="59"/>
  <c r="K24" i="59"/>
  <c r="J45" i="59"/>
  <c r="K45" i="59"/>
  <c r="J46" i="59"/>
  <c r="K46" i="59"/>
  <c r="J41" i="59"/>
  <c r="K41" i="59"/>
  <c r="J42" i="59"/>
  <c r="K42" i="59"/>
  <c r="J93" i="59"/>
  <c r="K93" i="59"/>
  <c r="J83" i="59"/>
  <c r="K83" i="59"/>
  <c r="J84" i="59"/>
  <c r="K84" i="59"/>
  <c r="J94" i="59"/>
  <c r="K94" i="59"/>
  <c r="J85" i="59"/>
  <c r="K85" i="59"/>
  <c r="J67" i="59"/>
  <c r="K67" i="59"/>
  <c r="J68" i="59"/>
  <c r="K68" i="59"/>
  <c r="J86" i="59"/>
  <c r="K86" i="59"/>
  <c r="J64" i="59"/>
  <c r="K64" i="59"/>
  <c r="J100" i="59"/>
  <c r="K100" i="59"/>
  <c r="J87" i="59"/>
  <c r="K87" i="59"/>
  <c r="J69" i="59"/>
  <c r="K69" i="59"/>
  <c r="J88" i="59"/>
  <c r="K88" i="59"/>
  <c r="J95" i="59"/>
  <c r="K95" i="59"/>
  <c r="J82" i="59"/>
  <c r="K82" i="59"/>
  <c r="J96" i="59"/>
  <c r="K96" i="59"/>
  <c r="J98" i="59"/>
  <c r="K98" i="59"/>
  <c r="J99" i="59"/>
  <c r="K99" i="59"/>
  <c r="J65" i="59"/>
  <c r="K65" i="59"/>
  <c r="J55" i="59"/>
  <c r="K55" i="59"/>
  <c r="J74" i="59"/>
  <c r="K74" i="59"/>
  <c r="J75" i="59"/>
  <c r="K75" i="59"/>
  <c r="J56" i="59"/>
  <c r="K56" i="59"/>
  <c r="J89" i="59"/>
  <c r="K89" i="59"/>
  <c r="J57" i="59"/>
  <c r="K57" i="59"/>
  <c r="J58" i="59"/>
  <c r="K58" i="59"/>
  <c r="J59" i="59"/>
  <c r="K59" i="59"/>
  <c r="J90" i="59"/>
  <c r="K90" i="59"/>
  <c r="J97" i="59"/>
  <c r="K97" i="59"/>
  <c r="J60" i="59"/>
  <c r="K60" i="59"/>
  <c r="J61" i="59"/>
  <c r="K61" i="59"/>
  <c r="J49" i="59"/>
  <c r="K49" i="59"/>
  <c r="J7" i="59"/>
  <c r="K7" i="59"/>
  <c r="J50" i="59"/>
  <c r="K50" i="59"/>
  <c r="J8" i="59"/>
  <c r="K8" i="59"/>
  <c r="J9" i="59"/>
  <c r="K9" i="59"/>
  <c r="J10" i="59"/>
  <c r="K10" i="59"/>
  <c r="J51" i="59"/>
  <c r="K51" i="59"/>
  <c r="J14" i="59"/>
  <c r="K14" i="59"/>
  <c r="J52" i="59"/>
  <c r="K52" i="59"/>
  <c r="J15" i="59"/>
  <c r="K15" i="59"/>
  <c r="J16" i="59"/>
  <c r="K16" i="59"/>
  <c r="J25" i="59"/>
  <c r="K25" i="59"/>
  <c r="J17" i="59"/>
  <c r="K17" i="59"/>
  <c r="J37" i="59"/>
  <c r="K37" i="59"/>
  <c r="J38" i="59"/>
  <c r="K38" i="59"/>
  <c r="J40" i="59"/>
  <c r="K40" i="59"/>
  <c r="J19" i="59"/>
  <c r="K19" i="59"/>
  <c r="J20" i="59"/>
  <c r="K20" i="59"/>
  <c r="J21" i="59"/>
  <c r="K21" i="59"/>
  <c r="J47" i="59"/>
  <c r="K47" i="59"/>
  <c r="J53" i="59"/>
  <c r="K53" i="59"/>
  <c r="J22" i="59"/>
  <c r="K22" i="59"/>
  <c r="J26" i="59"/>
  <c r="K26" i="59"/>
  <c r="J54" i="59"/>
  <c r="K54" i="59"/>
  <c r="J62" i="59"/>
  <c r="K62" i="59"/>
  <c r="J27" i="59"/>
  <c r="K27" i="59"/>
  <c r="J28" i="59"/>
  <c r="K28" i="59"/>
  <c r="J63" i="59"/>
  <c r="K63" i="59"/>
  <c r="J66" i="59"/>
  <c r="K66" i="59"/>
  <c r="J70" i="59"/>
  <c r="K70" i="59"/>
  <c r="J71" i="59"/>
  <c r="K71" i="59"/>
  <c r="J29" i="59"/>
  <c r="K29" i="59"/>
  <c r="J72" i="59"/>
  <c r="K72" i="59"/>
  <c r="J30" i="59"/>
  <c r="K30" i="59"/>
  <c r="J31" i="59"/>
  <c r="K31" i="59"/>
  <c r="J73" i="59"/>
  <c r="K73" i="59"/>
  <c r="J76" i="59"/>
  <c r="K76" i="59"/>
  <c r="J32" i="59"/>
  <c r="K32" i="59"/>
  <c r="J33" i="59"/>
  <c r="K33" i="59"/>
  <c r="J77" i="59"/>
  <c r="K77" i="59"/>
  <c r="J43" i="59" l="1"/>
  <c r="K43" i="59"/>
  <c r="M76" i="5"/>
  <c r="M79" i="5"/>
  <c r="L79" i="5"/>
  <c r="G10" i="6"/>
  <c r="G13" i="6"/>
  <c r="G7" i="6"/>
  <c r="G14" i="6"/>
  <c r="G9" i="6"/>
  <c r="H13" i="6"/>
  <c r="G12" i="6"/>
  <c r="I13" i="6"/>
  <c r="G11" i="6"/>
  <c r="G8" i="6"/>
  <c r="I12" i="64"/>
  <c r="J12" i="64"/>
  <c r="H12" i="64"/>
  <c r="J12" i="61"/>
  <c r="K12" i="61"/>
  <c r="I12" i="61"/>
  <c r="H5" i="63"/>
  <c r="I10" i="63"/>
  <c r="J10" i="63"/>
  <c r="H10" i="63"/>
  <c r="J81" i="5" l="1"/>
  <c r="I81" i="5"/>
  <c r="G81" i="5"/>
  <c r="F81" i="5"/>
  <c r="C81" i="5"/>
  <c r="D81" i="5"/>
  <c r="H11" i="64"/>
  <c r="H8" i="64"/>
  <c r="H10" i="64"/>
  <c r="H6" i="64"/>
  <c r="H7" i="64"/>
  <c r="H9" i="64"/>
  <c r="I10" i="61"/>
  <c r="I11" i="61"/>
  <c r="J10" i="61"/>
  <c r="J9" i="61"/>
  <c r="J11" i="61"/>
  <c r="J8" i="61"/>
  <c r="I9" i="61"/>
  <c r="J6" i="61"/>
  <c r="I8" i="61"/>
  <c r="I7" i="61"/>
  <c r="I6" i="61"/>
  <c r="J7" i="61"/>
  <c r="J11" i="63"/>
  <c r="I11" i="63"/>
  <c r="H11" i="63"/>
  <c r="C48" i="5" l="1"/>
  <c r="G48" i="5" s="1"/>
  <c r="C14" i="5" s="1"/>
  <c r="H81" i="5"/>
  <c r="E81" i="5"/>
  <c r="E48" i="5"/>
  <c r="I48" i="5" s="1"/>
  <c r="D48" i="5"/>
  <c r="H48" i="5" s="1"/>
  <c r="D14" i="5" s="1"/>
  <c r="C73" i="5"/>
  <c r="L75" i="5" l="1"/>
  <c r="M75" i="5"/>
  <c r="L77" i="5"/>
  <c r="M77" i="5"/>
  <c r="L81" i="5"/>
  <c r="M81" i="5"/>
  <c r="F14" i="5" s="1"/>
  <c r="H14" i="5" s="1"/>
  <c r="I14" i="5" s="1"/>
  <c r="F44" i="5" l="1"/>
  <c r="H8" i="6"/>
  <c r="H11" i="6"/>
  <c r="H14" i="6"/>
  <c r="H12" i="6"/>
  <c r="H7" i="6"/>
  <c r="I14" i="6"/>
  <c r="H10" i="6"/>
  <c r="H9" i="6"/>
  <c r="I7" i="64"/>
  <c r="I10" i="64"/>
  <c r="I8" i="64"/>
  <c r="J9" i="64"/>
  <c r="I6" i="64"/>
  <c r="J7" i="64"/>
  <c r="I9" i="64"/>
  <c r="J8" i="64"/>
  <c r="I11" i="64"/>
  <c r="J6" i="64"/>
  <c r="K81" i="5" l="1"/>
  <c r="C76" i="5"/>
  <c r="G76" i="5"/>
  <c r="I75" i="5"/>
  <c r="J76" i="5"/>
  <c r="F74" i="5"/>
  <c r="F75" i="5"/>
  <c r="J79" i="5"/>
  <c r="G73" i="5"/>
  <c r="G74" i="5"/>
  <c r="J75" i="5"/>
  <c r="I73" i="5"/>
  <c r="I76" i="5"/>
  <c r="C79" i="5"/>
  <c r="G75" i="5"/>
  <c r="J73" i="5"/>
  <c r="F79" i="5"/>
  <c r="C75" i="5"/>
  <c r="J74" i="5"/>
  <c r="F73" i="5"/>
  <c r="F76" i="5"/>
  <c r="H76" i="5" s="1"/>
  <c r="C74" i="5"/>
  <c r="G79" i="5"/>
  <c r="I79" i="5"/>
  <c r="I74" i="5"/>
  <c r="H79" i="5" l="1"/>
  <c r="H75" i="5"/>
  <c r="J77" i="5"/>
  <c r="G77" i="5"/>
  <c r="H74" i="5"/>
  <c r="C77" i="5"/>
  <c r="I77" i="5"/>
  <c r="K79" i="5"/>
  <c r="H73" i="5"/>
  <c r="F77" i="5"/>
  <c r="I12" i="6"/>
  <c r="J11" i="64"/>
  <c r="K11" i="61"/>
  <c r="H77" i="5" l="1"/>
  <c r="I11" i="6"/>
  <c r="J10" i="64"/>
  <c r="K10" i="61"/>
  <c r="I5" i="63"/>
  <c r="J5" i="63"/>
  <c r="D76" i="5" l="1"/>
  <c r="E76" i="5" s="1"/>
  <c r="F12" i="5" l="1"/>
  <c r="E12" i="5"/>
  <c r="E10" i="5"/>
  <c r="F10" i="5"/>
  <c r="F9" i="5"/>
  <c r="F8" i="5"/>
  <c r="F7" i="5"/>
  <c r="F6" i="5"/>
  <c r="E9" i="5"/>
  <c r="E8" i="5"/>
  <c r="E7" i="5"/>
  <c r="E6" i="5"/>
  <c r="I9" i="6"/>
  <c r="I10" i="6"/>
  <c r="I8" i="6"/>
  <c r="I7" i="6"/>
  <c r="K8" i="61"/>
  <c r="K7" i="61"/>
  <c r="K6" i="61"/>
  <c r="K9" i="61"/>
  <c r="J9" i="63"/>
  <c r="J8" i="63"/>
  <c r="I6" i="63"/>
  <c r="H8" i="63"/>
  <c r="I7" i="63"/>
  <c r="I8" i="63"/>
  <c r="I9" i="63"/>
  <c r="J7" i="63"/>
  <c r="H6" i="63"/>
  <c r="H7" i="63"/>
  <c r="J6" i="63"/>
  <c r="H9" i="63"/>
  <c r="K73" i="5" l="1"/>
  <c r="K76" i="5"/>
  <c r="K74" i="5"/>
  <c r="K75" i="5"/>
  <c r="D79" i="5"/>
  <c r="E79" i="5" s="1"/>
  <c r="D75" i="5"/>
  <c r="D73" i="5"/>
  <c r="E73" i="5" s="1"/>
  <c r="D74" i="5"/>
  <c r="E74" i="5" s="1"/>
  <c r="C42" i="5"/>
  <c r="D40" i="5"/>
  <c r="C46" i="5"/>
  <c r="G46" i="5" s="1"/>
  <c r="C43" i="5"/>
  <c r="D42" i="5"/>
  <c r="C41" i="5"/>
  <c r="D46" i="5"/>
  <c r="H46" i="5" s="1"/>
  <c r="D43" i="5"/>
  <c r="H43" i="5" s="1"/>
  <c r="D9" i="5" s="1"/>
  <c r="C40" i="5"/>
  <c r="D41" i="5"/>
  <c r="K77" i="5" l="1"/>
  <c r="D77" i="5"/>
  <c r="E77" i="5" s="1"/>
  <c r="E75" i="5"/>
  <c r="D12" i="5"/>
  <c r="H12" i="5" s="1"/>
  <c r="C12" i="5"/>
  <c r="G12" i="5" s="1"/>
  <c r="E46" i="5"/>
  <c r="I46" i="5" s="1"/>
  <c r="I12" i="5" l="1"/>
  <c r="H42" i="5" l="1"/>
  <c r="H41" i="5"/>
  <c r="G43" i="5"/>
  <c r="G41" i="5"/>
  <c r="G40" i="5"/>
  <c r="H40" i="5" l="1"/>
  <c r="D6" i="5" s="1"/>
  <c r="G42" i="5"/>
  <c r="C8" i="5" s="1"/>
  <c r="E40" i="5"/>
  <c r="D44" i="5"/>
  <c r="C44" i="5"/>
  <c r="E41" i="5"/>
  <c r="I41" i="5" s="1"/>
  <c r="E43" i="5"/>
  <c r="I43" i="5" s="1"/>
  <c r="E42" i="5"/>
  <c r="I42" i="5" s="1"/>
  <c r="D8" i="5"/>
  <c r="D7" i="5"/>
  <c r="C9" i="5"/>
  <c r="C7" i="5"/>
  <c r="C6" i="5"/>
  <c r="I40" i="5" l="1"/>
  <c r="G44" i="5"/>
  <c r="C10" i="5" s="1"/>
  <c r="G10" i="5" s="1"/>
  <c r="H44" i="5"/>
  <c r="D10" i="5" s="1"/>
  <c r="H10" i="5" s="1"/>
  <c r="E44" i="5"/>
  <c r="I44" i="5" s="1"/>
  <c r="G8" i="5"/>
  <c r="G9" i="5"/>
  <c r="G6" i="5"/>
  <c r="H6" i="5"/>
  <c r="G7" i="5"/>
  <c r="H7" i="5"/>
  <c r="H8" i="5"/>
  <c r="H9" i="5"/>
  <c r="I6" i="5" l="1"/>
  <c r="I10" i="5"/>
  <c r="I9" i="5"/>
  <c r="I8" i="5"/>
  <c r="I7" i="5"/>
</calcChain>
</file>

<file path=xl/sharedStrings.xml><?xml version="1.0" encoding="utf-8"?>
<sst xmlns="http://schemas.openxmlformats.org/spreadsheetml/2006/main" count="1963" uniqueCount="352">
  <si>
    <t>This weekly skeleton is built to incorporate the "009" data sheet and the "weekly" datasheet from CMC.</t>
  </si>
  <si>
    <t>Copy and Paste the values from these files into the corresponding tabs each week and save a copy of original file</t>
  </si>
  <si>
    <t>Each Pivot Table directs you to the data set it is using and the graph it is sending data to</t>
  </si>
  <si>
    <t>Things to note:</t>
  </si>
  <si>
    <t>009 File does NOT include gravid traps or malfunction traps</t>
  </si>
  <si>
    <t>Change all Loveland Zones to LV</t>
  </si>
  <si>
    <t>All "sp." are to be changed to pipiens in 009 AND data sheet</t>
  </si>
  <si>
    <t>Must make "PIR-City" and "PIR-Zone" each week and save them as values, not equations</t>
  </si>
  <si>
    <t>Values in tabs are routed to values in graphs save the CITYINFRATE and ZONEINFRATE. You must copy and paste values from the "Pooled Inf Rate" software into the appropriate places in the worksheet.</t>
  </si>
  <si>
    <t>Highlite all positives in Weekly Data Input</t>
  </si>
  <si>
    <t>Year</t>
  </si>
  <si>
    <t>CSU Pool Number     (CMC enters)</t>
  </si>
  <si>
    <t>IDA Pool (CSU enters, leave blank)</t>
  </si>
  <si>
    <t>Week</t>
  </si>
  <si>
    <t>Trap Date</t>
  </si>
  <si>
    <t>County</t>
  </si>
  <si>
    <t>Account</t>
  </si>
  <si>
    <t>Collection Site (Trap ID)</t>
  </si>
  <si>
    <t>Zone</t>
  </si>
  <si>
    <t>Method (Light or Gravid)</t>
  </si>
  <si>
    <t>Genus</t>
  </si>
  <si>
    <t>Spp</t>
  </si>
  <si>
    <t>Sex</t>
  </si>
  <si>
    <t>No. Gravid</t>
  </si>
  <si>
    <t>No. Deplete</t>
  </si>
  <si>
    <t>Total</t>
  </si>
  <si>
    <t>Test code (CSU enters)</t>
  </si>
  <si>
    <t>Test Result (CSU enters)</t>
  </si>
  <si>
    <t>Comments</t>
  </si>
  <si>
    <t>PIR-City</t>
  </si>
  <si>
    <t>PIR-Zone</t>
  </si>
  <si>
    <t>N/A</t>
  </si>
  <si>
    <t>BC</t>
  </si>
  <si>
    <t>L</t>
  </si>
  <si>
    <t>Cx.</t>
  </si>
  <si>
    <t>Tarsalis</t>
  </si>
  <si>
    <t>F</t>
  </si>
  <si>
    <t>Negative</t>
  </si>
  <si>
    <t>BC-Tar</t>
  </si>
  <si>
    <t>BC-11</t>
  </si>
  <si>
    <t>Positive</t>
  </si>
  <si>
    <t>LC</t>
  </si>
  <si>
    <t>BE</t>
  </si>
  <si>
    <t>Pipiens</t>
  </si>
  <si>
    <t>LV</t>
  </si>
  <si>
    <t>LV-069</t>
  </si>
  <si>
    <t>LV-Pip</t>
  </si>
  <si>
    <t>LV-095</t>
  </si>
  <si>
    <t>LV-104</t>
  </si>
  <si>
    <t>LV-020</t>
  </si>
  <si>
    <t>LV-Tar</t>
  </si>
  <si>
    <t>LV-110</t>
  </si>
  <si>
    <t>FC</t>
  </si>
  <si>
    <t>NE</t>
  </si>
  <si>
    <t>FC-Pip</t>
  </si>
  <si>
    <t>NE-Pip</t>
  </si>
  <si>
    <t>FC-034</t>
  </si>
  <si>
    <t>FC-040gr</t>
  </si>
  <si>
    <t>G</t>
  </si>
  <si>
    <t>FC-040</t>
  </si>
  <si>
    <t>FC-092gr</t>
  </si>
  <si>
    <t>FC-072</t>
  </si>
  <si>
    <t>FC-091gr</t>
  </si>
  <si>
    <t>FC-019</t>
  </si>
  <si>
    <t>FC-066gr</t>
  </si>
  <si>
    <t>FC-014</t>
  </si>
  <si>
    <t>FC-066</t>
  </si>
  <si>
    <t>FC-Tar</t>
  </si>
  <si>
    <t>NE-Tar</t>
  </si>
  <si>
    <t>FC-069</t>
  </si>
  <si>
    <t>NW</t>
  </si>
  <si>
    <t>NW-Pip</t>
  </si>
  <si>
    <t>FC-061</t>
  </si>
  <si>
    <t>FC-041</t>
  </si>
  <si>
    <t>FC-073</t>
  </si>
  <si>
    <t>FC-090gr</t>
  </si>
  <si>
    <t>FC-063gr</t>
  </si>
  <si>
    <t>FC-063</t>
  </si>
  <si>
    <t>NW-Tar</t>
  </si>
  <si>
    <t>SE</t>
  </si>
  <si>
    <t>SE-Pip</t>
  </si>
  <si>
    <t>FC-075</t>
  </si>
  <si>
    <t>FC-075gr</t>
  </si>
  <si>
    <t>FC-088gr</t>
  </si>
  <si>
    <t>FC-047</t>
  </si>
  <si>
    <t>FC-004</t>
  </si>
  <si>
    <t>FC-023</t>
  </si>
  <si>
    <t>FC-050</t>
  </si>
  <si>
    <t>FC-039</t>
  </si>
  <si>
    <t>FC-046</t>
  </si>
  <si>
    <t>FC-054</t>
  </si>
  <si>
    <t>FC-029</t>
  </si>
  <si>
    <t>FC-029gr</t>
  </si>
  <si>
    <t>SE-Tar</t>
  </si>
  <si>
    <t>FC-074</t>
  </si>
  <si>
    <t>FC-059</t>
  </si>
  <si>
    <t>SW</t>
  </si>
  <si>
    <t>SW-Pip</t>
  </si>
  <si>
    <t>FC-001</t>
  </si>
  <si>
    <t>FC-037</t>
  </si>
  <si>
    <t>FC-089gr</t>
  </si>
  <si>
    <t>FC-071</t>
  </si>
  <si>
    <t>FC-062</t>
  </si>
  <si>
    <t>FC-093</t>
  </si>
  <si>
    <t>SW-Tar</t>
  </si>
  <si>
    <t>FC-057</t>
  </si>
  <si>
    <t>Infection Rate</t>
  </si>
  <si>
    <t>Lower Limit</t>
  </si>
  <si>
    <t>Upper Limit</t>
  </si>
  <si>
    <t>Scale</t>
  </si>
  <si>
    <t>Point Est Method</t>
  </si>
  <si>
    <t>CI Method</t>
  </si>
  <si>
    <t>Num Pools</t>
  </si>
  <si>
    <t>Num Pos Pools</t>
  </si>
  <si>
    <t>Num Individuals</t>
  </si>
  <si>
    <t>Bias Corrected MLE</t>
  </si>
  <si>
    <t>Corrected Score</t>
  </si>
  <si>
    <t>MLE</t>
  </si>
  <si>
    <t>Score</t>
  </si>
  <si>
    <t>Contract</t>
  </si>
  <si>
    <t>Location</t>
  </si>
  <si>
    <t>Species</t>
  </si>
  <si>
    <t>Total CX</t>
  </si>
  <si>
    <t>Type</t>
  </si>
  <si>
    <t>Trap Number</t>
  </si>
  <si>
    <t>Cx tarsalis</t>
  </si>
  <si>
    <t>Cx pipiens</t>
  </si>
  <si>
    <t>Boulder</t>
  </si>
  <si>
    <t>Culex tarsalis</t>
  </si>
  <si>
    <t>CDC Light Trap</t>
  </si>
  <si>
    <t>Culex pipiens</t>
  </si>
  <si>
    <t>Loveland</t>
  </si>
  <si>
    <t>29th and Madison</t>
  </si>
  <si>
    <t>LV-004</t>
  </si>
  <si>
    <t>Horseshoe Pennninsula</t>
  </si>
  <si>
    <t>7 Lakes Park</t>
  </si>
  <si>
    <t>LV-078</t>
  </si>
  <si>
    <t>Harding and Reagan</t>
  </si>
  <si>
    <t>LV-080</t>
  </si>
  <si>
    <t>2229 Arikaree</t>
  </si>
  <si>
    <t>LV-088</t>
  </si>
  <si>
    <t>Pond at Silver Lake</t>
  </si>
  <si>
    <t>LV-093</t>
  </si>
  <si>
    <t>Boyd Lake</t>
  </si>
  <si>
    <t>Sundisk and 13E</t>
  </si>
  <si>
    <t>LV-116</t>
  </si>
  <si>
    <t>Centerra</t>
  </si>
  <si>
    <t>LV-117</t>
  </si>
  <si>
    <t>Jefferson and 11th</t>
  </si>
  <si>
    <t>LV-074</t>
  </si>
  <si>
    <t>1105 East 1st Street</t>
  </si>
  <si>
    <t>LV-077</t>
  </si>
  <si>
    <t>Blue Tree Realty</t>
  </si>
  <si>
    <t>LV-100</t>
  </si>
  <si>
    <t>Cr 20 and 9</t>
  </si>
  <si>
    <t>915 S Boise</t>
  </si>
  <si>
    <t>LV-112</t>
  </si>
  <si>
    <t>Golf Vista</t>
  </si>
  <si>
    <t>LV-118</t>
  </si>
  <si>
    <t>Bldg D190, 815 14th Street Southwest, Loveland, CO 80537, USA</t>
  </si>
  <si>
    <t>LV-124</t>
  </si>
  <si>
    <t>8th And No Name</t>
  </si>
  <si>
    <t>LV-125</t>
  </si>
  <si>
    <t>Jocelyn and Eagle</t>
  </si>
  <si>
    <t>LV-019</t>
  </si>
  <si>
    <t>Cattail Pond</t>
  </si>
  <si>
    <t xml:space="preserve">Linda and 26th </t>
  </si>
  <si>
    <t>LV-021</t>
  </si>
  <si>
    <t>2001 S Douglas</t>
  </si>
  <si>
    <t>LV-042</t>
  </si>
  <si>
    <t>Del Norte Private Park</t>
  </si>
  <si>
    <t>LV-067</t>
  </si>
  <si>
    <t>Derby Hill</t>
  </si>
  <si>
    <t>LV-087</t>
  </si>
  <si>
    <t>Jill Drive Pond</t>
  </si>
  <si>
    <t>LV-114</t>
  </si>
  <si>
    <t>End of City Limits North</t>
  </si>
  <si>
    <t>LV-120</t>
  </si>
  <si>
    <t>Outlet Mall Apartments</t>
  </si>
  <si>
    <t>LV-066</t>
  </si>
  <si>
    <t xml:space="preserve">Big Thompson </t>
  </si>
  <si>
    <t>Fort Collins</t>
  </si>
  <si>
    <t>FC Visitor Center</t>
  </si>
  <si>
    <t>Edora Park</t>
  </si>
  <si>
    <t>Country Club</t>
  </si>
  <si>
    <t>Redwood</t>
  </si>
  <si>
    <t>Prospect Ponds</t>
  </si>
  <si>
    <t>422 Lake Dr</t>
  </si>
  <si>
    <t>Linden Lake Rd</t>
  </si>
  <si>
    <t>Fishback</t>
  </si>
  <si>
    <t>821 W Lake St, Fort Collins, CO 80521, USA</t>
  </si>
  <si>
    <t>Red Fox Meadows</t>
  </si>
  <si>
    <t xml:space="preserve">118 S Grant </t>
  </si>
  <si>
    <t>Big Horn</t>
  </si>
  <si>
    <t>Boltz</t>
  </si>
  <si>
    <t>Fossil Creek South</t>
  </si>
  <si>
    <t>Westshore Ct</t>
  </si>
  <si>
    <t>Keeneland And Twin Oak</t>
  </si>
  <si>
    <t>Golden Meadows Ditch</t>
  </si>
  <si>
    <t>Sage Creek North</t>
  </si>
  <si>
    <t>Ben's Park</t>
  </si>
  <si>
    <t>737 Parliament</t>
  </si>
  <si>
    <t>Springwood and Lochwood</t>
  </si>
  <si>
    <t>Rock Creek</t>
  </si>
  <si>
    <t>Magic Carpet</t>
  </si>
  <si>
    <t>Chelsea Ridge</t>
  </si>
  <si>
    <t>Water's Edge at Blue Mesa</t>
  </si>
  <si>
    <t>Silvergate Rd</t>
  </si>
  <si>
    <t>Lopez Elementary</t>
  </si>
  <si>
    <t>Registry Ridge</t>
  </si>
  <si>
    <t>FROM 009 FILE</t>
  </si>
  <si>
    <t>Corresponds to 2a</t>
  </si>
  <si>
    <t>(All)</t>
  </si>
  <si>
    <t>Row Labels</t>
  </si>
  <si>
    <t>Sum of Cx pipiens</t>
  </si>
  <si>
    <t>Sum of Cx tarsalis</t>
  </si>
  <si>
    <t>Sum of Total CX</t>
  </si>
  <si>
    <t>Grand Total</t>
  </si>
  <si>
    <t>FROM WEEKLY DATA INPUT</t>
  </si>
  <si>
    <t>Corresponds to 3a</t>
  </si>
  <si>
    <t>Sum of Total</t>
  </si>
  <si>
    <t>Column Labels</t>
  </si>
  <si>
    <t>pipiens</t>
  </si>
  <si>
    <t>tarsalis</t>
  </si>
  <si>
    <t>Count of CSU Pool Number     (CMC enters)</t>
  </si>
  <si>
    <t>Sum of Test code (CSU enters)</t>
  </si>
  <si>
    <t>Count of CSU Pool</t>
  </si>
  <si>
    <t>CITY</t>
  </si>
  <si>
    <t>SPECIES</t>
  </si>
  <si>
    <t>Cx. pipiens</t>
  </si>
  <si>
    <t>Cx. tarsalis</t>
  </si>
  <si>
    <t>ZONE</t>
  </si>
  <si>
    <t>GRAPH 1A</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</si>
  <si>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</si>
  <si>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</si>
  <si>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</si>
  <si>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</si>
  <si>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</si>
  <si>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</si>
  <si>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</si>
  <si>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</si>
  <si>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</si>
  <si>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Zone NW</t>
  </si>
  <si>
    <t>FC – Zone NE</t>
  </si>
  <si>
    <t>FC – Zone SE</t>
  </si>
  <si>
    <t>FC – Zone SW</t>
  </si>
  <si>
    <t>FC – Citywide</t>
  </si>
  <si>
    <t>Graph 1B</t>
  </si>
  <si>
    <t xml:space="preserve">Week </t>
  </si>
  <si>
    <t>Current year</t>
  </si>
  <si>
    <r>
      <t>Historical average</t>
    </r>
    <r>
      <rPr>
        <vertAlign val="superscript"/>
        <sz val="9"/>
        <color theme="1"/>
        <rFont val="Arial"/>
        <family val="2"/>
      </rPr>
      <t>1</t>
    </r>
  </si>
  <si>
    <t>Graph 2a</t>
  </si>
  <si>
    <t>Total number</t>
  </si>
  <si>
    <t>Mean abundance of females per CDC light trap night</t>
  </si>
  <si>
    <t>females collected</t>
  </si>
  <si>
    <t>Number CDC light trap nights</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</si>
  <si>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</si>
  <si>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</si>
  <si>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</si>
  <si>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</si>
  <si>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Graph 2b</t>
  </si>
  <si>
    <t>Graph 3a</t>
  </si>
  <si>
    <t>Total number individuals examined</t>
  </si>
  <si>
    <t>Total number pools examined</t>
  </si>
  <si>
    <t xml:space="preserve">Total number </t>
  </si>
  <si>
    <r>
      <t>Estimate for WNV infection rate per 1,000 females</t>
    </r>
    <r>
      <rPr>
        <vertAlign val="superscript"/>
        <sz val="9"/>
        <color theme="1"/>
        <rFont val="Arial"/>
        <family val="2"/>
      </rPr>
      <t>1</t>
    </r>
  </si>
  <si>
    <t>WNV-infected pools</t>
  </si>
  <si>
    <r>
      <t xml:space="preserve">All </t>
    </r>
    <r>
      <rPr>
        <i/>
        <sz val="9"/>
        <color theme="1"/>
        <rFont val="Arial"/>
        <family val="2"/>
      </rPr>
      <t>Culex</t>
    </r>
  </si>
  <si>
    <t>Graph 3b</t>
  </si>
  <si>
    <t>BC-26</t>
  </si>
  <si>
    <t>BC-13</t>
  </si>
  <si>
    <t>CSU-21635</t>
  </si>
  <si>
    <t>CSU-21636</t>
  </si>
  <si>
    <t>CSU-21637</t>
  </si>
  <si>
    <t>CSU-21638</t>
  </si>
  <si>
    <t>CSU-21639</t>
  </si>
  <si>
    <t>CSU-21640</t>
  </si>
  <si>
    <t>CSU-21641</t>
  </si>
  <si>
    <t>CSU-21642</t>
  </si>
  <si>
    <t>CSU-21643</t>
  </si>
  <si>
    <t>CSU-21644</t>
  </si>
  <si>
    <t>CSU-21645</t>
  </si>
  <si>
    <t>CSU-21646</t>
  </si>
  <si>
    <t>CSU-21647</t>
  </si>
  <si>
    <t>CSU-21648</t>
  </si>
  <si>
    <t>CSU-21649</t>
  </si>
  <si>
    <t>CSU-21650</t>
  </si>
  <si>
    <t>CSU-21651</t>
  </si>
  <si>
    <t>CSU-21652</t>
  </si>
  <si>
    <t>CSU-21653</t>
  </si>
  <si>
    <t>CSU-21654</t>
  </si>
  <si>
    <t>CSU-21655</t>
  </si>
  <si>
    <t>CSU-21656</t>
  </si>
  <si>
    <t>CSU-21657</t>
  </si>
  <si>
    <t>CSU-21658</t>
  </si>
  <si>
    <t>CSU-21659</t>
  </si>
  <si>
    <t>CSU-21660</t>
  </si>
  <si>
    <t>CSU-21661</t>
  </si>
  <si>
    <t>CSU-21662</t>
  </si>
  <si>
    <t>CSU-21663</t>
  </si>
  <si>
    <t>CSU-21664</t>
  </si>
  <si>
    <t>CSU-21665</t>
  </si>
  <si>
    <t>CSU-21666</t>
  </si>
  <si>
    <t>CSU-21667</t>
  </si>
  <si>
    <t>CSU-21668</t>
  </si>
  <si>
    <t>CSU-21669</t>
  </si>
  <si>
    <t>CSU-21670</t>
  </si>
  <si>
    <t>CSU-21671</t>
  </si>
  <si>
    <t>CSU-21672</t>
  </si>
  <si>
    <t>CSU-21673</t>
  </si>
  <si>
    <t>CSU-21674</t>
  </si>
  <si>
    <t>CSU-21675</t>
  </si>
  <si>
    <t>CSU-21676</t>
  </si>
  <si>
    <t>CSU-21677</t>
  </si>
  <si>
    <t>CSU-21678</t>
  </si>
  <si>
    <t>CSU-21679</t>
  </si>
  <si>
    <t>CSU-21680</t>
  </si>
  <si>
    <t>CSU-21681</t>
  </si>
  <si>
    <t>CSU-21682</t>
  </si>
  <si>
    <t>CSU-21683</t>
  </si>
  <si>
    <t>CSU-21684</t>
  </si>
  <si>
    <t>CSU-21685</t>
  </si>
  <si>
    <t>CSU-21686</t>
  </si>
  <si>
    <t>CSU-21687</t>
  </si>
  <si>
    <t>CSU-21688</t>
  </si>
  <si>
    <t>CSU-21689</t>
  </si>
  <si>
    <t>CSU-21690</t>
  </si>
  <si>
    <t>CSU-21691</t>
  </si>
  <si>
    <t>CSU-21692</t>
  </si>
  <si>
    <t>CSU-21693</t>
  </si>
  <si>
    <t>CSU-21694</t>
  </si>
  <si>
    <t>CSU-21695</t>
  </si>
  <si>
    <t>CSU-21696</t>
  </si>
  <si>
    <t>CSU-21697</t>
  </si>
  <si>
    <t>CSU-21698</t>
  </si>
  <si>
    <t>CSU-21699</t>
  </si>
  <si>
    <t>CSU-21700</t>
  </si>
  <si>
    <t>CSU-21701</t>
  </si>
  <si>
    <t>CSU-21702</t>
  </si>
  <si>
    <t>BOU-00201</t>
  </si>
  <si>
    <t>BC-22</t>
  </si>
  <si>
    <t>BOU-00202</t>
  </si>
  <si>
    <t>BOU-00203</t>
  </si>
  <si>
    <t>BOU-00204</t>
  </si>
  <si>
    <t>BOU-00205</t>
  </si>
  <si>
    <t>BC-27</t>
  </si>
  <si>
    <t>Sombrero Marsh</t>
  </si>
  <si>
    <t>Stazio Ballfields</t>
  </si>
  <si>
    <t>Sawhill Ponds</t>
  </si>
  <si>
    <t>East Boulder Rec</t>
  </si>
  <si>
    <t>Goose Creek</t>
  </si>
  <si>
    <t>Week: 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</si>
</sst>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4">
    <font>
      <sz val="11"/>
      <color theme="1"/>
      <name val="Calibri"/>
      <family val="2"/>
      <scheme val="minor"/>
    </font>
    <font>
      <sz val="11"/>
      <color theme="1"/>
      <name val="Calibri"/>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11"/>
      <color rgb="FF000000"/>
      <name val="Calibri"/>
      <family val="2"/>
      <scheme val="minor"/>
    </font>
    <font>
      <sz val="8"/>
      <color rgb="FF000000"/>
      <name val="Arial"/>
      <family val="2"/>
    </font>
    <font>
      <sz val="10"/>
      <color rgb="FF000000"/>
      <name val="Helvetica Neue"/>
    </font>
    <font>
      <sz val="11"/>
      <color rgb="FF000000"/>
      <name val="Helvetica Neue"/>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s>
  <cellStyleXfs count="3">
    <xf numFmtId="0" fontId="0" fillId="0" borderId="0"/>
    <xf numFmtId="0" fontId="2" fillId="0" borderId="0"/>
    <xf numFmtId="0" fontId="19" fillId="0" borderId="0" applyNumberFormat="0" applyFill="0" applyBorder="0" applyProtection="0">
      <alignment vertical="top"/>
    </xf>
  </cellStyleXfs>
  <cellXfs count="137">
    <xf numFmtId="0" fontId="0" fillId="0" borderId="0" xfId="0"/>
    <xf numFmtId="0" fontId="0" fillId="0" borderId="0" xfId="0" applyAlignment="1">
      <alignment horizontal="left"/>
    </xf>
    <xf numFmtId="0" fontId="0" fillId="0" borderId="0" xfId="0" pivotButton="1"/>
    <xf numFmtId="0" fontId="3" fillId="0" borderId="1" xfId="0" applyFont="1" applyBorder="1" applyAlignment="1">
      <alignment vertical="center" wrapText="1"/>
    </xf>
    <xf numFmtId="0" fontId="3" fillId="0" borderId="2" xfId="0" applyFont="1" applyBorder="1" applyAlignment="1">
      <alignment vertical="center" wrapText="1"/>
    </xf>
    <xf numFmtId="0" fontId="0" fillId="0" borderId="3" xfId="0" applyBorder="1" applyAlignment="1">
      <alignment vertical="top" wrapText="1"/>
    </xf>
    <xf numFmtId="0" fontId="6" fillId="0" borderId="6" xfId="0" applyFont="1" applyBorder="1" applyAlignment="1">
      <alignment horizontal="center" vertical="center" wrapText="1"/>
    </xf>
    <xf numFmtId="0" fontId="6" fillId="0" borderId="8" xfId="0" applyFont="1" applyBorder="1" applyAlignment="1">
      <alignment horizontal="center" vertical="center" wrapText="1"/>
    </xf>
    <xf numFmtId="0" fontId="5" fillId="0" borderId="6" xfId="0" applyFont="1" applyBorder="1" applyAlignment="1">
      <alignment horizontal="center" vertical="center" wrapText="1"/>
    </xf>
    <xf numFmtId="0" fontId="7" fillId="0" borderId="8" xfId="0" applyFont="1" applyBorder="1" applyAlignment="1">
      <alignment horizontal="center" vertical="center" wrapText="1"/>
    </xf>
    <xf numFmtId="0" fontId="3" fillId="0" borderId="3" xfId="0" applyFont="1" applyBorder="1" applyAlignment="1">
      <alignment vertical="center" wrapText="1"/>
    </xf>
    <xf numFmtId="0" fontId="3" fillId="0" borderId="8" xfId="0" applyFont="1" applyBorder="1" applyAlignment="1">
      <alignment horizontal="center" vertical="center" wrapText="1"/>
    </xf>
    <xf numFmtId="0" fontId="0" fillId="0" borderId="8" xfId="0" applyBorder="1" applyAlignment="1">
      <alignment vertical="top" wrapText="1"/>
    </xf>
    <xf numFmtId="0" fontId="3" fillId="0" borderId="6" xfId="0" applyFont="1" applyBorder="1" applyAlignment="1">
      <alignment horizontal="center" vertical="center" wrapText="1"/>
    </xf>
    <xf numFmtId="0" fontId="3" fillId="0" borderId="5" xfId="0" applyFont="1" applyBorder="1" applyAlignment="1">
      <alignment horizontal="center" vertical="center" wrapText="1"/>
    </xf>
    <xf numFmtId="0" fontId="9" fillId="0" borderId="1" xfId="0" applyFont="1" applyBorder="1" applyAlignment="1">
      <alignment vertical="center" wrapText="1"/>
    </xf>
    <xf numFmtId="0" fontId="9" fillId="0" borderId="2" xfId="0" applyFont="1" applyBorder="1" applyAlignment="1">
      <alignment vertical="center" wrapText="1"/>
    </xf>
    <xf numFmtId="0" fontId="9" fillId="0" borderId="3" xfId="0" applyFont="1" applyBorder="1" applyAlignment="1">
      <alignment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8" xfId="0" applyFont="1" applyBorder="1" applyAlignment="1">
      <alignment horizontal="center" vertical="center" wrapText="1"/>
    </xf>
    <xf numFmtId="0" fontId="0" fillId="0" borderId="6" xfId="0" applyBorder="1" applyAlignment="1">
      <alignment vertical="top" wrapText="1"/>
    </xf>
    <xf numFmtId="0" fontId="12" fillId="0" borderId="8" xfId="0" applyFont="1" applyBorder="1" applyAlignment="1">
      <alignment horizontal="center" vertical="center" wrapText="1"/>
    </xf>
    <xf numFmtId="0" fontId="13" fillId="2" borderId="0" xfId="0" applyFont="1" applyFill="1"/>
    <xf numFmtId="0" fontId="13" fillId="2" borderId="12" xfId="0" applyFont="1" applyFill="1" applyBorder="1"/>
    <xf numFmtId="2" fontId="3" fillId="0" borderId="8" xfId="0" applyNumberFormat="1" applyFont="1" applyBorder="1" applyAlignment="1">
      <alignment horizontal="center" vertical="center" wrapText="1"/>
    </xf>
    <xf numFmtId="166" fontId="3" fillId="0" borderId="6" xfId="0" applyNumberFormat="1" applyFont="1" applyBorder="1" applyAlignment="1">
      <alignment horizontal="center" vertical="center" wrapText="1"/>
    </xf>
    <xf numFmtId="166" fontId="6" fillId="0" borderId="8" xfId="0" applyNumberFormat="1" applyFont="1" applyBorder="1" applyAlignment="1">
      <alignment horizontal="center" vertical="center" wrapText="1"/>
    </xf>
    <xf numFmtId="166" fontId="3" fillId="0" borderId="8" xfId="0" applyNumberFormat="1" applyFont="1" applyBorder="1" applyAlignment="1">
      <alignment horizontal="center" vertical="center" wrapText="1"/>
    </xf>
    <xf numFmtId="2" fontId="9" fillId="0" borderId="8" xfId="0" applyNumberFormat="1" applyFont="1" applyBorder="1" applyAlignment="1">
      <alignment horizontal="center" vertical="center" wrapText="1"/>
    </xf>
    <xf numFmtId="2" fontId="0" fillId="0" borderId="0" xfId="0" applyNumberFormat="1"/>
    <xf numFmtId="167" fontId="5" fillId="0" borderId="8" xfId="0" applyNumberFormat="1" applyFont="1" applyBorder="1" applyAlignment="1">
      <alignment horizontal="center" vertical="center" wrapText="1"/>
    </xf>
    <xf numFmtId="0" fontId="0" fillId="3" borderId="0" xfId="0" applyFill="1"/>
    <xf numFmtId="0" fontId="16" fillId="0" borderId="0" xfId="0" applyFont="1"/>
    <xf numFmtId="0" fontId="15" fillId="0" borderId="14" xfId="0" applyFont="1" applyBorder="1" applyAlignment="1">
      <alignment horizontal="left" vertical="center"/>
    </xf>
    <xf numFmtId="0" fontId="15" fillId="0" borderId="13" xfId="0" applyFont="1" applyBorder="1" applyAlignment="1">
      <alignment horizontal="left" vertical="center"/>
    </xf>
    <xf numFmtId="0" fontId="14" fillId="4" borderId="13" xfId="0" applyFont="1" applyFill="1" applyBorder="1" applyAlignment="1">
      <alignment horizontal="left" vertical="center" wrapText="1"/>
    </xf>
    <xf numFmtId="14" fontId="14" fillId="4" borderId="13" xfId="0" applyNumberFormat="1" applyFont="1" applyFill="1" applyBorder="1" applyAlignment="1">
      <alignment horizontal="left" vertical="center" wrapText="1"/>
    </xf>
    <xf numFmtId="0" fontId="14" fillId="4" borderId="14" xfId="0" applyFont="1" applyFill="1" applyBorder="1" applyAlignment="1">
      <alignment horizontal="left" vertical="center"/>
    </xf>
    <xf numFmtId="0" fontId="13" fillId="4" borderId="13" xfId="0" applyFont="1" applyFill="1" applyBorder="1"/>
    <xf numFmtId="168" fontId="3" fillId="0" borderId="8" xfId="0" applyNumberFormat="1" applyFont="1" applyBorder="1" applyAlignment="1">
      <alignment horizontal="center" vertical="center" wrapText="1"/>
    </xf>
    <xf numFmtId="0" fontId="9" fillId="0" borderId="3" xfId="0" applyFont="1" applyBorder="1" applyAlignment="1">
      <alignment horizontal="right" vertical="center" wrapText="1"/>
    </xf>
    <xf numFmtId="2" fontId="17" fillId="0" borderId="3" xfId="0" applyNumberFormat="1" applyFont="1" applyBorder="1" applyAlignment="1">
      <alignment horizontal="right" vertical="center" wrapText="1"/>
    </xf>
    <xf numFmtId="2" fontId="17" fillId="0" borderId="8" xfId="0" applyNumberFormat="1" applyFont="1" applyBorder="1" applyAlignment="1">
      <alignment horizontal="right" vertical="center" wrapText="1"/>
    </xf>
    <xf numFmtId="2" fontId="9" fillId="0" borderId="8" xfId="0" applyNumberFormat="1" applyFont="1" applyBorder="1" applyAlignment="1">
      <alignment horizontal="right" vertical="center" wrapText="1"/>
    </xf>
    <xf numFmtId="1" fontId="3" fillId="0" borderId="8" xfId="0" applyNumberFormat="1" applyFont="1" applyBorder="1" applyAlignment="1">
      <alignment horizontal="center" vertical="center" wrapText="1"/>
    </xf>
    <xf numFmtId="1" fontId="9" fillId="0" borderId="8" xfId="0" applyNumberFormat="1" applyFont="1" applyBorder="1" applyAlignment="1">
      <alignment horizontal="center" vertical="center" wrapText="1"/>
    </xf>
    <xf numFmtId="0" fontId="13" fillId="0" borderId="0" xfId="0" applyFont="1" applyAlignment="1">
      <alignment horizontal="center"/>
    </xf>
    <xf numFmtId="0" fontId="0" fillId="5" borderId="0" xfId="0" applyFill="1"/>
    <xf numFmtId="2" fontId="13" fillId="0" borderId="0" xfId="0" applyNumberFormat="1" applyFont="1" applyAlignment="1">
      <alignment horizontal="center"/>
    </xf>
    <xf numFmtId="164" fontId="14" fillId="4" borderId="13" xfId="0" applyNumberFormat="1" applyFont="1" applyFill="1" applyBorder="1" applyAlignment="1">
      <alignment vertical="center" wrapText="1"/>
    </xf>
    <xf numFmtId="164" fontId="15" fillId="0" borderId="13" xfId="0" applyNumberFormat="1" applyFont="1" applyBorder="1" applyAlignment="1">
      <alignment vertical="center"/>
    </xf>
    <xf numFmtId="0" fontId="14" fillId="4" borderId="13" xfId="0" applyFont="1" applyFill="1" applyBorder="1" applyAlignment="1">
      <alignment horizontal="right" vertical="center" wrapText="1"/>
    </xf>
    <xf numFmtId="0" fontId="15" fillId="0" borderId="13" xfId="0" applyFont="1" applyBorder="1" applyAlignment="1">
      <alignment horizontal="right" vertical="center"/>
    </xf>
    <xf numFmtId="0" fontId="14" fillId="4" borderId="13" xfId="0" applyFont="1" applyFill="1" applyBorder="1" applyAlignment="1">
      <alignment vertical="center" wrapText="1"/>
    </xf>
    <xf numFmtId="0" fontId="15" fillId="0" borderId="13" xfId="0" applyFont="1" applyBorder="1" applyAlignment="1">
      <alignment vertical="center"/>
    </xf>
    <xf numFmtId="165" fontId="14" fillId="4" borderId="13" xfId="0" applyNumberFormat="1" applyFont="1" applyFill="1" applyBorder="1" applyAlignment="1">
      <alignment vertical="center" wrapText="1"/>
    </xf>
    <xf numFmtId="0" fontId="15" fillId="0" borderId="15" xfId="0" applyFont="1" applyBorder="1" applyAlignment="1">
      <alignment vertical="center"/>
    </xf>
    <xf numFmtId="14" fontId="0" fillId="0" borderId="0" xfId="0" applyNumberFormat="1" applyAlignment="1">
      <alignment horizontal="left"/>
    </xf>
    <xf numFmtId="0" fontId="13" fillId="6" borderId="13" xfId="0" applyFont="1" applyFill="1" applyBorder="1"/>
    <xf numFmtId="14" fontId="13" fillId="4" borderId="13" xfId="0" applyNumberFormat="1" applyFont="1" applyFill="1" applyBorder="1" applyAlignment="1">
      <alignment horizontal="left"/>
    </xf>
    <xf numFmtId="2" fontId="9" fillId="0" borderId="3" xfId="0" applyNumberFormat="1" applyFont="1" applyBorder="1" applyAlignment="1">
      <alignment horizontal="right" vertical="center" wrapText="1"/>
    </xf>
    <xf numFmtId="14" fontId="0" fillId="0" borderId="0" xfId="0" applyNumberFormat="1"/>
    <xf numFmtId="169" fontId="0" fillId="0" borderId="0" xfId="0" applyNumberFormat="1"/>
    <xf numFmtId="0" fontId="0" fillId="0" borderId="0" xfId="0" applyAlignment="1">
      <alignment horizontal="right"/>
    </xf>
    <xf numFmtId="0" fontId="13" fillId="2" borderId="16" xfId="0" applyFont="1" applyFill="1" applyBorder="1" applyAlignment="1">
      <alignment horizontal="left"/>
    </xf>
    <xf numFmtId="0" fontId="13" fillId="2" borderId="16" xfId="0" applyFont="1" applyFill="1" applyBorder="1"/>
    <xf numFmtId="2" fontId="3" fillId="0" borderId="8" xfId="0" applyNumberFormat="1" applyFont="1" applyBorder="1" applyAlignment="1">
      <alignment horizontal="right" vertical="center" wrapText="1"/>
    </xf>
    <xf numFmtId="0" fontId="18" fillId="0" borderId="13" xfId="0" applyFont="1" applyBorder="1" applyAlignment="1">
      <alignment horizontal="right"/>
    </xf>
    <xf numFmtId="14" fontId="20" fillId="0" borderId="0" xfId="0" applyNumberFormat="1" applyFont="1"/>
    <xf numFmtId="0" fontId="20" fillId="0" borderId="0" xfId="0" applyFont="1"/>
    <xf numFmtId="0" fontId="21" fillId="0" borderId="13" xfId="0" applyFont="1" applyBorder="1" applyAlignment="1">
      <alignment horizontal="center" wrapText="1"/>
    </xf>
    <xf numFmtId="0" fontId="21" fillId="0" borderId="13" xfId="0" applyFont="1" applyBorder="1" applyAlignment="1">
      <alignment vertical="top"/>
    </xf>
    <xf numFmtId="0" fontId="21" fillId="0" borderId="13" xfId="0" applyFont="1" applyBorder="1" applyAlignment="1">
      <alignment horizontal="center" vertical="top"/>
    </xf>
    <xf numFmtId="14" fontId="21" fillId="0" borderId="13" xfId="0" applyNumberFormat="1" applyFont="1" applyBorder="1" applyAlignment="1">
      <alignment horizontal="center" vertical="top"/>
    </xf>
    <xf numFmtId="2" fontId="9" fillId="0" borderId="7" xfId="0" applyNumberFormat="1" applyFont="1" applyBorder="1" applyAlignment="1">
      <alignment horizontal="center" vertical="center" wrapText="1"/>
    </xf>
    <xf numFmtId="2" fontId="17" fillId="0" borderId="18" xfId="0" applyNumberFormat="1" applyFont="1" applyBorder="1" applyAlignment="1">
      <alignment horizontal="center" vertical="center" wrapText="1"/>
    </xf>
    <xf numFmtId="2" fontId="17" fillId="0" borderId="17" xfId="0" applyNumberFormat="1" applyFont="1" applyBorder="1" applyAlignment="1">
      <alignment horizontal="center" vertical="center" wrapText="1"/>
    </xf>
    <xf numFmtId="0" fontId="21" fillId="3" borderId="13" xfId="0" applyFont="1" applyFill="1" applyBorder="1" applyAlignment="1">
      <alignment horizontal="center" wrapText="1"/>
    </xf>
    <xf numFmtId="0" fontId="15" fillId="3" borderId="13" xfId="0" applyFont="1" applyFill="1" applyBorder="1" applyAlignment="1">
      <alignment horizontal="right" vertical="center"/>
    </xf>
    <xf numFmtId="0" fontId="15" fillId="3" borderId="13" xfId="0" applyFont="1" applyFill="1" applyBorder="1" applyAlignment="1">
      <alignment horizontal="left" vertical="center"/>
    </xf>
    <xf numFmtId="0" fontId="0" fillId="0" borderId="0" xfId="0" applyNumberFormat="1"/>
    <xf numFmtId="0" fontId="1" fillId="0" borderId="0" xfId="0" applyFont="1"/>
    <xf numFmtId="0" fontId="21" fillId="0" borderId="13" xfId="0" applyFont="1" applyFill="1" applyBorder="1" applyAlignment="1">
      <alignment horizontal="center" wrapText="1"/>
    </xf>
    <xf numFmtId="0" fontId="21" fillId="0" borderId="13" xfId="0" applyFont="1" applyFill="1" applyBorder="1" applyAlignment="1">
      <alignment horizontal="center" vertical="top"/>
    </xf>
    <xf numFmtId="14" fontId="21" fillId="0" borderId="13" xfId="0" applyNumberFormat="1" applyFont="1" applyFill="1" applyBorder="1" applyAlignment="1">
      <alignment horizontal="center" vertical="top"/>
    </xf>
    <xf numFmtId="0" fontId="21" fillId="0" borderId="13" xfId="0" applyFont="1" applyFill="1" applyBorder="1" applyAlignment="1">
      <alignment vertical="top"/>
    </xf>
    <xf numFmtId="0" fontId="15" fillId="0" borderId="13" xfId="0" applyFont="1" applyFill="1" applyBorder="1" applyAlignment="1">
      <alignment horizontal="right" vertical="center"/>
    </xf>
    <xf numFmtId="0" fontId="15" fillId="0" borderId="13" xfId="0" applyFont="1" applyFill="1" applyBorder="1" applyAlignment="1">
      <alignment horizontal="left" vertical="center"/>
    </xf>
    <xf numFmtId="0" fontId="0" fillId="0" borderId="0" xfId="0" applyAlignment="1">
      <alignment wrapText="1"/>
    </xf>
    <xf numFmtId="0" fontId="20" fillId="0" borderId="0" xfId="0" applyFont="1" applyAlignment="1">
      <alignment wrapText="1"/>
    </xf>
    <xf numFmtId="0" fontId="23" fillId="3" borderId="13" xfId="0" applyFont="1" applyFill="1" applyBorder="1" applyAlignment="1">
      <alignment vertical="top"/>
    </xf>
    <xf numFmtId="0" fontId="23" fillId="3" borderId="13" xfId="0" applyFont="1" applyFill="1" applyBorder="1" applyAlignment="1">
      <alignment horizontal="center" vertical="top"/>
    </xf>
    <xf numFmtId="14" fontId="23" fillId="3" borderId="13" xfId="0" applyNumberFormat="1" applyFont="1" applyFill="1" applyBorder="1" applyAlignment="1">
      <alignment horizontal="center" vertical="top"/>
    </xf>
    <xf numFmtId="0" fontId="0" fillId="3" borderId="0" xfId="0" applyFill="1" applyAlignment="1">
      <alignment horizontal="center"/>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7" fillId="0" borderId="1" xfId="0" applyFont="1" applyBorder="1" applyAlignment="1">
      <alignment horizontal="center" vertical="center" wrapText="1"/>
    </xf>
    <xf numFmtId="0" fontId="7" fillId="0" borderId="3" xfId="0" applyFont="1" applyBorder="1" applyAlignment="1">
      <alignment horizontal="center" vertical="center" wrapText="1"/>
    </xf>
    <xf numFmtId="0" fontId="3" fillId="0" borderId="9"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5" fillId="0" borderId="9"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0" xfId="0" applyFont="1" applyAlignment="1">
      <alignment horizontal="center" vertical="center" wrapText="1"/>
    </xf>
    <xf numFmtId="0" fontId="5" fillId="0" borderId="6" xfId="0" applyFont="1" applyBorder="1" applyAlignment="1">
      <alignment horizontal="center" vertical="center" wrapText="1"/>
    </xf>
    <xf numFmtId="0" fontId="0" fillId="0" borderId="7" xfId="0" applyBorder="1" applyAlignment="1">
      <alignment vertical="top" wrapText="1"/>
    </xf>
    <xf numFmtId="0" fontId="9" fillId="0" borderId="9" xfId="0" applyFont="1" applyBorder="1" applyAlignment="1">
      <alignment horizontal="center" vertical="center" wrapText="1"/>
    </xf>
    <xf numFmtId="0" fontId="9" fillId="0" borderId="5"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8" xfId="0" applyFont="1" applyBorder="1" applyAlignment="1">
      <alignment horizontal="center" vertical="center" wrapText="1"/>
    </xf>
    <xf numFmtId="0" fontId="3" fillId="0" borderId="4"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166" fontId="6" fillId="0" borderId="1" xfId="0" applyNumberFormat="1" applyFont="1" applyBorder="1" applyAlignment="1">
      <alignment horizontal="center" vertical="center" wrapText="1"/>
    </xf>
    <xf numFmtId="166" fontId="6" fillId="0" borderId="3" xfId="0" applyNumberFormat="1" applyFont="1" applyBorder="1" applyAlignment="1">
      <alignment horizontal="center" vertical="center" wrapText="1"/>
    </xf>
    <xf numFmtId="0" fontId="9" fillId="0" borderId="4"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0" xfId="0" applyFont="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22" fillId="0" borderId="13" xfId="0" applyFont="1" applyFill="1" applyBorder="1" applyAlignment="1">
      <alignment horizontal="center" wrapText="1"/>
    </xf>
    <xf numFmtId="0" fontId="23" fillId="0" borderId="13" xfId="0" applyFont="1" applyFill="1" applyBorder="1" applyAlignment="1">
      <alignment horizontal="right" vertical="top"/>
    </xf>
    <xf numFmtId="0" fontId="23" fillId="0" borderId="13" xfId="0" applyFont="1" applyFill="1" applyBorder="1" applyAlignment="1">
      <alignment horizontal="center" vertical="top"/>
    </xf>
    <xf numFmtId="14" fontId="23" fillId="0" borderId="13" xfId="0" applyNumberFormat="1" applyFont="1" applyFill="1" applyBorder="1" applyAlignment="1">
      <alignment horizontal="center" vertical="top"/>
    </xf>
    <xf numFmtId="0" fontId="23" fillId="0" borderId="13" xfId="0" applyFont="1" applyFill="1" applyBorder="1" applyAlignment="1">
      <alignment vertical="top"/>
    </xf>
    <xf numFmtId="0" fontId="22" fillId="3" borderId="13" xfId="0" applyFont="1" applyFill="1" applyBorder="1" applyAlignment="1">
      <alignment horizontal="center" wrapText="1"/>
    </xf>
    <xf numFmtId="0" fontId="23" fillId="3" borderId="13" xfId="0" applyFont="1" applyFill="1" applyBorder="1" applyAlignment="1">
      <alignment horizontal="right" vertical="top"/>
    </xf>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177.528357060182" createdVersion="6" refreshedVersion="6" minRefreshableVersion="3" recordCount="111" xr:uid="{3CAE4F71-E06B-45A5-A6B1-25D62771657A}">
  <cacheSource type="worksheet">
    <worksheetSource ref="A1:K112" sheet="Weekly 009 input"/>
  </cacheSource>
  <cacheFields count="11">
    <cacheField name="Week" numFmtId="0">
      <sharedItems containsSemiMixedTypes="0" containsString="0" containsNumber="1" containsInteger="1" minValue="36" maxValue="36" count="1">
        <n v="36"/>
      </sharedItems>
    </cacheField>
    <cacheField name="Trap Date" numFmtId="14">
      <sharedItems containsSemiMixedTypes="0" containsNonDate="0" containsDate="1" containsString="0" minDate="2023-09-04T00:00:00" maxDate="2023-09-07T00:00:00"/>
    </cacheField>
    <cacheField name="Contract" numFmtId="0">
      <sharedItems/>
    </cacheField>
    <cacheField name="Location" numFmtId="0">
      <sharedItems/>
    </cacheField>
    <cacheField name="Zone" numFmtId="0">
      <sharedItems count="6">
        <s v="NE"/>
        <s v="SW"/>
        <s v="SE"/>
        <s v="NW"/>
        <s v="LV"/>
        <s v="BC"/>
      </sharedItems>
    </cacheField>
    <cacheField name="Species" numFmtId="0">
      <sharedItems/>
    </cacheField>
    <cacheField name="Total CX" numFmtId="0">
      <sharedItems containsSemiMixedTypes="0" containsString="0" containsNumber="1" containsInteger="1" minValue="1" maxValue="179"/>
    </cacheField>
    <cacheField name="Type" numFmtId="0">
      <sharedItems/>
    </cacheField>
    <cacheField name="Trap Number" numFmtId="0">
      <sharedItems/>
    </cacheField>
    <cacheField name="Cx tarsalis" numFmtId="0">
      <sharedItems containsSemiMixedTypes="0" containsString="0" containsNumber="1" containsInteger="1" minValue="0" maxValue="20"/>
    </cacheField>
    <cacheField name="Cx pipiens" numFmtId="0">
      <sharedItems containsSemiMixedTypes="0" containsString="0" containsNumber="1" containsInteger="1" minValue="0" maxValue="17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177.539991782411" createdVersion="6" refreshedVersion="6" minRefreshableVersion="3" recordCount="73" xr:uid="{DD65DD78-CA97-4252-8FD2-AC969C46A0D8}">
  <cacheSource type="worksheet">
    <worksheetSource ref="A1:R74" sheet="Weekly Data Input"/>
  </cacheSource>
  <cacheFields count="18">
    <cacheField name="Year" numFmtId="0">
      <sharedItems containsSemiMixedTypes="0" containsString="0" containsNumber="1" containsInteger="1" minValue="2023" maxValue="2023"/>
    </cacheField>
    <cacheField name="CSU Pool Number     (CMC enters)" numFmtId="0">
      <sharedItems/>
    </cacheField>
    <cacheField name="IDA Pool (CSU enters, leave blank)" numFmtId="0">
      <sharedItems containsMixedTypes="1" containsNumber="1" containsInteger="1" minValue="31341" maxValue="31408"/>
    </cacheField>
    <cacheField name="Week" numFmtId="0">
      <sharedItems containsSemiMixedTypes="0" containsString="0" containsNumber="1" containsInteger="1" minValue="36" maxValue="36" count="1">
        <n v="36"/>
      </sharedItems>
    </cacheField>
    <cacheField name="Trap Date" numFmtId="14">
      <sharedItems containsSemiMixedTypes="0" containsNonDate="0" containsDate="1" containsString="0" minDate="2023-09-05T00:00:00" maxDate="2023-09-08T00:00:00" count="3">
        <d v="2023-09-05T00:00:00"/>
        <d v="2023-09-06T00:00:00"/>
        <d v="2023-09-07T00:00:00"/>
      </sharedItems>
    </cacheField>
    <cacheField name="County" numFmtId="0">
      <sharedItems/>
    </cacheField>
    <cacheField name="Account" numFmtId="0">
      <sharedItems/>
    </cacheField>
    <cacheField name="Collection Site (Trap ID)" numFmtId="0">
      <sharedItems/>
    </cacheField>
    <cacheField name="Zone" numFmtId="0">
      <sharedItems count="6">
        <s v="LV"/>
        <s v="NE"/>
        <s v="SW"/>
        <s v="SE"/>
        <s v="NW"/>
        <s v="BC"/>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0" maxValue="36"/>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x v="0"/>
    <d v="2023-09-04T00:00:00"/>
    <s v="Fort Collins"/>
    <s v="FC Visitor Center"/>
    <x v="0"/>
    <s v="Culex pipiens"/>
    <n v="1"/>
    <s v="CDC Light Trap"/>
    <s v="FC-014"/>
    <n v="0"/>
    <n v="1"/>
  </r>
  <r>
    <x v="0"/>
    <d v="2023-09-04T00:00:00"/>
    <s v="Fort Collins"/>
    <s v="Edora Park"/>
    <x v="0"/>
    <s v="Culex pipiens"/>
    <n v="9"/>
    <s v="CDC Light Trap"/>
    <s v="FC-019"/>
    <n v="0"/>
    <n v="9"/>
  </r>
  <r>
    <x v="0"/>
    <d v="2023-09-04T00:00:00"/>
    <s v="Fort Collins"/>
    <s v="Edora Park"/>
    <x v="0"/>
    <s v="Culex tarsalis"/>
    <n v="6"/>
    <s v="CDC Light Trap"/>
    <s v="FC-019"/>
    <n v="6"/>
    <n v="0"/>
  </r>
  <r>
    <x v="0"/>
    <d v="2023-09-04T00:00:00"/>
    <s v="Fort Collins"/>
    <s v="Country Club"/>
    <x v="0"/>
    <s v="Culex tarsalis"/>
    <n v="1"/>
    <s v="CDC Light Trap"/>
    <s v="FC-034"/>
    <n v="1"/>
    <n v="0"/>
  </r>
  <r>
    <x v="0"/>
    <d v="2023-09-04T00:00:00"/>
    <s v="Fort Collins"/>
    <s v="Redwood"/>
    <x v="0"/>
    <s v="Culex tarsalis"/>
    <n v="2"/>
    <s v="CDC Light Trap"/>
    <s v="FC-040"/>
    <n v="2"/>
    <n v="0"/>
  </r>
  <r>
    <x v="0"/>
    <d v="2023-09-04T00:00:00"/>
    <s v="Fort Collins"/>
    <s v="Redwood"/>
    <x v="0"/>
    <s v="Culex pipiens"/>
    <n v="13"/>
    <s v="CDC Light Trap"/>
    <s v="FC-040"/>
    <n v="0"/>
    <n v="13"/>
  </r>
  <r>
    <x v="0"/>
    <d v="2023-09-04T00:00:00"/>
    <s v="Fort Collins"/>
    <s v="Redwood Gravid"/>
    <x v="0"/>
    <s v="Culex pipiens"/>
    <n v="7"/>
    <s v="Gravid Trap"/>
    <s v="FC-040gr"/>
    <n v="0"/>
    <n v="7"/>
  </r>
  <r>
    <x v="0"/>
    <d v="2023-09-04T00:00:00"/>
    <s v="Fort Collins"/>
    <s v="Prospect Ponds"/>
    <x v="0"/>
    <s v="Culex pipiens"/>
    <n v="179"/>
    <s v="CDC Light Trap"/>
    <s v="FC-066"/>
    <n v="0"/>
    <n v="179"/>
  </r>
  <r>
    <x v="0"/>
    <d v="2023-09-04T00:00:00"/>
    <s v="Fort Collins"/>
    <s v="Prospect Ponds"/>
    <x v="0"/>
    <s v="Culex tarsalis"/>
    <n v="5"/>
    <s v="CDC Light Trap"/>
    <s v="FC-066"/>
    <n v="5"/>
    <n v="0"/>
  </r>
  <r>
    <x v="0"/>
    <d v="2023-09-04T00:00:00"/>
    <s v="Fort Collins"/>
    <s v="Prospect Ponds Gravid"/>
    <x v="0"/>
    <s v="Culex pipiens"/>
    <n v="3"/>
    <s v="Gravid Trap"/>
    <s v="FC-066gr"/>
    <n v="0"/>
    <n v="3"/>
  </r>
  <r>
    <x v="0"/>
    <d v="2023-09-04T00:00:00"/>
    <s v="Fort Collins"/>
    <s v="Linden Lake Rd"/>
    <x v="0"/>
    <s v="Culex tarsalis"/>
    <n v="2"/>
    <s v="CDC Light Trap"/>
    <s v="FC-069"/>
    <n v="2"/>
    <n v="0"/>
  </r>
  <r>
    <x v="0"/>
    <d v="2023-09-04T00:00:00"/>
    <s v="Fort Collins"/>
    <s v="422 Lake Dr"/>
    <x v="0"/>
    <s v="Culex pipiens"/>
    <n v="2"/>
    <s v="CDC Light Trap"/>
    <s v="FC-072"/>
    <n v="0"/>
    <n v="2"/>
  </r>
  <r>
    <x v="0"/>
    <d v="2023-09-04T00:00:00"/>
    <s v="Fort Collins"/>
    <s v="422 Lake Dr"/>
    <x v="0"/>
    <s v="Culex tarsalis"/>
    <n v="6"/>
    <s v="CDC Light Trap"/>
    <s v="FC-072"/>
    <n v="6"/>
    <n v="0"/>
  </r>
  <r>
    <x v="0"/>
    <d v="2023-09-04T00:00:00"/>
    <s v="Fort Collins"/>
    <s v="PVH Gravid"/>
    <x v="0"/>
    <s v="Culex pipiens"/>
    <n v="7"/>
    <s v="Gravid Trap"/>
    <s v="FC-091gr"/>
    <n v="0"/>
    <n v="7"/>
  </r>
  <r>
    <x v="0"/>
    <d v="2023-09-04T00:00:00"/>
    <s v="Fort Collins"/>
    <s v="Udall Natural Gravid"/>
    <x v="0"/>
    <s v="Culex pipiens"/>
    <n v="7"/>
    <s v="Gravid Trap"/>
    <s v="FC-092gr"/>
    <n v="0"/>
    <n v="7"/>
  </r>
  <r>
    <x v="0"/>
    <d v="2023-09-05T00:00:00"/>
    <s v="Fort Collins"/>
    <s v="Magic Carpet"/>
    <x v="1"/>
    <s v="Culex pipiens"/>
    <n v="21"/>
    <s v="CDC Light Trap"/>
    <s v="FC-001"/>
    <n v="0"/>
    <n v="21"/>
  </r>
  <r>
    <x v="0"/>
    <d v="2023-09-05T00:00:00"/>
    <s v="Fort Collins"/>
    <s v="Magic Carpet"/>
    <x v="1"/>
    <s v="Culex tarsalis"/>
    <n v="2"/>
    <s v="CDC Light Trap"/>
    <s v="FC-001"/>
    <n v="2"/>
    <n v="0"/>
  </r>
  <r>
    <x v="0"/>
    <d v="2023-09-05T00:00:00"/>
    <s v="Fort Collins"/>
    <s v="Big Horn"/>
    <x v="2"/>
    <s v="Culex pipiens"/>
    <n v="7"/>
    <s v="CDC Light Trap"/>
    <s v="FC-004"/>
    <n v="0"/>
    <n v="7"/>
  </r>
  <r>
    <x v="0"/>
    <d v="2023-09-05T00:00:00"/>
    <s v="Fort Collins"/>
    <s v="Big Horn"/>
    <x v="2"/>
    <s v="Culex tarsalis"/>
    <n v="2"/>
    <s v="CDC Light Trap"/>
    <s v="FC-004"/>
    <n v="2"/>
    <n v="0"/>
  </r>
  <r>
    <x v="0"/>
    <d v="2023-09-05T00:00:00"/>
    <s v="Fort Collins"/>
    <s v="Boltz"/>
    <x v="2"/>
    <s v="Culex tarsalis"/>
    <n v="3"/>
    <s v="CDC Light Trap"/>
    <s v="FC-023"/>
    <n v="3"/>
    <n v="0"/>
  </r>
  <r>
    <x v="0"/>
    <d v="2023-09-05T00:00:00"/>
    <s v="Fort Collins"/>
    <s v="Boltz"/>
    <x v="2"/>
    <s v="Culex pipiens"/>
    <n v="2"/>
    <s v="CDC Light Trap"/>
    <s v="FC-023"/>
    <n v="0"/>
    <n v="2"/>
  </r>
  <r>
    <x v="0"/>
    <d v="2023-09-05T00:00:00"/>
    <s v="Fort Collins"/>
    <s v="Ben's Park"/>
    <x v="2"/>
    <s v="Culex tarsalis"/>
    <n v="2"/>
    <s v="CDC Light Trap"/>
    <s v="FC-029"/>
    <n v="2"/>
    <n v="0"/>
  </r>
  <r>
    <x v="0"/>
    <d v="2023-09-05T00:00:00"/>
    <s v="Fort Collins"/>
    <s v="Ben's Park"/>
    <x v="2"/>
    <s v="Culex pipiens"/>
    <n v="2"/>
    <s v="CDC Light Trap"/>
    <s v="FC-029"/>
    <n v="0"/>
    <n v="2"/>
  </r>
  <r>
    <x v="0"/>
    <d v="2023-09-05T00:00:00"/>
    <s v="Fort Collins"/>
    <s v="Ben's Park Gravid"/>
    <x v="2"/>
    <s v="Culex pipiens"/>
    <n v="5"/>
    <s v="Gravid Trap"/>
    <s v="FC-029gr"/>
    <n v="0"/>
    <n v="5"/>
  </r>
  <r>
    <x v="0"/>
    <d v="2023-09-05T00:00:00"/>
    <s v="Fort Collins"/>
    <s v="Chelsea Ridge"/>
    <x v="1"/>
    <s v="Culex pipiens"/>
    <n v="7"/>
    <s v="CDC Light Trap"/>
    <s v="FC-037"/>
    <n v="0"/>
    <n v="7"/>
  </r>
  <r>
    <x v="0"/>
    <d v="2023-09-05T00:00:00"/>
    <s v="Fort Collins"/>
    <s v="Chelsea Ridge"/>
    <x v="1"/>
    <s v="Culex tarsalis"/>
    <n v="7"/>
    <s v="CDC Light Trap"/>
    <s v="FC-037"/>
    <n v="7"/>
    <n v="0"/>
  </r>
  <r>
    <x v="0"/>
    <d v="2023-09-05T00:00:00"/>
    <s v="Fort Collins"/>
    <s v="Fossil Creek South"/>
    <x v="2"/>
    <s v="Culex pipiens"/>
    <n v="11"/>
    <s v="CDC Light Trap"/>
    <s v="FC-039"/>
    <n v="0"/>
    <n v="11"/>
  </r>
  <r>
    <x v="0"/>
    <d v="2023-09-05T00:00:00"/>
    <s v="Fort Collins"/>
    <s v="Fossil Creek South"/>
    <x v="2"/>
    <s v="Culex tarsalis"/>
    <n v="4"/>
    <s v="CDC Light Trap"/>
    <s v="FC-039"/>
    <n v="4"/>
    <n v="0"/>
  </r>
  <r>
    <x v="0"/>
    <d v="2023-09-05T00:00:00"/>
    <s v="Fort Collins"/>
    <s v="Westshore Ct"/>
    <x v="2"/>
    <s v="Culex pipiens"/>
    <n v="13"/>
    <s v="CDC Light Trap"/>
    <s v="FC-046"/>
    <n v="0"/>
    <n v="13"/>
  </r>
  <r>
    <x v="0"/>
    <d v="2023-09-05T00:00:00"/>
    <s v="Fort Collins"/>
    <s v="Westshore Ct"/>
    <x v="2"/>
    <s v="Culex tarsalis"/>
    <n v="4"/>
    <s v="CDC Light Trap"/>
    <s v="FC-046"/>
    <n v="4"/>
    <n v="0"/>
  </r>
  <r>
    <x v="0"/>
    <d v="2023-09-05T00:00:00"/>
    <s v="Fort Collins"/>
    <s v="Keeneland And Twin Oak"/>
    <x v="2"/>
    <s v="Culex tarsalis"/>
    <n v="1"/>
    <s v="CDC Light Trap"/>
    <s v="FC-047"/>
    <n v="1"/>
    <n v="0"/>
  </r>
  <r>
    <x v="0"/>
    <d v="2023-09-05T00:00:00"/>
    <s v="Fort Collins"/>
    <s v="Keeneland And Twin Oak"/>
    <x v="2"/>
    <s v="Culex pipiens"/>
    <n v="2"/>
    <s v="CDC Light Trap"/>
    <s v="FC-047"/>
    <n v="0"/>
    <n v="2"/>
  </r>
  <r>
    <x v="0"/>
    <d v="2023-09-05T00:00:00"/>
    <s v="Fort Collins"/>
    <s v="Golden Meadows Ditch"/>
    <x v="2"/>
    <s v="Culex pipiens"/>
    <n v="4"/>
    <s v="CDC Light Trap"/>
    <s v="FC-050"/>
    <n v="0"/>
    <n v="4"/>
  </r>
  <r>
    <x v="0"/>
    <d v="2023-09-05T00:00:00"/>
    <s v="Fort Collins"/>
    <s v="737 Parliament"/>
    <x v="2"/>
    <s v="Culex pipiens"/>
    <n v="12"/>
    <s v="CDC Light Trap"/>
    <s v="FC-054"/>
    <n v="0"/>
    <n v="12"/>
  </r>
  <r>
    <x v="0"/>
    <d v="2023-09-05T00:00:00"/>
    <s v="Fort Collins"/>
    <s v="737 Parliament"/>
    <x v="2"/>
    <s v="Culex tarsalis"/>
    <n v="6"/>
    <s v="CDC Light Trap"/>
    <s v="FC-054"/>
    <n v="6"/>
    <n v="0"/>
  </r>
  <r>
    <x v="0"/>
    <d v="2023-09-05T00:00:00"/>
    <s v="Fort Collins"/>
    <s v="Registry Ridge"/>
    <x v="1"/>
    <s v="Culex tarsalis"/>
    <n v="3"/>
    <s v="CDC Light Trap"/>
    <s v="FC-057"/>
    <n v="3"/>
    <n v="0"/>
  </r>
  <r>
    <x v="0"/>
    <d v="2023-09-05T00:00:00"/>
    <s v="Fort Collins"/>
    <s v="Registry Ridge"/>
    <x v="1"/>
    <s v="Culex pipiens"/>
    <n v="1"/>
    <s v="CDC Light Trap"/>
    <s v="FC-057"/>
    <n v="0"/>
    <n v="1"/>
  </r>
  <r>
    <x v="0"/>
    <d v="2023-09-05T00:00:00"/>
    <s v="Fort Collins"/>
    <s v="Springwood and Lochwood"/>
    <x v="2"/>
    <s v="Culex tarsalis"/>
    <n v="3"/>
    <s v="CDC Light Trap"/>
    <s v="FC-059"/>
    <n v="3"/>
    <n v="0"/>
  </r>
  <r>
    <x v="0"/>
    <d v="2023-09-05T00:00:00"/>
    <s v="Fort Collins"/>
    <s v="Springwood and Lochwood"/>
    <x v="2"/>
    <s v="Culex pipiens"/>
    <n v="11"/>
    <s v="CDC Light Trap"/>
    <s v="FC-059"/>
    <n v="0"/>
    <n v="11"/>
  </r>
  <r>
    <x v="0"/>
    <d v="2023-09-05T00:00:00"/>
    <s v="Fort Collins"/>
    <s v="Water's Edge at Blue Mesa"/>
    <x v="1"/>
    <s v="Culex pipiens"/>
    <n v="3"/>
    <s v="CDC Light Trap"/>
    <s v="FC-062"/>
    <n v="0"/>
    <n v="3"/>
  </r>
  <r>
    <x v="0"/>
    <d v="2023-09-05T00:00:00"/>
    <s v="Fort Collins"/>
    <s v="Silvergate Rd"/>
    <x v="1"/>
    <s v="Culex tarsalis"/>
    <n v="1"/>
    <s v="CDC Light Trap"/>
    <s v="FC-071"/>
    <n v="1"/>
    <n v="0"/>
  </r>
  <r>
    <x v="0"/>
    <d v="2023-09-05T00:00:00"/>
    <s v="Fort Collins"/>
    <s v="Rock Creek"/>
    <x v="2"/>
    <s v="Culex tarsalis"/>
    <n v="2"/>
    <s v="CDC Light Trap"/>
    <s v="FC-074"/>
    <n v="2"/>
    <n v="0"/>
  </r>
  <r>
    <x v="0"/>
    <d v="2023-09-05T00:00:00"/>
    <s v="Fort Collins"/>
    <s v="Sage Creek North"/>
    <x v="2"/>
    <s v="Culex pipiens"/>
    <n v="9"/>
    <s v="CDC Light Trap"/>
    <s v="FC-075"/>
    <n v="0"/>
    <n v="9"/>
  </r>
  <r>
    <x v="0"/>
    <d v="2023-09-05T00:00:00"/>
    <s v="Fort Collins"/>
    <s v="Sage Creek North"/>
    <x v="2"/>
    <s v="Culex tarsalis"/>
    <n v="3"/>
    <s v="CDC Light Trap"/>
    <s v="FC-075"/>
    <n v="3"/>
    <n v="0"/>
  </r>
  <r>
    <x v="0"/>
    <d v="2023-09-05T00:00:00"/>
    <s v="Fort Collins"/>
    <s v="Sage Creek North Gravid"/>
    <x v="2"/>
    <s v="Culex pipiens"/>
    <n v="26"/>
    <s v="Gravid Trap"/>
    <s v="FC-075gr"/>
    <n v="0"/>
    <n v="26"/>
  </r>
  <r>
    <x v="0"/>
    <d v="2023-09-05T00:00:00"/>
    <s v="Fort Collins"/>
    <s v="English Ranch Park Gravid"/>
    <x v="2"/>
    <s v="Culex pipiens"/>
    <n v="21"/>
    <s v="Gravid Trap"/>
    <s v="FC-088gr"/>
    <n v="0"/>
    <n v="21"/>
  </r>
  <r>
    <x v="0"/>
    <d v="2023-09-05T00:00:00"/>
    <s v="Fort Collins"/>
    <s v="Kunz Ct. and Brook Dr. Gravid"/>
    <x v="1"/>
    <s v="Culex pipiens"/>
    <n v="1"/>
    <s v="Gravid Trap"/>
    <s v="FC-089gr"/>
    <n v="0"/>
    <n v="1"/>
  </r>
  <r>
    <x v="0"/>
    <d v="2023-09-05T00:00:00"/>
    <s v="Fort Collins"/>
    <s v="Lopez Elementary"/>
    <x v="1"/>
    <s v="Culex pipiens"/>
    <n v="1"/>
    <s v="CDC Light Trap"/>
    <s v="FC-093"/>
    <n v="0"/>
    <n v="1"/>
  </r>
  <r>
    <x v="0"/>
    <d v="2023-09-05T00:00:00"/>
    <s v="Fort Collins"/>
    <s v="Lopez Elementary"/>
    <x v="1"/>
    <s v="Culex tarsalis"/>
    <n v="1"/>
    <s v="CDC Light Trap"/>
    <s v="FC-093"/>
    <n v="1"/>
    <n v="0"/>
  </r>
  <r>
    <x v="0"/>
    <d v="2023-09-06T00:00:00"/>
    <s v="Fort Collins"/>
    <s v="Fishback"/>
    <x v="3"/>
    <s v="Culex pipiens"/>
    <n v="2"/>
    <s v="CDC Light Trap"/>
    <s v="FC-041"/>
    <n v="0"/>
    <n v="2"/>
  </r>
  <r>
    <x v="0"/>
    <d v="2023-09-06T00:00:00"/>
    <s v="Fort Collins"/>
    <s v="821 W Lake St, Fort Collins, CO 80521, USA"/>
    <x v="3"/>
    <s v="Culex pipiens"/>
    <n v="1"/>
    <s v="CDC Light Trap"/>
    <s v="FC-061"/>
    <n v="0"/>
    <n v="1"/>
  </r>
  <r>
    <x v="0"/>
    <d v="2023-09-06T00:00:00"/>
    <s v="Fort Collins"/>
    <s v="821 W Lake St, Fort Collins, CO 80521, USA"/>
    <x v="3"/>
    <s v="Culex tarsalis"/>
    <n v="2"/>
    <s v="CDC Light Trap"/>
    <s v="FC-061"/>
    <n v="2"/>
    <n v="0"/>
  </r>
  <r>
    <x v="0"/>
    <d v="2023-09-06T00:00:00"/>
    <s v="Fort Collins"/>
    <s v="Red Fox Meadows"/>
    <x v="3"/>
    <s v="Culex pipiens"/>
    <n v="1"/>
    <s v="CDC Light Trap"/>
    <s v="FC-063"/>
    <n v="0"/>
    <n v="1"/>
  </r>
  <r>
    <x v="0"/>
    <d v="2023-09-06T00:00:00"/>
    <s v="Fort Collins"/>
    <s v="Red Fox Meadows Gravid"/>
    <x v="3"/>
    <s v="Culex pipiens"/>
    <n v="36"/>
    <s v="Gravid Trap"/>
    <s v="FC-063gr"/>
    <n v="0"/>
    <n v="36"/>
  </r>
  <r>
    <x v="0"/>
    <d v="2023-09-06T00:00:00"/>
    <s v="Fort Collins"/>
    <s v="118 S Grant "/>
    <x v="3"/>
    <s v="Culex tarsalis"/>
    <n v="3"/>
    <s v="CDC Light Trap"/>
    <s v="FC-073"/>
    <n v="3"/>
    <n v="0"/>
  </r>
  <r>
    <x v="0"/>
    <d v="2023-09-06T00:00:00"/>
    <s v="Fort Collins"/>
    <s v="Mountain Grandview Cemetery Gravid"/>
    <x v="3"/>
    <s v="Culex pipiens"/>
    <n v="9"/>
    <s v="Gravid Trap"/>
    <s v="FC-090gr"/>
    <n v="0"/>
    <n v="9"/>
  </r>
  <r>
    <x v="0"/>
    <d v="2023-09-04T00:00:00"/>
    <s v="Loveland"/>
    <s v="29th and Madison"/>
    <x v="4"/>
    <s v="Culex pipiens"/>
    <n v="2"/>
    <s v="CDC Light Trap"/>
    <s v="LV-004"/>
    <n v="0"/>
    <n v="2"/>
  </r>
  <r>
    <x v="0"/>
    <d v="2023-09-04T00:00:00"/>
    <s v="Loveland"/>
    <s v="29th and Madison"/>
    <x v="4"/>
    <s v="Culex tarsalis"/>
    <n v="10"/>
    <s v="CDC Light Trap"/>
    <s v="LV-004"/>
    <n v="10"/>
    <n v="0"/>
  </r>
  <r>
    <x v="0"/>
    <d v="2023-09-04T00:00:00"/>
    <s v="Loveland"/>
    <s v="Outlet Mall Apartments"/>
    <x v="4"/>
    <s v="Culex pipiens"/>
    <n v="2"/>
    <s v="CDC Light Trap"/>
    <s v="LV-066"/>
    <n v="0"/>
    <n v="2"/>
  </r>
  <r>
    <x v="0"/>
    <d v="2023-09-04T00:00:00"/>
    <s v="Loveland"/>
    <s v="Outlet Mall Apartments"/>
    <x v="4"/>
    <s v="Culex tarsalis"/>
    <n v="1"/>
    <s v="CDC Light Trap"/>
    <s v="LV-066"/>
    <n v="1"/>
    <n v="0"/>
  </r>
  <r>
    <x v="0"/>
    <d v="2023-09-04T00:00:00"/>
    <s v="Loveland"/>
    <s v="Horseshoe Pennninsula"/>
    <x v="4"/>
    <s v="Culex tarsalis"/>
    <n v="4"/>
    <s v="CDC Light Trap"/>
    <s v="LV-069"/>
    <n v="4"/>
    <n v="0"/>
  </r>
  <r>
    <x v="0"/>
    <d v="2023-09-04T00:00:00"/>
    <s v="Loveland"/>
    <s v="7 Lakes Park"/>
    <x v="4"/>
    <s v="Culex tarsalis"/>
    <n v="15"/>
    <s v="CDC Light Trap"/>
    <s v="LV-078"/>
    <n v="15"/>
    <n v="0"/>
  </r>
  <r>
    <x v="0"/>
    <d v="2023-09-04T00:00:00"/>
    <s v="Loveland"/>
    <s v="7 Lakes Park"/>
    <x v="4"/>
    <s v="Culex pipiens"/>
    <n v="3"/>
    <s v="CDC Light Trap"/>
    <s v="LV-078"/>
    <n v="0"/>
    <n v="3"/>
  </r>
  <r>
    <x v="0"/>
    <d v="2023-09-04T00:00:00"/>
    <s v="Loveland"/>
    <s v="7 Lakes Gravid"/>
    <x v="4"/>
    <s v="Culex pipiens"/>
    <n v="40"/>
    <s v="Gravid Trap"/>
    <s v="LV-079gr"/>
    <n v="0"/>
    <n v="40"/>
  </r>
  <r>
    <x v="0"/>
    <d v="2023-09-04T00:00:00"/>
    <s v="Loveland"/>
    <s v="Harding and Reagan"/>
    <x v="4"/>
    <s v="Culex tarsalis"/>
    <n v="9"/>
    <s v="CDC Light Trap"/>
    <s v="LV-080"/>
    <n v="9"/>
    <n v="0"/>
  </r>
  <r>
    <x v="0"/>
    <d v="2023-09-04T00:00:00"/>
    <s v="Loveland"/>
    <s v="Harding and Reagan"/>
    <x v="4"/>
    <s v="Culex pipiens"/>
    <n v="8"/>
    <s v="CDC Light Trap"/>
    <s v="LV-080"/>
    <n v="0"/>
    <n v="8"/>
  </r>
  <r>
    <x v="0"/>
    <d v="2023-09-04T00:00:00"/>
    <s v="Loveland"/>
    <s v="2229 Arikaree"/>
    <x v="4"/>
    <s v="Culex tarsalis"/>
    <n v="11"/>
    <s v="CDC Light Trap"/>
    <s v="LV-088"/>
    <n v="11"/>
    <n v="0"/>
  </r>
  <r>
    <x v="0"/>
    <d v="2023-09-04T00:00:00"/>
    <s v="Loveland"/>
    <s v="2229 Arikaree"/>
    <x v="4"/>
    <s v="Culex pipiens"/>
    <n v="5"/>
    <s v="CDC Light Trap"/>
    <s v="LV-088"/>
    <n v="0"/>
    <n v="5"/>
  </r>
  <r>
    <x v="0"/>
    <d v="2023-09-04T00:00:00"/>
    <s v="Loveland"/>
    <s v="Pond at Silver Lake"/>
    <x v="4"/>
    <s v="Culex tarsalis"/>
    <n v="4"/>
    <s v="CDC Light Trap"/>
    <s v="LV-093"/>
    <n v="4"/>
    <n v="0"/>
  </r>
  <r>
    <x v="0"/>
    <d v="2023-09-04T00:00:00"/>
    <s v="Loveland"/>
    <s v="Pond at Silver Lake"/>
    <x v="4"/>
    <s v="Culex pipiens"/>
    <n v="3"/>
    <s v="CDC Light Trap"/>
    <s v="LV-093"/>
    <n v="0"/>
    <n v="3"/>
  </r>
  <r>
    <x v="0"/>
    <d v="2023-09-04T00:00:00"/>
    <s v="Loveland"/>
    <s v="Boyd Lake"/>
    <x v="4"/>
    <s v="Culex pipiens"/>
    <n v="24"/>
    <s v="CDC Light Trap"/>
    <s v="LV-095"/>
    <n v="0"/>
    <n v="24"/>
  </r>
  <r>
    <x v="0"/>
    <d v="2023-09-04T00:00:00"/>
    <s v="Loveland"/>
    <s v="Boyd Lake"/>
    <x v="4"/>
    <s v="Culex tarsalis"/>
    <n v="20"/>
    <s v="CDC Light Trap"/>
    <s v="LV-095"/>
    <n v="20"/>
    <n v="0"/>
  </r>
  <r>
    <x v="0"/>
    <d v="2023-09-04T00:00:00"/>
    <s v="Loveland"/>
    <s v="Sundisk and 13E"/>
    <x v="4"/>
    <s v="Culex pipiens"/>
    <n v="16"/>
    <s v="CDC Light Trap"/>
    <s v="LV-116"/>
    <n v="0"/>
    <n v="16"/>
  </r>
  <r>
    <x v="0"/>
    <d v="2023-09-04T00:00:00"/>
    <s v="Loveland"/>
    <s v="Sundisk and 13E"/>
    <x v="4"/>
    <s v="Culex tarsalis"/>
    <n v="1"/>
    <s v="CDC Light Trap"/>
    <s v="LV-116"/>
    <n v="1"/>
    <n v="0"/>
  </r>
  <r>
    <x v="0"/>
    <d v="2023-09-04T00:00:00"/>
    <s v="Loveland"/>
    <s v="Centerra"/>
    <x v="4"/>
    <s v="Culex pipiens"/>
    <n v="2"/>
    <s v="CDC Light Trap"/>
    <s v="LV-117"/>
    <n v="0"/>
    <n v="2"/>
  </r>
  <r>
    <x v="0"/>
    <d v="2023-09-04T00:00:00"/>
    <s v="Loveland"/>
    <s v="Centerra"/>
    <x v="4"/>
    <s v="Culex tarsalis"/>
    <n v="3"/>
    <s v="CDC Light Trap"/>
    <s v="LV-117"/>
    <n v="3"/>
    <n v="0"/>
  </r>
  <r>
    <x v="0"/>
    <d v="2023-09-05T00:00:00"/>
    <s v="Loveland"/>
    <s v="Jefferson and 11th"/>
    <x v="4"/>
    <s v="Culex pipiens"/>
    <n v="10"/>
    <s v="CDC Light Trap"/>
    <s v="LV-074"/>
    <n v="0"/>
    <n v="10"/>
  </r>
  <r>
    <x v="0"/>
    <d v="2023-09-05T00:00:00"/>
    <s v="Loveland"/>
    <s v="Jefferson and 11th"/>
    <x v="4"/>
    <s v="Culex tarsalis"/>
    <n v="2"/>
    <s v="CDC Light Trap"/>
    <s v="LV-074"/>
    <n v="2"/>
    <n v="0"/>
  </r>
  <r>
    <x v="0"/>
    <d v="2023-09-05T00:00:00"/>
    <s v="Loveland"/>
    <s v="Jefferson And 11th Gravid"/>
    <x v="4"/>
    <s v="Culex pipiens"/>
    <n v="21"/>
    <s v="Gravid Trap"/>
    <s v="LV-074gr"/>
    <n v="0"/>
    <n v="21"/>
  </r>
  <r>
    <x v="0"/>
    <d v="2023-09-05T00:00:00"/>
    <s v="Loveland"/>
    <s v="1105 East 1st Street"/>
    <x v="4"/>
    <s v="Culex pipiens"/>
    <n v="1"/>
    <s v="CDC Light Trap"/>
    <s v="LV-077"/>
    <n v="0"/>
    <n v="1"/>
  </r>
  <r>
    <x v="0"/>
    <d v="2023-09-05T00:00:00"/>
    <s v="Loveland"/>
    <s v="Blue Tree Realty"/>
    <x v="4"/>
    <s v="Culex pipiens"/>
    <n v="1"/>
    <s v="CDC Light Trap"/>
    <s v="LV-100"/>
    <n v="0"/>
    <n v="1"/>
  </r>
  <r>
    <x v="0"/>
    <d v="2023-09-05T00:00:00"/>
    <s v="Loveland"/>
    <s v="Cr 20 and 9"/>
    <x v="4"/>
    <s v="Culex tarsalis"/>
    <n v="13"/>
    <s v="CDC Light Trap"/>
    <s v="LV-104"/>
    <n v="13"/>
    <n v="0"/>
  </r>
  <r>
    <x v="0"/>
    <d v="2023-09-05T00:00:00"/>
    <s v="Loveland"/>
    <s v="Cr 20 and 9"/>
    <x v="4"/>
    <s v="Culex pipiens"/>
    <n v="22"/>
    <s v="CDC Light Trap"/>
    <s v="LV-104"/>
    <n v="0"/>
    <n v="22"/>
  </r>
  <r>
    <x v="0"/>
    <d v="2023-09-05T00:00:00"/>
    <s v="Loveland"/>
    <s v="Big Thompson "/>
    <x v="4"/>
    <s v="Culex tarsalis"/>
    <n v="1"/>
    <s v="CDC Light Trap"/>
    <s v="LV-110"/>
    <n v="1"/>
    <n v="0"/>
  </r>
  <r>
    <x v="0"/>
    <d v="2023-09-05T00:00:00"/>
    <s v="Loveland"/>
    <s v="Big Thompson "/>
    <x v="4"/>
    <s v="Culex pipiens"/>
    <n v="2"/>
    <s v="CDC Light Trap"/>
    <s v="LV-110"/>
    <n v="0"/>
    <n v="2"/>
  </r>
  <r>
    <x v="0"/>
    <d v="2023-09-05T00:00:00"/>
    <s v="Loveland"/>
    <s v="915 S Boise"/>
    <x v="4"/>
    <s v="Culex tarsalis"/>
    <n v="7"/>
    <s v="CDC Light Trap"/>
    <s v="LV-112"/>
    <n v="7"/>
    <n v="0"/>
  </r>
  <r>
    <x v="0"/>
    <d v="2023-09-05T00:00:00"/>
    <s v="Loveland"/>
    <s v="915 S Boise"/>
    <x v="4"/>
    <s v="Culex pipiens"/>
    <n v="11"/>
    <s v="CDC Light Trap"/>
    <s v="LV-112"/>
    <n v="0"/>
    <n v="11"/>
  </r>
  <r>
    <x v="0"/>
    <d v="2023-09-05T00:00:00"/>
    <s v="Loveland"/>
    <s v="Golf Vista"/>
    <x v="4"/>
    <s v="Culex pipiens"/>
    <n v="6"/>
    <s v="CDC Light Trap"/>
    <s v="LV-118"/>
    <n v="0"/>
    <n v="6"/>
  </r>
  <r>
    <x v="0"/>
    <d v="2023-09-05T00:00:00"/>
    <s v="Loveland"/>
    <s v="Golf Vista"/>
    <x v="4"/>
    <s v="Culex tarsalis"/>
    <n v="11"/>
    <s v="CDC Light Trap"/>
    <s v="LV-118"/>
    <n v="11"/>
    <n v="0"/>
  </r>
  <r>
    <x v="0"/>
    <d v="2023-09-05T00:00:00"/>
    <s v="Loveland"/>
    <s v="Bldg D190, 815 14th Street Southwest, Loveland, CO 80537, USA"/>
    <x v="4"/>
    <s v="Culex tarsalis"/>
    <n v="7"/>
    <s v="CDC Light Trap"/>
    <s v="LV-124"/>
    <n v="7"/>
    <n v="0"/>
  </r>
  <r>
    <x v="0"/>
    <d v="2023-09-05T00:00:00"/>
    <s v="Loveland"/>
    <s v="8th And No Name"/>
    <x v="4"/>
    <s v="Culex pipiens"/>
    <n v="19"/>
    <s v="CDC Light Trap"/>
    <s v="LV-125"/>
    <n v="0"/>
    <n v="19"/>
  </r>
  <r>
    <x v="0"/>
    <d v="2023-09-05T00:00:00"/>
    <s v="Loveland"/>
    <s v="8th And No Name"/>
    <x v="4"/>
    <s v="Culex tarsalis"/>
    <n v="12"/>
    <s v="CDC Light Trap"/>
    <s v="LV-125"/>
    <n v="12"/>
    <n v="0"/>
  </r>
  <r>
    <x v="0"/>
    <d v="2023-09-06T00:00:00"/>
    <s v="Loveland"/>
    <s v="Jocelyn and Eagle"/>
    <x v="4"/>
    <s v="Culex tarsalis"/>
    <n v="1"/>
    <s v="CDC Light Trap"/>
    <s v="LV-019"/>
    <n v="1"/>
    <n v="0"/>
  </r>
  <r>
    <x v="0"/>
    <d v="2023-09-06T00:00:00"/>
    <s v="Loveland"/>
    <s v="Cattail Pond"/>
    <x v="4"/>
    <s v="Culex pipiens"/>
    <n v="7"/>
    <s v="CDC Light Trap"/>
    <s v="LV-020"/>
    <n v="0"/>
    <n v="7"/>
  </r>
  <r>
    <x v="0"/>
    <d v="2023-09-06T00:00:00"/>
    <s v="Loveland"/>
    <s v="Cattail Pond"/>
    <x v="4"/>
    <s v="Culex tarsalis"/>
    <n v="8"/>
    <s v="CDC Light Trap"/>
    <s v="LV-020"/>
    <n v="8"/>
    <n v="0"/>
  </r>
  <r>
    <x v="0"/>
    <d v="2023-09-06T00:00:00"/>
    <s v="Loveland"/>
    <s v="Linda and 26th "/>
    <x v="4"/>
    <s v="Culex pipiens"/>
    <n v="4"/>
    <s v="CDC Light Trap"/>
    <s v="LV-021"/>
    <n v="0"/>
    <n v="4"/>
  </r>
  <r>
    <x v="0"/>
    <d v="2023-09-06T00:00:00"/>
    <s v="Loveland"/>
    <s v="Linda and 26th "/>
    <x v="4"/>
    <s v="Culex tarsalis"/>
    <n v="1"/>
    <s v="CDC Light Trap"/>
    <s v="LV-021"/>
    <n v="1"/>
    <n v="0"/>
  </r>
  <r>
    <x v="0"/>
    <d v="2023-09-06T00:00:00"/>
    <s v="Loveland"/>
    <s v="2001 S Douglas"/>
    <x v="4"/>
    <s v="Culex pipiens"/>
    <n v="15"/>
    <s v="CDC Light Trap"/>
    <s v="LV-042"/>
    <n v="0"/>
    <n v="15"/>
  </r>
  <r>
    <x v="0"/>
    <d v="2023-09-06T00:00:00"/>
    <s v="Loveland"/>
    <s v="2001 S Douglas"/>
    <x v="4"/>
    <s v="Culex tarsalis"/>
    <n v="4"/>
    <s v="CDC Light Trap"/>
    <s v="LV-042"/>
    <n v="4"/>
    <n v="0"/>
  </r>
  <r>
    <x v="0"/>
    <d v="2023-09-06T00:00:00"/>
    <s v="Loveland"/>
    <s v="Del Norte Private Park"/>
    <x v="4"/>
    <s v="Culex pipiens"/>
    <n v="14"/>
    <s v="CDC Light Trap"/>
    <s v="LV-067"/>
    <n v="0"/>
    <n v="14"/>
  </r>
  <r>
    <x v="0"/>
    <d v="2023-09-06T00:00:00"/>
    <s v="Loveland"/>
    <s v="Del Norte Private Park"/>
    <x v="4"/>
    <s v="Culex tarsalis"/>
    <n v="3"/>
    <s v="CDC Light Trap"/>
    <s v="LV-067"/>
    <n v="3"/>
    <n v="0"/>
  </r>
  <r>
    <x v="0"/>
    <d v="2023-09-06T00:00:00"/>
    <s v="Loveland"/>
    <s v="Derby Hill"/>
    <x v="4"/>
    <s v="Culex pipiens"/>
    <n v="4"/>
    <s v="CDC Light Trap"/>
    <s v="LV-087"/>
    <n v="0"/>
    <n v="4"/>
  </r>
  <r>
    <x v="0"/>
    <d v="2023-09-06T00:00:00"/>
    <s v="Loveland"/>
    <s v="Derby Hill"/>
    <x v="4"/>
    <s v="Culex tarsalis"/>
    <n v="14"/>
    <s v="CDC Light Trap"/>
    <s v="LV-087"/>
    <n v="14"/>
    <n v="0"/>
  </r>
  <r>
    <x v="0"/>
    <d v="2023-09-06T00:00:00"/>
    <s v="Loveland"/>
    <s v="Jill Drive Pond"/>
    <x v="4"/>
    <s v="Culex pipiens"/>
    <n v="11"/>
    <s v="CDC Light Trap"/>
    <s v="LV-114"/>
    <n v="0"/>
    <n v="11"/>
  </r>
  <r>
    <x v="0"/>
    <d v="2023-09-06T00:00:00"/>
    <s v="Loveland"/>
    <s v="Jill Drive Pond"/>
    <x v="4"/>
    <s v="Culex tarsalis"/>
    <n v="2"/>
    <s v="CDC Light Trap"/>
    <s v="LV-114"/>
    <n v="2"/>
    <n v="0"/>
  </r>
  <r>
    <x v="0"/>
    <d v="2023-09-06T00:00:00"/>
    <s v="Loveland"/>
    <s v="End of City Limits North"/>
    <x v="4"/>
    <s v="Culex tarsalis"/>
    <n v="4"/>
    <s v="CDC Light Trap"/>
    <s v="LV-120"/>
    <n v="4"/>
    <n v="0"/>
  </r>
  <r>
    <x v="0"/>
    <d v="2023-09-05T00:00:00"/>
    <s v="Boulder"/>
    <s v="Sombrero Marsh"/>
    <x v="5"/>
    <s v="Culex tarsalis"/>
    <n v="2"/>
    <s v="CDC Light Trap"/>
    <s v="BC-22"/>
    <n v="2"/>
    <n v="0"/>
  </r>
  <r>
    <x v="0"/>
    <d v="2023-09-05T00:00:00"/>
    <s v="Boulder"/>
    <s v="Stazio Ballfields"/>
    <x v="5"/>
    <s v="Culex tarsalis"/>
    <n v="1"/>
    <s v="CDC Light Trap"/>
    <s v="BC-11"/>
    <n v="1"/>
    <n v="0"/>
  </r>
  <r>
    <x v="0"/>
    <d v="2023-09-05T00:00:00"/>
    <s v="Boulder"/>
    <s v="Sawhill Ponds"/>
    <x v="5"/>
    <s v="Culex tarsalis"/>
    <n v="5"/>
    <s v="CDC Light Trap"/>
    <s v="BC-26"/>
    <n v="5"/>
    <n v="0"/>
  </r>
  <r>
    <x v="0"/>
    <d v="2023-09-05T00:00:00"/>
    <s v="Boulder"/>
    <s v="East Boulder Rec"/>
    <x v="5"/>
    <s v="Culex tarsalis"/>
    <n v="3"/>
    <s v="CDC Light Trap"/>
    <s v="BC-13"/>
    <n v="3"/>
    <n v="0"/>
  </r>
  <r>
    <x v="0"/>
    <d v="2023-09-05T00:00:00"/>
    <s v="Boulder"/>
    <s v="Goose Creek"/>
    <x v="5"/>
    <s v="Culex tarsalis"/>
    <n v="2"/>
    <s v="CDC Light Trap"/>
    <s v="BC-27"/>
    <n v="2"/>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
  <r>
    <n v="2023"/>
    <s v="CSU-21635"/>
    <n v="31341"/>
    <x v="0"/>
    <x v="0"/>
    <s v="LC"/>
    <s v="LV"/>
    <s v="LV-069"/>
    <x v="0"/>
    <s v="L"/>
    <s v="Cx."/>
    <x v="0"/>
    <s v="F"/>
    <m/>
    <n v="4"/>
    <n v="4"/>
    <n v="0"/>
    <s v="Negative"/>
  </r>
  <r>
    <n v="2023"/>
    <s v="CSU-21636"/>
    <n v="31342"/>
    <x v="0"/>
    <x v="0"/>
    <s v="LC"/>
    <s v="LV"/>
    <s v="LV-095"/>
    <x v="0"/>
    <s v="L"/>
    <s v="Cx."/>
    <x v="0"/>
    <s v="F"/>
    <m/>
    <n v="20"/>
    <n v="20"/>
    <n v="0"/>
    <s v="Negative"/>
  </r>
  <r>
    <n v="2023"/>
    <s v="CSU-21637"/>
    <n v="31343"/>
    <x v="0"/>
    <x v="0"/>
    <s v="LC"/>
    <s v="LV"/>
    <s v="LV-095"/>
    <x v="0"/>
    <s v="L"/>
    <s v="Cx."/>
    <x v="1"/>
    <s v="F"/>
    <m/>
    <n v="24"/>
    <n v="24"/>
    <n v="0"/>
    <s v="Negative"/>
  </r>
  <r>
    <n v="2023"/>
    <s v="CSU-21638"/>
    <n v="31344"/>
    <x v="0"/>
    <x v="0"/>
    <s v="LC"/>
    <s v="FC"/>
    <s v="FC-034"/>
    <x v="1"/>
    <s v="L"/>
    <s v="Cx."/>
    <x v="0"/>
    <s v="F"/>
    <m/>
    <n v="1"/>
    <n v="1"/>
    <n v="0"/>
    <s v="Negative"/>
  </r>
  <r>
    <n v="2023"/>
    <s v="CSU-21639"/>
    <n v="31345"/>
    <x v="0"/>
    <x v="0"/>
    <s v="LC"/>
    <s v="FC"/>
    <s v="FC-069"/>
    <x v="1"/>
    <s v="L"/>
    <s v="Cx."/>
    <x v="0"/>
    <s v="F"/>
    <m/>
    <n v="2"/>
    <n v="2"/>
    <n v="0"/>
    <s v="Negative"/>
  </r>
  <r>
    <n v="2023"/>
    <s v="CSU-21640"/>
    <n v="31346"/>
    <x v="0"/>
    <x v="0"/>
    <s v="LC"/>
    <s v="FC"/>
    <s v="FC-040gr"/>
    <x v="1"/>
    <s v="G"/>
    <s v="Cx."/>
    <x v="1"/>
    <s v="F"/>
    <n v="7"/>
    <m/>
    <n v="7"/>
    <n v="0"/>
    <s v="Negative"/>
  </r>
  <r>
    <n v="2023"/>
    <s v="CSU-21641"/>
    <n v="31347"/>
    <x v="0"/>
    <x v="0"/>
    <s v="LC"/>
    <s v="FC"/>
    <s v="FC-092gr"/>
    <x v="1"/>
    <s v="G"/>
    <s v="Cx."/>
    <x v="1"/>
    <s v="F"/>
    <n v="7"/>
    <m/>
    <n v="7"/>
    <n v="0"/>
    <s v="Negative"/>
  </r>
  <r>
    <n v="2023"/>
    <s v="CSU-21642"/>
    <n v="31348"/>
    <x v="0"/>
    <x v="0"/>
    <s v="LC"/>
    <s v="FC"/>
    <s v="FC-072"/>
    <x v="1"/>
    <s v="L"/>
    <s v="Cx."/>
    <x v="0"/>
    <s v="F"/>
    <m/>
    <n v="6"/>
    <n v="6"/>
    <n v="0"/>
    <s v="Negative"/>
  </r>
  <r>
    <n v="2023"/>
    <s v="CSU-21643"/>
    <n v="31349"/>
    <x v="0"/>
    <x v="0"/>
    <s v="LC"/>
    <s v="FC"/>
    <s v="FC-072"/>
    <x v="1"/>
    <s v="L"/>
    <s v="Cx."/>
    <x v="1"/>
    <s v="F"/>
    <m/>
    <n v="2"/>
    <n v="2"/>
    <n v="0"/>
    <s v="Negative"/>
  </r>
  <r>
    <n v="2023"/>
    <s v="CSU-21644"/>
    <n v="31350"/>
    <x v="0"/>
    <x v="0"/>
    <s v="LC"/>
    <s v="FC"/>
    <s v="FC-040"/>
    <x v="1"/>
    <s v="L"/>
    <s v="Cx."/>
    <x v="0"/>
    <s v="F"/>
    <m/>
    <n v="2"/>
    <n v="2"/>
    <n v="0"/>
    <s v="Negative"/>
  </r>
  <r>
    <n v="2023"/>
    <s v="CSU-21645"/>
    <n v="31351"/>
    <x v="0"/>
    <x v="0"/>
    <s v="LC"/>
    <s v="FC"/>
    <s v="FC-040"/>
    <x v="1"/>
    <s v="L"/>
    <s v="Cx."/>
    <x v="1"/>
    <s v="F"/>
    <m/>
    <n v="13"/>
    <n v="13"/>
    <n v="0"/>
    <s v="Negative"/>
  </r>
  <r>
    <n v="2023"/>
    <s v="CSU-21646"/>
    <n v="31352"/>
    <x v="0"/>
    <x v="0"/>
    <s v="LC"/>
    <s v="FC"/>
    <s v="FC-091gr"/>
    <x v="1"/>
    <s v="G"/>
    <s v="Cx."/>
    <x v="1"/>
    <s v="F"/>
    <n v="7"/>
    <m/>
    <n v="7"/>
    <n v="0"/>
    <s v="Negative"/>
  </r>
  <r>
    <n v="2023"/>
    <s v="CSU-21647"/>
    <n v="31353"/>
    <x v="0"/>
    <x v="0"/>
    <s v="LC"/>
    <s v="FC"/>
    <s v="FC-019"/>
    <x v="1"/>
    <s v="L"/>
    <s v="Cx."/>
    <x v="0"/>
    <s v="F"/>
    <m/>
    <n v="6"/>
    <n v="6"/>
    <n v="0"/>
    <s v="Negative"/>
  </r>
  <r>
    <n v="2023"/>
    <s v="CSU-21648"/>
    <n v="31354"/>
    <x v="0"/>
    <x v="0"/>
    <s v="LC"/>
    <s v="FC"/>
    <s v="FC-019"/>
    <x v="1"/>
    <s v="L"/>
    <s v="Cx."/>
    <x v="1"/>
    <s v="F"/>
    <m/>
    <n v="9"/>
    <n v="9"/>
    <n v="0"/>
    <s v="Negative"/>
  </r>
  <r>
    <n v="2023"/>
    <s v="CSU-21649"/>
    <n v="31355"/>
    <x v="0"/>
    <x v="0"/>
    <s v="LC"/>
    <s v="FC"/>
    <s v="FC-066gr"/>
    <x v="1"/>
    <s v="G"/>
    <s v="Cx."/>
    <x v="1"/>
    <s v="F"/>
    <n v="3"/>
    <m/>
    <n v="3"/>
    <n v="0"/>
    <s v="Negative"/>
  </r>
  <r>
    <n v="2023"/>
    <s v="CSU-21650"/>
    <n v="31356"/>
    <x v="0"/>
    <x v="0"/>
    <s v="LC"/>
    <s v="FC"/>
    <s v="FC-014"/>
    <x v="1"/>
    <s v="L"/>
    <s v="Cx."/>
    <x v="1"/>
    <s v="F"/>
    <m/>
    <n v="1"/>
    <n v="1"/>
    <n v="0"/>
    <s v="Negative"/>
  </r>
  <r>
    <n v="2023"/>
    <s v="CSU-21651"/>
    <n v="31357"/>
    <x v="0"/>
    <x v="0"/>
    <s v="LC"/>
    <s v="FC"/>
    <s v="FC-066"/>
    <x v="1"/>
    <s v="L"/>
    <s v="Cx."/>
    <x v="0"/>
    <s v="F"/>
    <m/>
    <n v="5"/>
    <n v="5"/>
    <n v="0"/>
    <s v="Negative"/>
  </r>
  <r>
    <n v="2023"/>
    <s v="CSU-21652"/>
    <n v="31358"/>
    <x v="0"/>
    <x v="0"/>
    <s v="LC"/>
    <s v="FC"/>
    <s v="FC-066"/>
    <x v="1"/>
    <s v="L"/>
    <s v="Cx."/>
    <x v="1"/>
    <s v="F"/>
    <m/>
    <n v="50"/>
    <n v="50"/>
    <n v="0"/>
    <s v="Negative"/>
  </r>
  <r>
    <n v="2023"/>
    <s v="CSU-21653"/>
    <n v="31359"/>
    <x v="0"/>
    <x v="0"/>
    <s v="LC"/>
    <s v="FC"/>
    <s v="FC-066"/>
    <x v="1"/>
    <s v="L"/>
    <s v="Cx."/>
    <x v="1"/>
    <s v="F"/>
    <m/>
    <n v="50"/>
    <n v="50"/>
    <n v="0"/>
    <s v="Negative"/>
  </r>
  <r>
    <n v="2023"/>
    <s v="CSU-21654"/>
    <n v="31360"/>
    <x v="0"/>
    <x v="0"/>
    <s v="LC"/>
    <s v="FC"/>
    <s v="FC-066"/>
    <x v="1"/>
    <s v="L"/>
    <s v="Cx."/>
    <x v="1"/>
    <s v="F"/>
    <m/>
    <n v="50"/>
    <n v="50"/>
    <n v="0"/>
    <s v="Negative"/>
  </r>
  <r>
    <n v="2023"/>
    <s v="CSU-21655"/>
    <n v="31361"/>
    <x v="0"/>
    <x v="0"/>
    <s v="LC"/>
    <s v="FC"/>
    <s v="FC-066"/>
    <x v="1"/>
    <s v="L"/>
    <s v="Cx."/>
    <x v="1"/>
    <s v="F"/>
    <m/>
    <n v="29"/>
    <n v="29"/>
    <n v="0"/>
    <s v="Negative"/>
  </r>
  <r>
    <n v="2023"/>
    <s v="CSU-21656"/>
    <n v="31362"/>
    <x v="0"/>
    <x v="1"/>
    <s v="LC"/>
    <s v="LV"/>
    <s v="LV-104"/>
    <x v="0"/>
    <s v="L"/>
    <s v="Cx."/>
    <x v="0"/>
    <s v="F"/>
    <m/>
    <n v="13"/>
    <n v="13"/>
    <n v="0"/>
    <s v="Negative"/>
  </r>
  <r>
    <n v="2023"/>
    <s v="CSU-21657"/>
    <n v="31363"/>
    <x v="0"/>
    <x v="1"/>
    <s v="LC"/>
    <s v="LV"/>
    <s v="LV-104"/>
    <x v="0"/>
    <s v="L"/>
    <s v="Cx."/>
    <x v="1"/>
    <s v="F"/>
    <m/>
    <n v="22"/>
    <n v="22"/>
    <n v="0"/>
    <s v="Negative"/>
  </r>
  <r>
    <n v="2023"/>
    <s v="CSU-21658"/>
    <n v="31364"/>
    <x v="0"/>
    <x v="1"/>
    <s v="LC"/>
    <s v="LV"/>
    <s v="LV-110"/>
    <x v="0"/>
    <s v="L"/>
    <s v="Cx."/>
    <x v="0"/>
    <s v="F"/>
    <m/>
    <n v="1"/>
    <n v="1"/>
    <n v="0"/>
    <s v="Negative"/>
  </r>
  <r>
    <n v="2023"/>
    <s v="CSU-21659"/>
    <n v="31365"/>
    <x v="0"/>
    <x v="1"/>
    <s v="LC"/>
    <s v="LV"/>
    <s v="LV-110"/>
    <x v="0"/>
    <s v="L"/>
    <s v="Cx."/>
    <x v="1"/>
    <s v="F"/>
    <m/>
    <n v="2"/>
    <n v="2"/>
    <n v="0"/>
    <s v="Negative"/>
  </r>
  <r>
    <n v="2023"/>
    <s v="CSU-21660"/>
    <n v="31366"/>
    <x v="0"/>
    <x v="1"/>
    <s v="LC"/>
    <s v="FC"/>
    <s v="FC-093"/>
    <x v="2"/>
    <s v="L"/>
    <s v="Cx."/>
    <x v="0"/>
    <s v="F"/>
    <m/>
    <n v="1"/>
    <n v="1"/>
    <n v="0"/>
    <s v="Negative"/>
  </r>
  <r>
    <n v="2023"/>
    <s v="CSU-21661"/>
    <n v="31367"/>
    <x v="0"/>
    <x v="1"/>
    <s v="LC"/>
    <s v="FC"/>
    <s v="FC-093"/>
    <x v="2"/>
    <s v="L"/>
    <s v="Cx."/>
    <x v="1"/>
    <s v="F"/>
    <m/>
    <n v="1"/>
    <n v="1"/>
    <n v="0"/>
    <s v="Negative"/>
  </r>
  <r>
    <n v="2023"/>
    <s v="CSU-21662"/>
    <n v="31368"/>
    <x v="0"/>
    <x v="1"/>
    <s v="LC"/>
    <s v="FC"/>
    <s v="FC-071"/>
    <x v="2"/>
    <s v="L"/>
    <s v="Cx."/>
    <x v="0"/>
    <s v="F"/>
    <m/>
    <n v="1"/>
    <n v="1"/>
    <n v="0"/>
    <s v="Negative"/>
  </r>
  <r>
    <n v="2023"/>
    <s v="CSU-21663"/>
    <n v="31369"/>
    <x v="0"/>
    <x v="1"/>
    <s v="LC"/>
    <s v="FC"/>
    <s v="FC-062"/>
    <x v="2"/>
    <s v="L"/>
    <s v="Cx."/>
    <x v="1"/>
    <s v="F"/>
    <m/>
    <n v="3"/>
    <n v="3"/>
    <n v="0"/>
    <s v="Negative"/>
  </r>
  <r>
    <n v="2023"/>
    <s v="CSU-21664"/>
    <n v="31370"/>
    <x v="0"/>
    <x v="1"/>
    <s v="LC"/>
    <s v="FC"/>
    <s v="FC-029gr"/>
    <x v="3"/>
    <s v="G"/>
    <s v="Cx."/>
    <x v="1"/>
    <s v="F"/>
    <n v="5"/>
    <m/>
    <n v="5"/>
    <n v="1"/>
    <s v="Positive"/>
  </r>
  <r>
    <n v="2023"/>
    <s v="CSU-21665"/>
    <n v="31371"/>
    <x v="0"/>
    <x v="1"/>
    <s v="LC"/>
    <s v="FC"/>
    <s v="FC-029"/>
    <x v="3"/>
    <s v="L"/>
    <s v="Cx."/>
    <x v="0"/>
    <s v="F"/>
    <m/>
    <n v="2"/>
    <n v="2"/>
    <n v="0"/>
    <s v="Negative"/>
  </r>
  <r>
    <n v="2023"/>
    <s v="CSU-21666"/>
    <n v="31372"/>
    <x v="0"/>
    <x v="1"/>
    <s v="LC"/>
    <s v="FC"/>
    <s v="FC-029"/>
    <x v="3"/>
    <s v="L"/>
    <s v="Cx."/>
    <x v="1"/>
    <s v="F"/>
    <m/>
    <n v="2"/>
    <n v="2"/>
    <n v="0"/>
    <s v="Negative"/>
  </r>
  <r>
    <n v="2023"/>
    <s v="CSU-21667"/>
    <n v="31373"/>
    <x v="0"/>
    <x v="1"/>
    <s v="LC"/>
    <s v="FC"/>
    <s v="FC-001"/>
    <x v="2"/>
    <s v="L"/>
    <s v="Cx."/>
    <x v="0"/>
    <s v="F"/>
    <m/>
    <n v="2"/>
    <n v="2"/>
    <n v="0"/>
    <s v="Negative"/>
  </r>
  <r>
    <n v="2023"/>
    <s v="CSU-21668"/>
    <n v="31374"/>
    <x v="0"/>
    <x v="1"/>
    <s v="LC"/>
    <s v="FC"/>
    <s v="FC-001"/>
    <x v="2"/>
    <s v="L"/>
    <s v="Cx."/>
    <x v="1"/>
    <s v="F"/>
    <m/>
    <n v="21"/>
    <n v="21"/>
    <n v="0"/>
    <s v="Negative"/>
  </r>
  <r>
    <n v="2023"/>
    <s v="CSU-21669"/>
    <n v="31375"/>
    <x v="0"/>
    <x v="1"/>
    <s v="LC"/>
    <s v="FC"/>
    <s v="FC-054"/>
    <x v="3"/>
    <s v="L"/>
    <s v="Cx."/>
    <x v="0"/>
    <s v="F"/>
    <m/>
    <n v="6"/>
    <n v="6"/>
    <n v="0"/>
    <s v="Negative"/>
  </r>
  <r>
    <n v="2023"/>
    <s v="CSU-21670"/>
    <n v="31376"/>
    <x v="0"/>
    <x v="1"/>
    <s v="LC"/>
    <s v="FC"/>
    <s v="FC-054"/>
    <x v="3"/>
    <s v="L"/>
    <s v="Cx."/>
    <x v="1"/>
    <s v="F"/>
    <m/>
    <n v="12"/>
    <n v="12"/>
    <n v="0"/>
    <s v="Negative"/>
  </r>
  <r>
    <n v="2023"/>
    <s v="CSU-21671"/>
    <n v="31377"/>
    <x v="0"/>
    <x v="1"/>
    <s v="LC"/>
    <s v="FC"/>
    <s v="FC-089gr"/>
    <x v="2"/>
    <s v="G"/>
    <s v="Cx."/>
    <x v="1"/>
    <s v="F"/>
    <n v="1"/>
    <m/>
    <n v="1"/>
    <n v="0"/>
    <s v="Negative"/>
  </r>
  <r>
    <n v="2023"/>
    <s v="CSU-21672"/>
    <n v="31378"/>
    <x v="0"/>
    <x v="1"/>
    <s v="LC"/>
    <s v="FC"/>
    <s v="FC-037"/>
    <x v="2"/>
    <s v="L"/>
    <s v="Cx."/>
    <x v="0"/>
    <s v="F"/>
    <m/>
    <n v="7"/>
    <n v="7"/>
    <n v="0"/>
    <s v="Negative"/>
  </r>
  <r>
    <n v="2023"/>
    <s v="CSU-21673"/>
    <n v="31379"/>
    <x v="0"/>
    <x v="1"/>
    <s v="LC"/>
    <s v="FC"/>
    <s v="FC-037"/>
    <x v="2"/>
    <s v="L"/>
    <s v="Cx."/>
    <x v="1"/>
    <s v="F"/>
    <m/>
    <n v="7"/>
    <n v="7"/>
    <n v="0"/>
    <s v="Negative"/>
  </r>
  <r>
    <n v="2023"/>
    <s v="CSU-21674"/>
    <n v="31380"/>
    <x v="0"/>
    <x v="1"/>
    <s v="LC"/>
    <s v="FC"/>
    <s v="FC-057"/>
    <x v="2"/>
    <s v="L"/>
    <s v="Cx."/>
    <x v="0"/>
    <s v="F"/>
    <m/>
    <n v="3"/>
    <n v="3"/>
    <n v="0"/>
    <s v="Negative"/>
  </r>
  <r>
    <n v="2023"/>
    <s v="CSU-21675"/>
    <n v="31381"/>
    <x v="0"/>
    <x v="1"/>
    <s v="LC"/>
    <s v="FC"/>
    <s v="FC-057"/>
    <x v="2"/>
    <s v="L"/>
    <s v="Cx."/>
    <x v="1"/>
    <s v="F"/>
    <m/>
    <n v="1"/>
    <n v="1"/>
    <n v="1"/>
    <s v="Positive"/>
  </r>
  <r>
    <n v="2023"/>
    <s v="CSU-21676"/>
    <n v="31382"/>
    <x v="0"/>
    <x v="1"/>
    <s v="LC"/>
    <s v="FC"/>
    <s v="FC-023"/>
    <x v="3"/>
    <s v="L"/>
    <s v="Cx."/>
    <x v="0"/>
    <s v="F"/>
    <m/>
    <n v="3"/>
    <n v="3"/>
    <n v="0"/>
    <s v="Negative"/>
  </r>
  <r>
    <n v="2023"/>
    <s v="CSU-21677"/>
    <n v="31383"/>
    <x v="0"/>
    <x v="1"/>
    <s v="LC"/>
    <s v="FC"/>
    <s v="FC-023"/>
    <x v="3"/>
    <s v="L"/>
    <s v="Cx."/>
    <x v="1"/>
    <s v="F"/>
    <m/>
    <n v="2"/>
    <n v="2"/>
    <n v="0"/>
    <s v="Negative"/>
  </r>
  <r>
    <n v="2023"/>
    <s v="CSU-21678"/>
    <n v="31384"/>
    <x v="0"/>
    <x v="1"/>
    <s v="LC"/>
    <s v="FC"/>
    <s v="FC-047"/>
    <x v="3"/>
    <s v="L"/>
    <s v="Cx."/>
    <x v="0"/>
    <s v="F"/>
    <m/>
    <n v="1"/>
    <n v="1"/>
    <n v="0"/>
    <s v="Negative"/>
  </r>
  <r>
    <n v="2023"/>
    <s v="CSU-21679"/>
    <n v="31385"/>
    <x v="0"/>
    <x v="1"/>
    <s v="LC"/>
    <s v="FC"/>
    <s v="FC-047"/>
    <x v="3"/>
    <s v="L"/>
    <s v="Cx."/>
    <x v="1"/>
    <s v="F"/>
    <m/>
    <n v="2"/>
    <n v="2"/>
    <n v="0"/>
    <s v="Negative"/>
  </r>
  <r>
    <n v="2023"/>
    <s v="CSU-21680"/>
    <n v="31386"/>
    <x v="0"/>
    <x v="1"/>
    <s v="LC"/>
    <s v="FC"/>
    <s v="FC-050"/>
    <x v="3"/>
    <s v="L"/>
    <s v="Cx."/>
    <x v="1"/>
    <s v="F"/>
    <m/>
    <n v="4"/>
    <n v="4"/>
    <n v="0"/>
    <s v="Negative"/>
  </r>
  <r>
    <n v="2023"/>
    <s v="CSU-21681"/>
    <n v="31387"/>
    <x v="0"/>
    <x v="1"/>
    <s v="LC"/>
    <s v="FC"/>
    <s v="FC-046"/>
    <x v="3"/>
    <s v="L"/>
    <s v="Cx."/>
    <x v="0"/>
    <s v="F"/>
    <m/>
    <n v="4"/>
    <n v="4"/>
    <n v="0"/>
    <s v="Negative"/>
  </r>
  <r>
    <n v="2023"/>
    <s v="CSU-21682"/>
    <n v="31388"/>
    <x v="0"/>
    <x v="1"/>
    <s v="LC"/>
    <s v="FC"/>
    <s v="FC-046"/>
    <x v="3"/>
    <s v="L"/>
    <s v="Cx."/>
    <x v="1"/>
    <s v="F"/>
    <m/>
    <n v="13"/>
    <n v="13"/>
    <n v="0"/>
    <s v="Negative"/>
  </r>
  <r>
    <n v="2023"/>
    <s v="CSU-21683"/>
    <n v="31389"/>
    <x v="0"/>
    <x v="1"/>
    <s v="LC"/>
    <s v="FC"/>
    <s v="FC-059"/>
    <x v="3"/>
    <s v="L"/>
    <s v="Cx."/>
    <x v="0"/>
    <s v="F"/>
    <m/>
    <n v="3"/>
    <n v="3"/>
    <n v="0"/>
    <s v="Negative"/>
  </r>
  <r>
    <n v="2023"/>
    <s v="CSU-21684"/>
    <n v="31390"/>
    <x v="0"/>
    <x v="1"/>
    <s v="LC"/>
    <s v="FC"/>
    <s v="FC-059"/>
    <x v="3"/>
    <s v="L"/>
    <s v="Cx."/>
    <x v="1"/>
    <s v="F"/>
    <m/>
    <n v="11"/>
    <n v="11"/>
    <n v="0"/>
    <s v="Negative"/>
  </r>
  <r>
    <n v="2023"/>
    <s v="CSU-21685"/>
    <n v="31391"/>
    <x v="0"/>
    <x v="1"/>
    <s v="LC"/>
    <s v="FC"/>
    <s v="FC-074"/>
    <x v="3"/>
    <s v="L"/>
    <s v="Cx."/>
    <x v="0"/>
    <s v="F"/>
    <m/>
    <n v="2"/>
    <n v="2"/>
    <n v="0"/>
    <s v="Negative"/>
  </r>
  <r>
    <n v="2023"/>
    <s v="CSU-21686"/>
    <n v="31392"/>
    <x v="0"/>
    <x v="1"/>
    <s v="LC"/>
    <s v="FC"/>
    <s v="FC-075"/>
    <x v="3"/>
    <s v="L"/>
    <s v="Cx."/>
    <x v="0"/>
    <s v="F"/>
    <m/>
    <n v="3"/>
    <n v="3"/>
    <n v="0"/>
    <s v="Negative"/>
  </r>
  <r>
    <n v="2023"/>
    <s v="CSU-21687"/>
    <n v="31393"/>
    <x v="0"/>
    <x v="1"/>
    <s v="LC"/>
    <s v="FC"/>
    <s v="FC-075"/>
    <x v="3"/>
    <s v="L"/>
    <s v="Cx."/>
    <x v="1"/>
    <s v="F"/>
    <m/>
    <n v="9"/>
    <n v="9"/>
    <n v="0"/>
    <s v="Negative"/>
  </r>
  <r>
    <n v="2023"/>
    <s v="CSU-21688"/>
    <n v="31394"/>
    <x v="0"/>
    <x v="1"/>
    <s v="LC"/>
    <s v="FC"/>
    <s v="FC-004"/>
    <x v="3"/>
    <s v="L"/>
    <s v="Cx."/>
    <x v="0"/>
    <s v="F"/>
    <m/>
    <n v="2"/>
    <n v="2"/>
    <n v="0"/>
    <s v="Negative"/>
  </r>
  <r>
    <n v="2023"/>
    <s v="CSU-21689"/>
    <n v="31395"/>
    <x v="0"/>
    <x v="1"/>
    <s v="LC"/>
    <s v="FC"/>
    <s v="FC-004"/>
    <x v="3"/>
    <s v="L"/>
    <s v="Cx."/>
    <x v="1"/>
    <s v="F"/>
    <m/>
    <n v="7"/>
    <n v="7"/>
    <n v="0"/>
    <s v="Negative"/>
  </r>
  <r>
    <n v="2023"/>
    <s v="CSU-21690"/>
    <n v="31396"/>
    <x v="0"/>
    <x v="1"/>
    <s v="LC"/>
    <s v="FC"/>
    <s v="FC-088gr"/>
    <x v="3"/>
    <s v="G"/>
    <s v="Cx."/>
    <x v="1"/>
    <s v="F"/>
    <n v="21"/>
    <m/>
    <n v="21"/>
    <n v="0"/>
    <s v="Negative"/>
  </r>
  <r>
    <n v="2023"/>
    <s v="CSU-21691"/>
    <n v="31397"/>
    <x v="0"/>
    <x v="1"/>
    <s v="LC"/>
    <s v="FC"/>
    <s v="FC-075gr"/>
    <x v="3"/>
    <s v="G"/>
    <s v="Cx."/>
    <x v="1"/>
    <s v="F"/>
    <n v="26"/>
    <m/>
    <n v="26"/>
    <n v="0"/>
    <s v="Negative"/>
  </r>
  <r>
    <n v="2023"/>
    <s v="CSU-21692"/>
    <n v="31398"/>
    <x v="0"/>
    <x v="1"/>
    <s v="LC"/>
    <s v="FC"/>
    <s v="FC-039"/>
    <x v="3"/>
    <s v="L"/>
    <s v="Cx."/>
    <x v="0"/>
    <s v="F"/>
    <m/>
    <n v="4"/>
    <n v="4"/>
    <n v="0"/>
    <s v="Negative"/>
  </r>
  <r>
    <n v="2023"/>
    <s v="CSU-21693"/>
    <n v="31399"/>
    <x v="0"/>
    <x v="1"/>
    <s v="LC"/>
    <s v="FC"/>
    <s v="FC-039"/>
    <x v="3"/>
    <s v="L"/>
    <s v="Cx."/>
    <x v="1"/>
    <s v="F"/>
    <m/>
    <n v="11"/>
    <n v="11"/>
    <n v="0"/>
    <s v="Negative"/>
  </r>
  <r>
    <n v="2023"/>
    <s v="CSU-21694"/>
    <n v="31400"/>
    <x v="0"/>
    <x v="2"/>
    <s v="LC"/>
    <s v="LV"/>
    <s v="LV-020"/>
    <x v="0"/>
    <s v="L"/>
    <s v="Cx."/>
    <x v="0"/>
    <s v="F"/>
    <m/>
    <n v="8"/>
    <n v="8"/>
    <n v="0"/>
    <s v="Negative"/>
  </r>
  <r>
    <n v="2023"/>
    <s v="CSU-21695"/>
    <n v="31401"/>
    <x v="0"/>
    <x v="2"/>
    <s v="LC"/>
    <s v="LV"/>
    <s v="LV-020"/>
    <x v="0"/>
    <s v="L"/>
    <s v="Cx."/>
    <x v="1"/>
    <s v="F"/>
    <m/>
    <n v="7"/>
    <n v="7"/>
    <n v="0"/>
    <s v="Negative"/>
  </r>
  <r>
    <n v="2023"/>
    <s v="CSU-21696"/>
    <n v="31402"/>
    <x v="0"/>
    <x v="2"/>
    <s v="LC"/>
    <s v="FC"/>
    <s v="FC-063"/>
    <x v="4"/>
    <s v="L"/>
    <s v="Cx."/>
    <x v="1"/>
    <s v="F"/>
    <m/>
    <n v="1"/>
    <n v="1"/>
    <n v="0"/>
    <s v="Negative"/>
  </r>
  <r>
    <n v="2023"/>
    <s v="CSU-21697"/>
    <n v="31403"/>
    <x v="0"/>
    <x v="2"/>
    <s v="LC"/>
    <s v="FC"/>
    <s v="FC-061"/>
    <x v="4"/>
    <s v="L"/>
    <s v="Cx."/>
    <x v="0"/>
    <s v="F"/>
    <m/>
    <n v="2"/>
    <n v="2"/>
    <n v="0"/>
    <s v="Negative"/>
  </r>
  <r>
    <n v="2023"/>
    <s v="CSU-21698"/>
    <n v="31404"/>
    <x v="0"/>
    <x v="2"/>
    <s v="LC"/>
    <s v="FC"/>
    <s v="FC-061"/>
    <x v="4"/>
    <s v="L"/>
    <s v="Cx."/>
    <x v="1"/>
    <s v="F"/>
    <m/>
    <n v="1"/>
    <n v="1"/>
    <n v="0"/>
    <s v="Negative"/>
  </r>
  <r>
    <n v="2023"/>
    <s v="CSU-21699"/>
    <n v="31405"/>
    <x v="0"/>
    <x v="2"/>
    <s v="LC"/>
    <s v="FC"/>
    <s v="FC-041"/>
    <x v="4"/>
    <s v="L"/>
    <s v="Cx."/>
    <x v="1"/>
    <s v="F"/>
    <m/>
    <n v="2"/>
    <n v="2"/>
    <n v="0"/>
    <s v="Negative"/>
  </r>
  <r>
    <n v="2023"/>
    <s v="CSU-21700"/>
    <n v="31406"/>
    <x v="0"/>
    <x v="2"/>
    <s v="LC"/>
    <s v="FC"/>
    <s v="FC-090gr"/>
    <x v="4"/>
    <s v="G"/>
    <s v="Cx."/>
    <x v="1"/>
    <s v="F"/>
    <n v="9"/>
    <m/>
    <n v="9"/>
    <n v="0"/>
    <s v="Negative"/>
  </r>
  <r>
    <n v="2023"/>
    <s v="CSU-21701"/>
    <n v="31407"/>
    <x v="0"/>
    <x v="2"/>
    <s v="LC"/>
    <s v="FC"/>
    <s v="FC-073"/>
    <x v="4"/>
    <s v="L"/>
    <s v="Cx."/>
    <x v="0"/>
    <s v="F"/>
    <m/>
    <n v="3"/>
    <n v="3"/>
    <n v="0"/>
    <s v="Negative"/>
  </r>
  <r>
    <n v="2023"/>
    <s v="CSU-21702"/>
    <n v="31408"/>
    <x v="0"/>
    <x v="2"/>
    <s v="LC"/>
    <s v="FC"/>
    <s v="FC-063gr"/>
    <x v="4"/>
    <s v="G"/>
    <s v="Cx."/>
    <x v="1"/>
    <s v="F"/>
    <n v="36"/>
    <m/>
    <n v="36"/>
    <n v="1"/>
    <s v="Positive"/>
  </r>
  <r>
    <n v="2023"/>
    <s v="BOU-00201"/>
    <s v="N/A"/>
    <x v="0"/>
    <x v="0"/>
    <s v="BC"/>
    <s v="BC"/>
    <s v="BC-22"/>
    <x v="5"/>
    <s v="L"/>
    <s v="Cx."/>
    <x v="0"/>
    <s v="F"/>
    <n v="0"/>
    <n v="2"/>
    <n v="2"/>
    <n v="0"/>
    <s v="Negative"/>
  </r>
  <r>
    <n v="2023"/>
    <s v="BOU-00202"/>
    <s v="N/A"/>
    <x v="0"/>
    <x v="0"/>
    <s v="BC"/>
    <s v="BC"/>
    <s v="BC-11"/>
    <x v="5"/>
    <s v="L"/>
    <s v="Cx."/>
    <x v="0"/>
    <s v="F"/>
    <n v="0"/>
    <n v="1"/>
    <n v="1"/>
    <n v="0"/>
    <s v="Negative"/>
  </r>
  <r>
    <n v="2023"/>
    <s v="BOU-00203"/>
    <s v="N/A"/>
    <x v="0"/>
    <x v="0"/>
    <s v="BC"/>
    <s v="BC"/>
    <s v="BC-26"/>
    <x v="5"/>
    <s v="L"/>
    <s v="Cx."/>
    <x v="0"/>
    <s v="F"/>
    <n v="0"/>
    <n v="5"/>
    <n v="5"/>
    <n v="0"/>
    <s v="Negative"/>
  </r>
  <r>
    <n v="2023"/>
    <s v="BOU-00204"/>
    <s v="N/A"/>
    <x v="0"/>
    <x v="0"/>
    <s v="BC"/>
    <s v="BC"/>
    <s v="BC-13"/>
    <x v="5"/>
    <s v="L"/>
    <s v="Cx."/>
    <x v="0"/>
    <s v="F"/>
    <n v="0"/>
    <n v="3"/>
    <n v="3"/>
    <n v="0"/>
    <s v="Negative"/>
  </r>
  <r>
    <n v="2023"/>
    <s v="BOU-00205"/>
    <s v="N/A"/>
    <x v="0"/>
    <x v="0"/>
    <s v="BC"/>
    <s v="BC"/>
    <s v="BC-27"/>
    <x v="5"/>
    <s v="L"/>
    <s v="Cx."/>
    <x v="0"/>
    <s v="F"/>
    <n v="0"/>
    <n v="2"/>
    <n v="2"/>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2EA683-8A07-43DE-976D-91514A9C0737}" name="PivotTable3" cacheId="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7">
        <item x="0"/>
        <item x="3"/>
        <item x="2"/>
        <item x="1"/>
        <item x="4"/>
        <item x="5"/>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4F948D-A8B4-4A0E-A1DF-81651CB087D5}" name="PivotTable1" cacheId="1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1"/>
        <item x="4"/>
        <item x="3"/>
        <item x="2"/>
        <item x="5"/>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6FEB36-CDDE-4507-9725-B7B8F0BF9AD8}" name="PivotTable4" cacheId="1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1"/>
        <item x="4"/>
        <item x="3"/>
        <item x="2"/>
        <item x="0"/>
        <item x="5"/>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91776E-BB49-4A41-9B56-1CDD44EFE90F}" name="PivotTable1" cacheId="19"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4">
        <item x="0"/>
        <item x="1"/>
        <item x="2"/>
        <item t="default"/>
      </items>
    </pivotField>
    <pivotField showAll="0"/>
    <pivotField showAll="0"/>
    <pivotField showAll="0" defaultSubtotal="0"/>
    <pivotField axis="axisRow" showAll="0">
      <items count="7">
        <item x="0"/>
        <item x="1"/>
        <item x="4"/>
        <item x="3"/>
        <item x="2"/>
        <item x="5"/>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C15" sqref="C15"/>
    </sheetView>
  </sheetViews>
  <sheetFormatPr defaultColWidth="8.85546875" defaultRowHeight="15"/>
  <sheetData>
    <row r="1" spans="1:1">
      <c r="A1" t="s">
        <v>0</v>
      </c>
    </row>
    <row r="2" spans="1:1">
      <c r="A2" t="s">
        <v>1</v>
      </c>
    </row>
    <row r="3" spans="1:1">
      <c r="A3" t="s">
        <v>2</v>
      </c>
    </row>
    <row r="5" spans="1:1">
      <c r="A5" t="s">
        <v>3</v>
      </c>
    </row>
    <row r="6" spans="1:1">
      <c r="A6" t="s">
        <v>4</v>
      </c>
    </row>
    <row r="7" spans="1:1">
      <c r="A7" t="s">
        <v>5</v>
      </c>
    </row>
    <row r="8" spans="1:1">
      <c r="A8" t="s">
        <v>6</v>
      </c>
    </row>
    <row r="9" spans="1:1">
      <c r="A9" t="s">
        <v>7</v>
      </c>
    </row>
    <row r="10" spans="1:1">
      <c r="A10" t="s">
        <v>8</v>
      </c>
    </row>
    <row r="11" spans="1:1">
      <c r="A1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53419-46E2-4F16-BCCA-B166CC7BC5C9}">
  <dimension ref="A1:J4"/>
  <sheetViews>
    <sheetView workbookViewId="0">
      <selection activeCell="A2" sqref="A2:B4"/>
    </sheetView>
  </sheetViews>
  <sheetFormatPr defaultRowHeight="1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16</v>
      </c>
      <c r="B1" s="49" t="s">
        <v>106</v>
      </c>
      <c r="C1" s="49" t="s">
        <v>107</v>
      </c>
      <c r="D1" s="49" t="s">
        <v>108</v>
      </c>
      <c r="E1" s="47" t="s">
        <v>109</v>
      </c>
      <c r="F1" s="47" t="s">
        <v>110</v>
      </c>
      <c r="G1" s="47" t="s">
        <v>111</v>
      </c>
      <c r="H1" s="47" t="s">
        <v>112</v>
      </c>
      <c r="I1" s="47" t="s">
        <v>113</v>
      </c>
      <c r="J1" s="47" t="s">
        <v>114</v>
      </c>
    </row>
    <row r="2" spans="1:10">
      <c r="A2" t="s">
        <v>32</v>
      </c>
      <c r="B2" s="30">
        <v>0</v>
      </c>
      <c r="C2" s="30">
        <v>0</v>
      </c>
      <c r="D2" s="30">
        <v>187.4927239913691</v>
      </c>
      <c r="E2" s="63">
        <v>1000</v>
      </c>
      <c r="F2" s="64" t="s">
        <v>117</v>
      </c>
      <c r="G2" s="64" t="s">
        <v>118</v>
      </c>
      <c r="H2">
        <v>5</v>
      </c>
      <c r="I2">
        <v>0</v>
      </c>
      <c r="J2">
        <v>13</v>
      </c>
    </row>
    <row r="3" spans="1:10">
      <c r="A3" t="s">
        <v>52</v>
      </c>
      <c r="B3" s="30">
        <v>6.0109466472309281</v>
      </c>
      <c r="C3" s="30">
        <v>1.6284349896986372</v>
      </c>
      <c r="D3" s="30">
        <v>16.090712448533445</v>
      </c>
      <c r="E3" s="63">
        <v>1000</v>
      </c>
      <c r="F3" s="64" t="s">
        <v>115</v>
      </c>
      <c r="G3" s="64" t="s">
        <v>116</v>
      </c>
      <c r="H3">
        <v>59</v>
      </c>
      <c r="I3">
        <v>3</v>
      </c>
      <c r="J3">
        <v>507</v>
      </c>
    </row>
    <row r="4" spans="1:10">
      <c r="A4" t="s">
        <v>44</v>
      </c>
      <c r="B4" s="30">
        <v>0</v>
      </c>
      <c r="C4" s="30">
        <v>0</v>
      </c>
      <c r="D4" s="30">
        <v>28.844772686928138</v>
      </c>
      <c r="E4" s="63">
        <v>1000</v>
      </c>
      <c r="F4" s="64" t="s">
        <v>117</v>
      </c>
      <c r="G4" s="64" t="s">
        <v>118</v>
      </c>
      <c r="H4">
        <v>9</v>
      </c>
      <c r="I4">
        <v>0</v>
      </c>
      <c r="J4">
        <v>101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95D84-C15B-4A3A-B184-813CF364E875}">
  <dimension ref="A1:J7"/>
  <sheetViews>
    <sheetView workbookViewId="0">
      <selection activeCell="A2" sqref="A2:B7"/>
    </sheetView>
  </sheetViews>
  <sheetFormatPr defaultRowHeight="1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18</v>
      </c>
      <c r="B1" s="49" t="s">
        <v>106</v>
      </c>
      <c r="C1" s="49" t="s">
        <v>107</v>
      </c>
      <c r="D1" s="49" t="s">
        <v>108</v>
      </c>
      <c r="E1" s="47" t="s">
        <v>109</v>
      </c>
      <c r="F1" s="47" t="s">
        <v>110</v>
      </c>
      <c r="G1" s="47" t="s">
        <v>111</v>
      </c>
      <c r="H1" s="47" t="s">
        <v>112</v>
      </c>
      <c r="I1" s="47" t="s">
        <v>113</v>
      </c>
      <c r="J1" s="47" t="s">
        <v>114</v>
      </c>
    </row>
    <row r="2" spans="1:10">
      <c r="A2" t="s">
        <v>32</v>
      </c>
      <c r="B2" s="30">
        <v>0</v>
      </c>
      <c r="C2" s="30">
        <v>0</v>
      </c>
      <c r="D2" s="30">
        <v>187.4927239913691</v>
      </c>
      <c r="E2" s="63">
        <v>1000</v>
      </c>
      <c r="F2" s="64" t="s">
        <v>117</v>
      </c>
      <c r="G2" s="64" t="s">
        <v>118</v>
      </c>
      <c r="H2">
        <v>5</v>
      </c>
      <c r="I2">
        <v>0</v>
      </c>
      <c r="J2">
        <v>13</v>
      </c>
    </row>
    <row r="3" spans="1:10">
      <c r="A3" t="s">
        <v>44</v>
      </c>
      <c r="B3" s="30">
        <v>0</v>
      </c>
      <c r="C3" s="30">
        <v>0</v>
      </c>
      <c r="D3" s="30">
        <v>28.844772686928138</v>
      </c>
      <c r="E3" s="63">
        <v>1000</v>
      </c>
      <c r="F3" s="64" t="s">
        <v>117</v>
      </c>
      <c r="G3" s="64" t="s">
        <v>118</v>
      </c>
      <c r="H3">
        <v>9</v>
      </c>
      <c r="I3">
        <v>0</v>
      </c>
      <c r="J3">
        <v>101</v>
      </c>
    </row>
    <row r="4" spans="1:10">
      <c r="A4" t="s">
        <v>53</v>
      </c>
      <c r="B4" s="30">
        <v>0</v>
      </c>
      <c r="C4" s="30">
        <v>0</v>
      </c>
      <c r="D4" s="30">
        <v>12.247851074838007</v>
      </c>
      <c r="E4" s="63">
        <v>1000</v>
      </c>
      <c r="F4" s="64" t="s">
        <v>117</v>
      </c>
      <c r="G4" s="64" t="s">
        <v>118</v>
      </c>
      <c r="H4">
        <v>18</v>
      </c>
      <c r="I4">
        <v>0</v>
      </c>
      <c r="J4">
        <v>250</v>
      </c>
    </row>
    <row r="5" spans="1:10">
      <c r="A5" t="s">
        <v>70</v>
      </c>
      <c r="B5" s="30">
        <v>21.476025435305036</v>
      </c>
      <c r="C5" s="30">
        <v>1.2458241223784599</v>
      </c>
      <c r="D5" s="30">
        <v>149.51266505821309</v>
      </c>
      <c r="E5" s="63">
        <v>1000</v>
      </c>
      <c r="F5" s="64" t="s">
        <v>115</v>
      </c>
      <c r="G5" s="64" t="s">
        <v>116</v>
      </c>
      <c r="H5">
        <v>7</v>
      </c>
      <c r="I5">
        <v>1</v>
      </c>
      <c r="J5">
        <v>54</v>
      </c>
    </row>
    <row r="6" spans="1:10">
      <c r="A6" t="s">
        <v>79</v>
      </c>
      <c r="B6" s="30">
        <v>6.2857756420352082</v>
      </c>
      <c r="C6" s="30">
        <v>0.37575424047366823</v>
      </c>
      <c r="D6" s="30">
        <v>29.943346245500926</v>
      </c>
      <c r="E6" s="63">
        <v>1000</v>
      </c>
      <c r="F6" s="64" t="s">
        <v>115</v>
      </c>
      <c r="G6" s="64" t="s">
        <v>116</v>
      </c>
      <c r="H6">
        <v>23</v>
      </c>
      <c r="I6">
        <v>1</v>
      </c>
      <c r="J6">
        <v>155</v>
      </c>
    </row>
    <row r="7" spans="1:10">
      <c r="A7" t="s">
        <v>96</v>
      </c>
      <c r="B7" s="30">
        <v>18.394858233754146</v>
      </c>
      <c r="C7" s="30">
        <v>1.2454828494948789</v>
      </c>
      <c r="D7" s="30">
        <v>83.779929937577577</v>
      </c>
      <c r="E7" s="63">
        <v>1000</v>
      </c>
      <c r="F7" s="64" t="s">
        <v>115</v>
      </c>
      <c r="G7" s="64" t="s">
        <v>116</v>
      </c>
      <c r="H7">
        <v>11</v>
      </c>
      <c r="I7">
        <v>1</v>
      </c>
      <c r="J7">
        <v>48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52678-6B2E-4B68-B3AF-58975EF5C09C}">
  <dimension ref="A1:J9"/>
  <sheetViews>
    <sheetView workbookViewId="0">
      <selection activeCell="A2" sqref="A2:B9"/>
    </sheetView>
  </sheetViews>
  <sheetFormatPr defaultRowHeight="1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30</v>
      </c>
      <c r="B1" s="49" t="s">
        <v>106</v>
      </c>
      <c r="C1" s="49" t="s">
        <v>107</v>
      </c>
      <c r="D1" s="49" t="s">
        <v>108</v>
      </c>
      <c r="E1" s="47" t="s">
        <v>109</v>
      </c>
      <c r="F1" s="47" t="s">
        <v>110</v>
      </c>
      <c r="G1" s="47" t="s">
        <v>111</v>
      </c>
      <c r="H1" s="47" t="s">
        <v>112</v>
      </c>
      <c r="I1" s="47" t="s">
        <v>113</v>
      </c>
      <c r="J1" s="47" t="s">
        <v>114</v>
      </c>
    </row>
    <row r="2" spans="1:10">
      <c r="A2" t="s">
        <v>55</v>
      </c>
      <c r="B2" s="30">
        <v>0</v>
      </c>
      <c r="C2" s="30">
        <v>0</v>
      </c>
      <c r="D2" s="30">
        <v>12.964198920057427</v>
      </c>
      <c r="E2" s="63">
        <v>1000</v>
      </c>
      <c r="F2" s="64" t="s">
        <v>117</v>
      </c>
      <c r="G2" s="64" t="s">
        <v>118</v>
      </c>
      <c r="H2">
        <v>12</v>
      </c>
      <c r="I2">
        <v>0</v>
      </c>
      <c r="J2">
        <v>228</v>
      </c>
    </row>
    <row r="3" spans="1:10">
      <c r="A3" t="s">
        <v>68</v>
      </c>
      <c r="B3" s="30">
        <v>0</v>
      </c>
      <c r="C3" s="30">
        <v>0</v>
      </c>
      <c r="D3" s="30">
        <v>119.43822773814462</v>
      </c>
      <c r="E3" s="63">
        <v>1000</v>
      </c>
      <c r="F3" s="64" t="s">
        <v>117</v>
      </c>
      <c r="G3" s="64" t="s">
        <v>118</v>
      </c>
      <c r="H3">
        <v>6</v>
      </c>
      <c r="I3">
        <v>0</v>
      </c>
      <c r="J3">
        <v>22</v>
      </c>
    </row>
    <row r="4" spans="1:10">
      <c r="A4" t="s">
        <v>71</v>
      </c>
      <c r="B4" s="30">
        <v>21.846593258072339</v>
      </c>
      <c r="C4" s="30">
        <v>1.4139702508681911</v>
      </c>
      <c r="D4" s="30">
        <v>179.90933445533233</v>
      </c>
      <c r="E4" s="63">
        <v>1000</v>
      </c>
      <c r="F4" s="64" t="s">
        <v>115</v>
      </c>
      <c r="G4" s="64" t="s">
        <v>116</v>
      </c>
      <c r="H4">
        <v>5</v>
      </c>
      <c r="I4">
        <v>1</v>
      </c>
      <c r="J4">
        <v>49</v>
      </c>
    </row>
    <row r="5" spans="1:10">
      <c r="A5" t="s">
        <v>78</v>
      </c>
      <c r="B5" s="30">
        <v>0</v>
      </c>
      <c r="C5" s="30">
        <v>0</v>
      </c>
      <c r="D5" s="30">
        <v>345.39549307874836</v>
      </c>
      <c r="E5" s="63">
        <v>1000</v>
      </c>
      <c r="F5" s="64" t="s">
        <v>117</v>
      </c>
      <c r="G5" s="64" t="s">
        <v>118</v>
      </c>
      <c r="H5">
        <v>2</v>
      </c>
      <c r="I5">
        <v>0</v>
      </c>
      <c r="J5">
        <v>5</v>
      </c>
    </row>
    <row r="6" spans="1:10">
      <c r="A6" t="s">
        <v>80</v>
      </c>
      <c r="B6" s="30">
        <v>7.6629404116900153</v>
      </c>
      <c r="C6" s="30">
        <v>0.46917539135040104</v>
      </c>
      <c r="D6" s="30">
        <v>36.456435764720943</v>
      </c>
      <c r="E6" s="63">
        <v>1000</v>
      </c>
      <c r="F6" s="64" t="s">
        <v>115</v>
      </c>
      <c r="G6" s="64" t="s">
        <v>116</v>
      </c>
      <c r="H6">
        <v>13</v>
      </c>
      <c r="I6">
        <v>1</v>
      </c>
      <c r="J6">
        <v>125</v>
      </c>
    </row>
    <row r="7" spans="1:10">
      <c r="A7" t="s">
        <v>93</v>
      </c>
      <c r="B7" s="30">
        <v>0</v>
      </c>
      <c r="C7" s="30">
        <v>0</v>
      </c>
      <c r="D7" s="30">
        <v>100.13000008064047</v>
      </c>
      <c r="E7" s="63">
        <v>1000</v>
      </c>
      <c r="F7" s="64" t="s">
        <v>117</v>
      </c>
      <c r="G7" s="64" t="s">
        <v>118</v>
      </c>
      <c r="H7">
        <v>10</v>
      </c>
      <c r="I7">
        <v>0</v>
      </c>
      <c r="J7">
        <v>30</v>
      </c>
    </row>
    <row r="8" spans="1:10">
      <c r="A8" t="s">
        <v>97</v>
      </c>
      <c r="B8" s="30">
        <v>22.654837320616352</v>
      </c>
      <c r="C8" s="30">
        <v>1.8192566692669672</v>
      </c>
      <c r="D8" s="30">
        <v>107.53848094218134</v>
      </c>
      <c r="E8" s="63">
        <v>1000</v>
      </c>
      <c r="F8" s="64" t="s">
        <v>115</v>
      </c>
      <c r="G8" s="64" t="s">
        <v>116</v>
      </c>
      <c r="H8">
        <v>6</v>
      </c>
      <c r="I8">
        <v>1</v>
      </c>
      <c r="J8">
        <v>34</v>
      </c>
    </row>
    <row r="9" spans="1:10">
      <c r="A9" t="s">
        <v>104</v>
      </c>
      <c r="B9" s="30">
        <v>0</v>
      </c>
      <c r="C9" s="30">
        <v>0</v>
      </c>
      <c r="D9" s="30">
        <v>165.40091498913534</v>
      </c>
      <c r="E9" s="63">
        <v>1000</v>
      </c>
      <c r="F9" s="64" t="s">
        <v>117</v>
      </c>
      <c r="G9" s="64" t="s">
        <v>118</v>
      </c>
      <c r="H9">
        <v>5</v>
      </c>
      <c r="I9">
        <v>0</v>
      </c>
      <c r="J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2995D-A00C-4FC2-87E3-74089121AD02}">
  <dimension ref="A1:J6"/>
  <sheetViews>
    <sheetView workbookViewId="0">
      <selection activeCell="A2" sqref="A2:B6"/>
    </sheetView>
  </sheetViews>
  <sheetFormatPr defaultRowHeight="1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47" t="s">
        <v>29</v>
      </c>
      <c r="B1" s="49" t="s">
        <v>106</v>
      </c>
      <c r="C1" s="49" t="s">
        <v>107</v>
      </c>
      <c r="D1" s="49" t="s">
        <v>108</v>
      </c>
      <c r="E1" s="47" t="s">
        <v>109</v>
      </c>
      <c r="F1" s="47" t="s">
        <v>110</v>
      </c>
      <c r="G1" s="47" t="s">
        <v>111</v>
      </c>
      <c r="H1" s="47" t="s">
        <v>112</v>
      </c>
      <c r="I1" s="47" t="s">
        <v>113</v>
      </c>
      <c r="J1" s="47" t="s">
        <v>114</v>
      </c>
    </row>
    <row r="2" spans="1:10">
      <c r="A2" t="s">
        <v>38</v>
      </c>
      <c r="B2" s="30">
        <v>0</v>
      </c>
      <c r="C2" s="30">
        <v>0</v>
      </c>
      <c r="D2" s="30">
        <v>187.4927239913691</v>
      </c>
      <c r="E2" s="63">
        <v>1000</v>
      </c>
      <c r="F2" s="64" t="s">
        <v>117</v>
      </c>
      <c r="G2" s="64" t="s">
        <v>118</v>
      </c>
      <c r="H2">
        <v>5</v>
      </c>
      <c r="I2">
        <v>0</v>
      </c>
      <c r="J2">
        <v>13</v>
      </c>
    </row>
    <row r="3" spans="1:10">
      <c r="A3" t="s">
        <v>54</v>
      </c>
      <c r="B3" s="30">
        <v>6.9744114321531896</v>
      </c>
      <c r="C3" s="30">
        <v>1.9179106823829601</v>
      </c>
      <c r="D3" s="30">
        <v>18.604558884136416</v>
      </c>
      <c r="E3" s="63">
        <v>1000</v>
      </c>
      <c r="F3" s="64" t="s">
        <v>115</v>
      </c>
      <c r="G3" s="64" t="s">
        <v>116</v>
      </c>
      <c r="H3">
        <v>36</v>
      </c>
      <c r="I3">
        <v>3</v>
      </c>
      <c r="J3">
        <v>436</v>
      </c>
    </row>
    <row r="4" spans="1:10">
      <c r="A4" t="s">
        <v>67</v>
      </c>
      <c r="B4" s="30">
        <v>0</v>
      </c>
      <c r="C4" s="30">
        <v>0</v>
      </c>
      <c r="D4" s="30">
        <v>47.724845435293815</v>
      </c>
      <c r="E4" s="63">
        <v>1000</v>
      </c>
      <c r="F4" s="64" t="s">
        <v>117</v>
      </c>
      <c r="G4" s="64" t="s">
        <v>118</v>
      </c>
      <c r="H4">
        <v>23</v>
      </c>
      <c r="I4">
        <v>0</v>
      </c>
      <c r="J4">
        <v>71</v>
      </c>
    </row>
    <row r="5" spans="1:10">
      <c r="A5" t="s">
        <v>46</v>
      </c>
      <c r="B5" s="30">
        <v>0</v>
      </c>
      <c r="C5" s="30">
        <v>0</v>
      </c>
      <c r="D5" s="30">
        <v>42.885288396744592</v>
      </c>
      <c r="E5" s="63">
        <v>1000</v>
      </c>
      <c r="F5" s="64" t="s">
        <v>117</v>
      </c>
      <c r="G5" s="64" t="s">
        <v>118</v>
      </c>
      <c r="H5">
        <v>4</v>
      </c>
      <c r="I5">
        <v>0</v>
      </c>
      <c r="J5">
        <v>55</v>
      </c>
    </row>
    <row r="6" spans="1:10">
      <c r="A6" t="s">
        <v>50</v>
      </c>
      <c r="B6" s="30">
        <v>0</v>
      </c>
      <c r="C6" s="30">
        <v>0</v>
      </c>
      <c r="D6" s="30">
        <v>54.122228544481509</v>
      </c>
      <c r="E6" s="63">
        <v>1000</v>
      </c>
      <c r="F6" s="64" t="s">
        <v>117</v>
      </c>
      <c r="G6" s="64" t="s">
        <v>118</v>
      </c>
      <c r="H6">
        <v>5</v>
      </c>
      <c r="I6">
        <v>0</v>
      </c>
      <c r="J6">
        <v>46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Y100"/>
  <sheetViews>
    <sheetView tabSelected="1" zoomScale="80" zoomScaleNormal="80" workbookViewId="0">
      <selection activeCell="R86" sqref="R86"/>
    </sheetView>
  </sheetViews>
  <sheetFormatPr defaultColWidth="8.85546875"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10.140625" bestFit="1" customWidth="1"/>
    <col min="10" max="10" width="11" customWidth="1"/>
    <col min="12" max="12" width="12.42578125" customWidth="1"/>
    <col min="13" max="13" width="11.7109375" customWidth="1"/>
    <col min="17" max="17" width="7.42578125" bestFit="1" customWidth="1"/>
    <col min="18" max="18" width="17.85546875" bestFit="1" customWidth="1"/>
  </cols>
  <sheetData>
    <row r="1" spans="1:15" ht="25.5" customHeight="1">
      <c r="A1" t="s">
        <v>232</v>
      </c>
      <c r="B1" s="3"/>
      <c r="C1" s="99" t="s">
        <v>233</v>
      </c>
      <c r="D1" s="100"/>
      <c r="E1" s="99" t="s">
        <v>234</v>
      </c>
      <c r="F1" s="100"/>
      <c r="G1" s="107"/>
      <c r="H1" s="108"/>
      <c r="I1" s="109"/>
    </row>
    <row r="2" spans="1:15" ht="27" customHeight="1">
      <c r="B2" s="4"/>
      <c r="C2" s="101"/>
      <c r="D2" s="102"/>
      <c r="E2" s="101" t="s">
        <v>235</v>
      </c>
      <c r="F2" s="102"/>
      <c r="G2" s="110" t="s">
        <v>236</v>
      </c>
      <c r="H2" s="111"/>
      <c r="I2" s="112"/>
    </row>
    <row r="3" spans="1:15" ht="15.75" thickBot="1">
      <c r="B3" s="4"/>
      <c r="C3" s="103"/>
      <c r="D3" s="104"/>
      <c r="E3" s="105"/>
      <c r="F3" s="106"/>
      <c r="G3" s="105"/>
      <c r="H3" s="113"/>
      <c r="I3" s="106"/>
    </row>
    <row r="4" spans="1:15" ht="15.75" customHeight="1">
      <c r="B4" s="4" t="s">
        <v>351</v>
      </c>
      <c r="C4" s="95" t="s">
        <v>229</v>
      </c>
      <c r="D4" s="95" t="s">
        <v>230</v>
      </c>
      <c r="E4" s="6" t="s">
        <v>237</v>
      </c>
      <c r="F4" s="6" t="s">
        <v>237</v>
      </c>
      <c r="G4" s="97" t="s">
        <v>238</v>
      </c>
      <c r="H4" s="97" t="s">
        <v>239</v>
      </c>
      <c r="I4" s="8" t="s">
        <v>240</v>
      </c>
    </row>
    <row r="5" spans="1:15" ht="15.75" thickBot="1">
      <c r="B5" s="5"/>
      <c r="C5" s="96"/>
      <c r="D5" s="96"/>
      <c r="E5" s="7" t="s">
        <v>222</v>
      </c>
      <c r="F5" s="7" t="s">
        <v>223</v>
      </c>
      <c r="G5" s="98"/>
      <c r="H5" s="98"/>
      <c r="I5" s="9" t="s">
        <v>241</v>
      </c>
    </row>
    <row r="6" spans="1:15" ht="38.25" customHeight="1" thickBot="1">
      <c r="B6" s="10" t="s">
        <v>242</v>
      </c>
      <c r="C6" s="25">
        <f t="shared" ref="C6:D10" si="0">G40</f>
        <v>7</v>
      </c>
      <c r="D6" s="25">
        <f t="shared" si="0"/>
        <v>0.7142857142857143</v>
      </c>
      <c r="E6" s="40">
        <f t="shared" ref="E6:F10" si="1">L73/1000</f>
        <v>2.1846593258072339E-2</v>
      </c>
      <c r="F6" s="40">
        <f t="shared" si="1"/>
        <v>0</v>
      </c>
      <c r="G6" s="31">
        <f t="shared" ref="G6:H10" si="2">C6*E6</f>
        <v>0.15292615280650637</v>
      </c>
      <c r="H6" s="31">
        <f t="shared" si="2"/>
        <v>0</v>
      </c>
      <c r="I6" s="31">
        <f>G6+H6</f>
        <v>0.15292615280650637</v>
      </c>
    </row>
    <row r="7" spans="1:15" ht="26.25" thickBot="1">
      <c r="B7" s="10" t="s">
        <v>243</v>
      </c>
      <c r="C7" s="25">
        <f t="shared" si="0"/>
        <v>25.333333333333332</v>
      </c>
      <c r="D7" s="25">
        <f t="shared" si="0"/>
        <v>2.4444444444444446</v>
      </c>
      <c r="E7" s="40">
        <f t="shared" si="1"/>
        <v>0</v>
      </c>
      <c r="F7" s="40">
        <f t="shared" si="1"/>
        <v>0</v>
      </c>
      <c r="G7" s="31">
        <f t="shared" si="2"/>
        <v>0</v>
      </c>
      <c r="H7" s="31">
        <f t="shared" si="2"/>
        <v>0</v>
      </c>
      <c r="I7" s="31">
        <f>G7+H7</f>
        <v>0</v>
      </c>
    </row>
    <row r="8" spans="1:15" ht="26.25" thickBot="1">
      <c r="B8" s="10" t="s">
        <v>244</v>
      </c>
      <c r="C8" s="25">
        <f t="shared" si="0"/>
        <v>8.9285714285714288</v>
      </c>
      <c r="D8" s="25">
        <f t="shared" si="0"/>
        <v>2.1428571428571428</v>
      </c>
      <c r="E8" s="40">
        <f t="shared" si="1"/>
        <v>7.6629404116900154E-3</v>
      </c>
      <c r="F8" s="40">
        <f t="shared" si="1"/>
        <v>0</v>
      </c>
      <c r="G8" s="31">
        <f t="shared" si="2"/>
        <v>6.8419110818660853E-2</v>
      </c>
      <c r="H8" s="31">
        <f t="shared" si="2"/>
        <v>0</v>
      </c>
      <c r="I8" s="31">
        <f>G8+H8</f>
        <v>6.8419110818660853E-2</v>
      </c>
    </row>
    <row r="9" spans="1:15" ht="26.25" thickBot="1">
      <c r="B9" s="10" t="s">
        <v>245</v>
      </c>
      <c r="C9" s="25">
        <f t="shared" si="0"/>
        <v>3.7777777777777777</v>
      </c>
      <c r="D9" s="25">
        <f>H43</f>
        <v>1.5555555555555556</v>
      </c>
      <c r="E9" s="40">
        <f t="shared" si="1"/>
        <v>2.2654837320616353E-2</v>
      </c>
      <c r="F9" s="40">
        <f t="shared" si="1"/>
        <v>0</v>
      </c>
      <c r="G9" s="31">
        <f t="shared" si="2"/>
        <v>8.5584940988995106E-2</v>
      </c>
      <c r="H9" s="31">
        <f t="shared" si="2"/>
        <v>0</v>
      </c>
      <c r="I9" s="31">
        <f>G9+H9</f>
        <v>8.5584940988995106E-2</v>
      </c>
    </row>
    <row r="10" spans="1:15" ht="26.25" thickBot="1">
      <c r="B10" s="10" t="s">
        <v>246</v>
      </c>
      <c r="C10" s="25">
        <f t="shared" si="0"/>
        <v>11.179487179487179</v>
      </c>
      <c r="D10" s="25">
        <f t="shared" si="0"/>
        <v>1.8205128205128205</v>
      </c>
      <c r="E10" s="40">
        <f t="shared" si="1"/>
        <v>6.9744114321531898E-3</v>
      </c>
      <c r="F10" s="40">
        <f t="shared" si="1"/>
        <v>0</v>
      </c>
      <c r="G10" s="31">
        <f t="shared" si="2"/>
        <v>7.7970343190225402E-2</v>
      </c>
      <c r="H10" s="31">
        <f>D10*F10</f>
        <v>0</v>
      </c>
      <c r="I10" s="31">
        <f>G10+H10</f>
        <v>7.7970343190225402E-2</v>
      </c>
      <c r="N10" s="30"/>
    </row>
    <row r="11" spans="1:15" ht="15.75" thickBot="1">
      <c r="B11" s="10"/>
      <c r="C11" s="11"/>
      <c r="D11" s="11"/>
      <c r="E11" s="40"/>
      <c r="F11" s="40"/>
      <c r="G11" s="31"/>
      <c r="H11" s="31"/>
      <c r="I11" s="31"/>
    </row>
    <row r="12" spans="1:15" ht="15.75" thickBot="1">
      <c r="B12" s="10" t="s">
        <v>44</v>
      </c>
      <c r="C12" s="28">
        <f t="shared" ref="C12:D14" si="3">G46</f>
        <v>7.0277777777777777</v>
      </c>
      <c r="D12" s="28">
        <f t="shared" si="3"/>
        <v>4.666666666666667</v>
      </c>
      <c r="E12" s="40">
        <f t="shared" ref="E12:F13" si="4">L79/1000</f>
        <v>0</v>
      </c>
      <c r="F12" s="40">
        <f t="shared" si="4"/>
        <v>0</v>
      </c>
      <c r="G12" s="31">
        <f>C12*E12</f>
        <v>0</v>
      </c>
      <c r="H12" s="31">
        <f t="shared" ref="H12" si="5">D12*F12</f>
        <v>0</v>
      </c>
      <c r="I12" s="31">
        <f>G12+H12</f>
        <v>0</v>
      </c>
    </row>
    <row r="13" spans="1:15" ht="15.75" thickBot="1">
      <c r="B13" s="10" t="s">
        <v>42</v>
      </c>
      <c r="C13" s="28" t="s">
        <v>31</v>
      </c>
      <c r="D13" s="28" t="s">
        <v>31</v>
      </c>
      <c r="E13" s="40" t="s">
        <v>31</v>
      </c>
      <c r="F13" s="40" t="s">
        <v>31</v>
      </c>
      <c r="G13" s="31" t="s">
        <v>31</v>
      </c>
      <c r="H13" s="31" t="s">
        <v>31</v>
      </c>
      <c r="I13" s="31" t="s">
        <v>31</v>
      </c>
    </row>
    <row r="14" spans="1:15" ht="15.75" thickBot="1">
      <c r="B14" s="10" t="s">
        <v>32</v>
      </c>
      <c r="C14" s="28">
        <f t="shared" si="3"/>
        <v>0</v>
      </c>
      <c r="D14" s="28">
        <f>H48</f>
        <v>2.6</v>
      </c>
      <c r="E14" s="40" t="s">
        <v>31</v>
      </c>
      <c r="F14" s="40">
        <f>M81/1000</f>
        <v>0</v>
      </c>
      <c r="G14" s="31" t="s">
        <v>31</v>
      </c>
      <c r="H14" s="31">
        <f>D14*F14</f>
        <v>0</v>
      </c>
      <c r="I14" s="31">
        <f>H14</f>
        <v>0</v>
      </c>
    </row>
    <row r="15" spans="1:15" ht="15.75" thickBot="1"/>
    <row r="16" spans="1:15" ht="15" customHeight="1">
      <c r="A16" t="s">
        <v>247</v>
      </c>
      <c r="B16" s="15"/>
      <c r="C16" s="114" t="s">
        <v>242</v>
      </c>
      <c r="D16" s="115"/>
      <c r="E16" s="114" t="s">
        <v>243</v>
      </c>
      <c r="F16" s="115"/>
      <c r="G16" s="114" t="s">
        <v>244</v>
      </c>
      <c r="H16" s="115"/>
      <c r="I16" s="114" t="s">
        <v>245</v>
      </c>
      <c r="J16" s="115"/>
      <c r="K16" s="114" t="s">
        <v>246</v>
      </c>
      <c r="L16" s="115"/>
      <c r="M16" s="18"/>
      <c r="N16" s="18"/>
      <c r="O16" s="18"/>
    </row>
    <row r="17" spans="2:15" ht="15.75" thickBot="1">
      <c r="B17" s="16"/>
      <c r="C17" s="116"/>
      <c r="D17" s="117"/>
      <c r="E17" s="116"/>
      <c r="F17" s="117"/>
      <c r="G17" s="116"/>
      <c r="H17" s="117"/>
      <c r="I17" s="116"/>
      <c r="J17" s="117"/>
      <c r="K17" s="116"/>
      <c r="L17" s="117"/>
      <c r="M17" s="19"/>
      <c r="N17" s="19"/>
      <c r="O17" s="19"/>
    </row>
    <row r="18" spans="2:15" ht="26.25" thickBot="1">
      <c r="B18" s="17" t="s">
        <v>248</v>
      </c>
      <c r="C18" s="20" t="s">
        <v>249</v>
      </c>
      <c r="D18" s="20" t="s">
        <v>250</v>
      </c>
      <c r="E18" s="20" t="s">
        <v>249</v>
      </c>
      <c r="F18" s="20" t="s">
        <v>250</v>
      </c>
      <c r="G18" s="20" t="s">
        <v>249</v>
      </c>
      <c r="H18" s="20" t="s">
        <v>250</v>
      </c>
      <c r="I18" s="20" t="s">
        <v>249</v>
      </c>
      <c r="J18" s="20" t="s">
        <v>250</v>
      </c>
      <c r="K18" s="20" t="s">
        <v>249</v>
      </c>
      <c r="L18" s="20" t="s">
        <v>250</v>
      </c>
      <c r="M18" s="20" t="s">
        <v>44</v>
      </c>
      <c r="N18" s="20" t="s">
        <v>42</v>
      </c>
      <c r="O18" s="20" t="s">
        <v>32</v>
      </c>
    </row>
    <row r="19" spans="2:15" ht="15.75" thickBot="1">
      <c r="B19" s="17">
        <v>23</v>
      </c>
      <c r="C19" s="44">
        <v>0</v>
      </c>
      <c r="D19" s="44">
        <v>1.11111E-2</v>
      </c>
      <c r="E19" s="44">
        <v>0</v>
      </c>
      <c r="F19" s="44">
        <v>0.02</v>
      </c>
      <c r="G19" s="44">
        <v>0</v>
      </c>
      <c r="H19" s="44">
        <v>1.38575E-2</v>
      </c>
      <c r="I19" s="44">
        <v>0</v>
      </c>
      <c r="J19" s="44">
        <v>1.3888875E-2</v>
      </c>
      <c r="K19" s="44">
        <v>0</v>
      </c>
      <c r="L19" s="44">
        <v>1.3897987475926596E-2</v>
      </c>
      <c r="M19" s="29">
        <v>0</v>
      </c>
      <c r="N19" s="29">
        <v>0</v>
      </c>
      <c r="O19" s="29" t="s">
        <v>31</v>
      </c>
    </row>
    <row r="20" spans="2:15" ht="15.75" thickBot="1">
      <c r="B20" s="41">
        <v>24</v>
      </c>
      <c r="C20" s="44">
        <v>0</v>
      </c>
      <c r="D20" s="42">
        <v>0</v>
      </c>
      <c r="E20" s="44">
        <v>0</v>
      </c>
      <c r="F20" s="42">
        <v>0</v>
      </c>
      <c r="G20" s="44">
        <v>0</v>
      </c>
      <c r="H20" s="42">
        <v>3.9826250000000001E-3</v>
      </c>
      <c r="I20" s="44">
        <v>0</v>
      </c>
      <c r="J20" s="42">
        <v>0</v>
      </c>
      <c r="K20" s="44">
        <v>0</v>
      </c>
      <c r="L20" s="42">
        <v>1.4442952217669819E-3</v>
      </c>
      <c r="M20" s="29">
        <v>0</v>
      </c>
      <c r="N20" s="29">
        <v>0</v>
      </c>
      <c r="O20" s="29" t="s">
        <v>31</v>
      </c>
    </row>
    <row r="21" spans="2:15" ht="15.75" thickBot="1">
      <c r="B21" s="41">
        <v>25</v>
      </c>
      <c r="C21" s="44">
        <v>0</v>
      </c>
      <c r="D21" s="42">
        <v>0</v>
      </c>
      <c r="E21" s="44">
        <v>0</v>
      </c>
      <c r="F21" s="42">
        <v>1.1043705882352942E-2</v>
      </c>
      <c r="G21" s="44">
        <v>0</v>
      </c>
      <c r="H21" s="42">
        <v>0</v>
      </c>
      <c r="I21" s="44">
        <v>0</v>
      </c>
      <c r="J21" s="42">
        <v>0</v>
      </c>
      <c r="K21" s="44">
        <v>0</v>
      </c>
      <c r="L21" s="42">
        <v>2.216525322472792E-3</v>
      </c>
      <c r="M21" s="29">
        <v>0</v>
      </c>
      <c r="N21" s="29">
        <v>0</v>
      </c>
      <c r="O21" s="29">
        <v>0</v>
      </c>
    </row>
    <row r="22" spans="2:15" ht="15.75" thickBot="1">
      <c r="B22" s="41">
        <v>26</v>
      </c>
      <c r="C22" s="44">
        <v>0</v>
      </c>
      <c r="D22" s="42">
        <v>0</v>
      </c>
      <c r="E22" s="44">
        <v>0</v>
      </c>
      <c r="F22" s="42">
        <v>5.7515294117647057E-3</v>
      </c>
      <c r="G22" s="44">
        <v>6.6553336961068979E-2</v>
      </c>
      <c r="H22" s="42">
        <v>1.0883352941176469E-2</v>
      </c>
      <c r="I22" s="44">
        <v>0</v>
      </c>
      <c r="J22" s="42">
        <v>6.840294117647059E-3</v>
      </c>
      <c r="K22" s="44">
        <v>2.3234524569070849E-2</v>
      </c>
      <c r="L22" s="42">
        <v>6.745910669410402E-3</v>
      </c>
      <c r="M22" s="29">
        <v>0</v>
      </c>
      <c r="N22" s="29">
        <v>0</v>
      </c>
      <c r="O22" s="29">
        <v>0</v>
      </c>
    </row>
    <row r="23" spans="2:15">
      <c r="B23" s="41">
        <v>27</v>
      </c>
      <c r="C23" s="44">
        <v>0</v>
      </c>
      <c r="D23" s="42">
        <v>0</v>
      </c>
      <c r="E23" s="44">
        <v>0</v>
      </c>
      <c r="F23" s="42">
        <v>2.3910325255148232E-2</v>
      </c>
      <c r="G23" s="44">
        <v>0.2693416968389068</v>
      </c>
      <c r="H23" s="42">
        <v>1.0836424716165353E-2</v>
      </c>
      <c r="I23" s="44">
        <v>0</v>
      </c>
      <c r="J23" s="42">
        <v>0</v>
      </c>
      <c r="K23" s="44">
        <v>9.3569205568007546E-2</v>
      </c>
      <c r="L23" s="42">
        <v>1.0025703489001015E-2</v>
      </c>
      <c r="M23" s="29">
        <v>0.24133144953885521</v>
      </c>
      <c r="N23" s="29">
        <v>1.2291894162939274</v>
      </c>
      <c r="O23" s="29">
        <v>0</v>
      </c>
    </row>
    <row r="24" spans="2:15">
      <c r="B24" s="41">
        <v>28</v>
      </c>
      <c r="C24" s="44">
        <v>8.695005529675659E-2</v>
      </c>
      <c r="D24" s="42">
        <v>0</v>
      </c>
      <c r="E24" s="44">
        <v>0.10021803003689414</v>
      </c>
      <c r="F24" s="42">
        <v>2.7109871109363332E-2</v>
      </c>
      <c r="G24" s="44">
        <v>0.73410565132205607</v>
      </c>
      <c r="H24" s="42">
        <v>0.10011577373144319</v>
      </c>
      <c r="I24" s="44">
        <v>0.26775791133991955</v>
      </c>
      <c r="J24" s="42">
        <v>7.6527058823529408E-3</v>
      </c>
      <c r="K24" s="44">
        <v>0.35805813622935484</v>
      </c>
      <c r="L24" s="42">
        <v>4.144518725100451E-2</v>
      </c>
      <c r="M24" s="29">
        <v>0.23296829247399137</v>
      </c>
      <c r="N24" s="29">
        <v>3.0290314493604322</v>
      </c>
      <c r="O24" s="29">
        <v>0</v>
      </c>
    </row>
    <row r="25" spans="2:15" ht="15.75" thickBot="1">
      <c r="B25" s="41">
        <v>29</v>
      </c>
      <c r="C25" s="44">
        <v>0.39172740515943461</v>
      </c>
      <c r="D25" s="42">
        <v>8.0652636808622835E-2</v>
      </c>
      <c r="E25" s="44">
        <v>1.2336075567310021</v>
      </c>
      <c r="F25" s="42">
        <v>9.4741442453326163E-2</v>
      </c>
      <c r="G25" s="44">
        <v>0.86156365023078452</v>
      </c>
      <c r="H25" s="42">
        <v>0.24240997873134518</v>
      </c>
      <c r="I25" s="44">
        <v>0.79187129411534274</v>
      </c>
      <c r="J25" s="42">
        <v>2.7489314647905036E-2</v>
      </c>
      <c r="K25" s="44">
        <v>0.85591539330982858</v>
      </c>
      <c r="L25" s="42">
        <v>0.1249441277962933</v>
      </c>
      <c r="M25" s="29">
        <v>0.77205493396861302</v>
      </c>
      <c r="N25" s="29">
        <v>2.281543978813144</v>
      </c>
      <c r="O25" s="29">
        <v>0.63630002797641205</v>
      </c>
    </row>
    <row r="26" spans="2:15">
      <c r="B26" s="41">
        <v>30</v>
      </c>
      <c r="C26" s="44">
        <v>0.2329852000072716</v>
      </c>
      <c r="D26" s="42">
        <v>8.4720718207923804E-2</v>
      </c>
      <c r="E26" s="44">
        <v>0.68000309247473512</v>
      </c>
      <c r="F26" s="42">
        <v>0.13958410761823259</v>
      </c>
      <c r="G26" s="44">
        <v>0.29914600924869006</v>
      </c>
      <c r="H26" s="42">
        <v>0.25727160522503095</v>
      </c>
      <c r="I26" s="44">
        <v>1.0133014513846086</v>
      </c>
      <c r="J26" s="42">
        <v>6.8268224245148654E-2</v>
      </c>
      <c r="K26" s="44">
        <v>0.51033476271774314</v>
      </c>
      <c r="L26" s="42">
        <v>0.15208747560883568</v>
      </c>
      <c r="M26" s="29">
        <v>4.2711954897327651</v>
      </c>
      <c r="N26" s="29">
        <v>0.32210750416486877</v>
      </c>
      <c r="O26" s="29">
        <v>0.16571688632163828</v>
      </c>
    </row>
    <row r="27" spans="2:15" ht="15.75" thickBot="1">
      <c r="B27" s="41">
        <v>31</v>
      </c>
      <c r="C27" s="44">
        <v>0.63506427419815459</v>
      </c>
      <c r="D27" s="42">
        <v>0.14043400738622153</v>
      </c>
      <c r="E27" s="44">
        <v>9.4974031808177567E-2</v>
      </c>
      <c r="F27" s="42">
        <v>0.16505088916936525</v>
      </c>
      <c r="G27" s="44">
        <v>1.3371480361754309</v>
      </c>
      <c r="H27" s="42">
        <v>0.23223366375363583</v>
      </c>
      <c r="I27" s="44">
        <v>0.30706324829243359</v>
      </c>
      <c r="J27" s="42">
        <v>7.7703573992842181E-2</v>
      </c>
      <c r="K27" s="44">
        <v>0.69702169027838001</v>
      </c>
      <c r="L27" s="42">
        <v>0.18175954560103025</v>
      </c>
      <c r="M27" s="29">
        <v>0.29763934024451366</v>
      </c>
      <c r="N27" s="29">
        <v>0</v>
      </c>
      <c r="O27" s="29">
        <v>0</v>
      </c>
    </row>
    <row r="28" spans="2:15">
      <c r="B28" s="41">
        <v>32</v>
      </c>
      <c r="C28" s="44">
        <v>0.52531985521565105</v>
      </c>
      <c r="D28" s="42">
        <v>0.15836546121669076</v>
      </c>
      <c r="E28" s="44">
        <v>0.42221055227861554</v>
      </c>
      <c r="F28" s="42">
        <v>0.26386271135781186</v>
      </c>
      <c r="G28" s="44">
        <v>0.43009787355524826</v>
      </c>
      <c r="H28" s="42">
        <v>0.31537735199956624</v>
      </c>
      <c r="I28" s="44">
        <v>0.2862947510197773</v>
      </c>
      <c r="J28" s="42">
        <v>0.13605701320678626</v>
      </c>
      <c r="K28" s="44">
        <v>0.44868051408333043</v>
      </c>
      <c r="L28" s="42">
        <v>0.23322972322876481</v>
      </c>
      <c r="M28" s="29">
        <v>0.88897066179757334</v>
      </c>
      <c r="N28" s="29">
        <v>1.319953752002649</v>
      </c>
      <c r="O28" s="29">
        <v>0.19504748884241949</v>
      </c>
    </row>
    <row r="29" spans="2:15" ht="15.75" thickBot="1">
      <c r="B29" s="41">
        <v>33</v>
      </c>
      <c r="C29" s="44">
        <v>0.28058914705235255</v>
      </c>
      <c r="D29" s="42">
        <v>0.14304178215302124</v>
      </c>
      <c r="E29" s="44">
        <v>0.73229845735436205</v>
      </c>
      <c r="F29" s="42">
        <v>0.40735996745824976</v>
      </c>
      <c r="G29" s="44">
        <v>7.4879144573753539E-2</v>
      </c>
      <c r="H29" s="42">
        <v>0.26006555086192773</v>
      </c>
      <c r="I29" s="44">
        <v>0.74281201402951635</v>
      </c>
      <c r="J29" s="42">
        <v>9.6580662246602861E-2</v>
      </c>
      <c r="K29" s="44">
        <v>0.40460718513809607</v>
      </c>
      <c r="L29" s="42">
        <v>0.2382306858085502</v>
      </c>
      <c r="M29" s="29">
        <v>0.59348041024176124</v>
      </c>
      <c r="N29" s="29">
        <v>0</v>
      </c>
      <c r="O29" s="29">
        <v>0.19302494873201576</v>
      </c>
    </row>
    <row r="30" spans="2:15" ht="15.75" thickBot="1">
      <c r="B30" s="41">
        <v>34</v>
      </c>
      <c r="C30" s="44">
        <v>0.27839601829154337</v>
      </c>
      <c r="D30" s="42">
        <v>0.12600967082778222</v>
      </c>
      <c r="E30" s="44">
        <v>0.29289650795090538</v>
      </c>
      <c r="F30" s="42">
        <v>0.20241826414142597</v>
      </c>
      <c r="G30" s="44">
        <v>0.3948012150468318</v>
      </c>
      <c r="H30" s="42">
        <v>0.27956494495246798</v>
      </c>
      <c r="I30" s="44">
        <v>0.43768782601275236</v>
      </c>
      <c r="J30" s="42">
        <v>7.4024804925568399E-2</v>
      </c>
      <c r="K30" s="44">
        <v>0.34555111041506864</v>
      </c>
      <c r="L30" s="42">
        <v>0.19107546692258445</v>
      </c>
      <c r="M30" s="29">
        <v>0.1048130684875288</v>
      </c>
      <c r="N30" s="29">
        <v>1.1269593997362719</v>
      </c>
      <c r="O30" s="29">
        <v>0.20123948948088383</v>
      </c>
    </row>
    <row r="31" spans="2:15" ht="15.75" thickBot="1">
      <c r="B31" s="41">
        <v>35</v>
      </c>
      <c r="C31" s="44">
        <v>4.1477975244939701E-2</v>
      </c>
      <c r="D31" s="42">
        <v>5.6194105506050619E-2</v>
      </c>
      <c r="E31" s="44">
        <v>0.25346338874607166</v>
      </c>
      <c r="F31" s="42">
        <v>0.19274930798168113</v>
      </c>
      <c r="G31" s="44">
        <v>0.17951995626167422</v>
      </c>
      <c r="H31" s="42">
        <v>0.2451073860561771</v>
      </c>
      <c r="I31" s="44">
        <v>2.6938280861248515E-2</v>
      </c>
      <c r="J31" s="42">
        <v>0.11380297103058348</v>
      </c>
      <c r="K31" s="44">
        <v>0.14514620745755424</v>
      </c>
      <c r="L31" s="42">
        <v>0.16958722999013232</v>
      </c>
      <c r="M31" s="29">
        <v>6.7565756233396126E-2</v>
      </c>
      <c r="N31" s="29">
        <v>0.21282258112652583</v>
      </c>
      <c r="O31" s="29">
        <v>0</v>
      </c>
    </row>
    <row r="32" spans="2:15" ht="15.75" thickBot="1">
      <c r="B32" s="41">
        <v>36</v>
      </c>
      <c r="C32" s="44">
        <v>0.15292615280650637</v>
      </c>
      <c r="D32" s="43">
        <v>2.7826187276666775E-2</v>
      </c>
      <c r="E32" s="44">
        <v>0</v>
      </c>
      <c r="F32" s="43">
        <v>7.8632603984965535E-2</v>
      </c>
      <c r="G32" s="44">
        <v>6.8419110818660853E-2</v>
      </c>
      <c r="H32" s="43">
        <v>4.8959157617108652E-2</v>
      </c>
      <c r="I32" s="44">
        <v>8.5584940988995106E-2</v>
      </c>
      <c r="J32" s="43">
        <v>1.5408641037952781E-2</v>
      </c>
      <c r="K32" s="44">
        <v>7.7970343190225402E-2</v>
      </c>
      <c r="L32" s="43">
        <v>4.9216211111452697E-2</v>
      </c>
      <c r="M32" s="29">
        <v>0</v>
      </c>
      <c r="N32" s="20" t="s">
        <v>31</v>
      </c>
      <c r="O32" s="29">
        <v>0</v>
      </c>
    </row>
    <row r="33" spans="1:15" ht="15.75" thickBot="1">
      <c r="B33" s="41">
        <v>37</v>
      </c>
      <c r="C33" s="44"/>
      <c r="D33" s="44">
        <v>2.935713938061572E-2</v>
      </c>
      <c r="E33" s="44"/>
      <c r="F33" s="44">
        <v>0.11154474102932661</v>
      </c>
      <c r="G33" s="44"/>
      <c r="H33" s="44">
        <v>2.796552500399848E-2</v>
      </c>
      <c r="I33" s="44"/>
      <c r="J33" s="44">
        <v>0</v>
      </c>
      <c r="K33" s="44"/>
      <c r="L33" s="44">
        <v>4.4215961657241808E-2</v>
      </c>
      <c r="M33" s="29"/>
      <c r="N33" s="20"/>
      <c r="O33" s="29"/>
    </row>
    <row r="34" spans="1:15" ht="15.75" thickBot="1"/>
    <row r="35" spans="1:15">
      <c r="A35" t="s">
        <v>251</v>
      </c>
      <c r="B35" s="3"/>
      <c r="C35" s="99" t="s">
        <v>252</v>
      </c>
      <c r="D35" s="118"/>
      <c r="E35" s="100"/>
      <c r="F35" s="14"/>
      <c r="G35" s="99" t="s">
        <v>253</v>
      </c>
      <c r="H35" s="118"/>
      <c r="I35" s="100"/>
    </row>
    <row r="36" spans="1:15" ht="38.25">
      <c r="B36" s="4"/>
      <c r="C36" s="101" t="s">
        <v>254</v>
      </c>
      <c r="D36" s="119"/>
      <c r="E36" s="102"/>
      <c r="F36" s="13" t="s">
        <v>255</v>
      </c>
      <c r="G36" s="101"/>
      <c r="H36" s="119"/>
      <c r="I36" s="102"/>
    </row>
    <row r="37" spans="1:15" ht="15.75" thickBot="1">
      <c r="B37" s="4"/>
      <c r="C37" s="105"/>
      <c r="D37" s="113"/>
      <c r="E37" s="106"/>
      <c r="F37" s="21"/>
      <c r="G37" s="103"/>
      <c r="H37" s="120"/>
      <c r="I37" s="104"/>
    </row>
    <row r="38" spans="1:15" ht="25.5">
      <c r="B38" s="4" t="s">
        <v>351</v>
      </c>
      <c r="C38" s="95" t="s">
        <v>229</v>
      </c>
      <c r="D38" s="95" t="s">
        <v>230</v>
      </c>
      <c r="E38" s="121" t="s">
        <v>256</v>
      </c>
      <c r="F38" s="21"/>
      <c r="G38" s="123" t="s">
        <v>257</v>
      </c>
      <c r="H38" s="123" t="s">
        <v>258</v>
      </c>
      <c r="I38" s="26" t="s">
        <v>240</v>
      </c>
    </row>
    <row r="39" spans="1:15" ht="15.75" thickBot="1">
      <c r="B39" s="5"/>
      <c r="C39" s="96"/>
      <c r="D39" s="96"/>
      <c r="E39" s="122"/>
      <c r="F39" s="12"/>
      <c r="G39" s="124"/>
      <c r="H39" s="124"/>
      <c r="I39" s="27" t="s">
        <v>259</v>
      </c>
    </row>
    <row r="40" spans="1:15" ht="44.25" customHeight="1" thickBot="1">
      <c r="B40" s="10" t="s">
        <v>242</v>
      </c>
      <c r="C40" s="45">
        <f>'Total Number Of Ind'!H7</f>
        <v>49</v>
      </c>
      <c r="D40" s="45">
        <f>'Total Number Of Ind'!I7</f>
        <v>5</v>
      </c>
      <c r="E40" s="45">
        <f>C40+D40</f>
        <v>54</v>
      </c>
      <c r="F40" s="45">
        <v>7</v>
      </c>
      <c r="G40" s="25">
        <f>C40/F40</f>
        <v>7</v>
      </c>
      <c r="H40" s="25">
        <f>D40/F40</f>
        <v>0.7142857142857143</v>
      </c>
      <c r="I40" s="25">
        <f>E40/F40</f>
        <v>7.7142857142857144</v>
      </c>
    </row>
    <row r="41" spans="1:15" ht="26.25" thickBot="1">
      <c r="B41" s="10" t="s">
        <v>243</v>
      </c>
      <c r="C41" s="45">
        <f>'Total Number Of Ind'!H6</f>
        <v>228</v>
      </c>
      <c r="D41" s="45">
        <f>'Total Number Of Ind'!I6</f>
        <v>22</v>
      </c>
      <c r="E41" s="45">
        <f>C41+D41</f>
        <v>250</v>
      </c>
      <c r="F41" s="45">
        <v>9</v>
      </c>
      <c r="G41" s="25">
        <f t="shared" ref="G41:G46" si="6">C41/F41</f>
        <v>25.333333333333332</v>
      </c>
      <c r="H41" s="25">
        <f>D41/F41</f>
        <v>2.4444444444444446</v>
      </c>
      <c r="I41" s="25">
        <f>E41/F41</f>
        <v>27.777777777777779</v>
      </c>
    </row>
    <row r="42" spans="1:15" ht="25.5">
      <c r="B42" s="10" t="s">
        <v>244</v>
      </c>
      <c r="C42" s="45">
        <f>'Total Number Of Ind'!H8</f>
        <v>125</v>
      </c>
      <c r="D42" s="45">
        <f>'Total Number Of Ind'!I8</f>
        <v>30</v>
      </c>
      <c r="E42" s="45">
        <f>C42+D42</f>
        <v>155</v>
      </c>
      <c r="F42" s="45">
        <v>14</v>
      </c>
      <c r="G42" s="25">
        <f t="shared" si="6"/>
        <v>8.9285714285714288</v>
      </c>
      <c r="H42" s="25">
        <f>D42/F42</f>
        <v>2.1428571428571428</v>
      </c>
      <c r="I42" s="25">
        <f>E42/F42</f>
        <v>11.071428571428571</v>
      </c>
    </row>
    <row r="43" spans="1:15" ht="25.5">
      <c r="B43" s="10" t="s">
        <v>245</v>
      </c>
      <c r="C43" s="45">
        <f>'Total Number Of Ind'!H9</f>
        <v>34</v>
      </c>
      <c r="D43" s="45">
        <f>'Total Number Of Ind'!I9</f>
        <v>14</v>
      </c>
      <c r="E43" s="45">
        <f>C43+D43</f>
        <v>48</v>
      </c>
      <c r="F43" s="45">
        <v>9</v>
      </c>
      <c r="G43" s="25">
        <f t="shared" si="6"/>
        <v>3.7777777777777777</v>
      </c>
      <c r="H43" s="25">
        <f>D43/F43</f>
        <v>1.5555555555555556</v>
      </c>
      <c r="I43" s="25">
        <f>E43/F43</f>
        <v>5.333333333333333</v>
      </c>
    </row>
    <row r="44" spans="1:15" ht="26.25" thickBot="1">
      <c r="B44" s="10" t="s">
        <v>246</v>
      </c>
      <c r="C44" s="45">
        <f>SUM(C40:C43)</f>
        <v>436</v>
      </c>
      <c r="D44" s="45">
        <f>SUM(D40:D43)</f>
        <v>71</v>
      </c>
      <c r="E44" s="45">
        <f>SUM(E40:E43)</f>
        <v>507</v>
      </c>
      <c r="F44" s="45">
        <f>SUM(F40:F43)</f>
        <v>39</v>
      </c>
      <c r="G44" s="25">
        <f t="shared" si="6"/>
        <v>11.179487179487179</v>
      </c>
      <c r="H44" s="25">
        <f>D44/F44</f>
        <v>1.8205128205128205</v>
      </c>
      <c r="I44" s="25">
        <f>E44/F44</f>
        <v>13</v>
      </c>
    </row>
    <row r="45" spans="1:15" ht="15.75" thickBot="1">
      <c r="B45" s="10"/>
      <c r="C45" s="45"/>
      <c r="D45" s="45"/>
      <c r="E45" s="45"/>
      <c r="F45" s="45"/>
      <c r="G45" s="25"/>
      <c r="H45" s="25"/>
      <c r="I45" s="25"/>
    </row>
    <row r="46" spans="1:15" ht="15.75" thickBot="1">
      <c r="B46" s="10" t="s">
        <v>44</v>
      </c>
      <c r="C46" s="45">
        <f>'Total Number Of Ind'!H5</f>
        <v>253</v>
      </c>
      <c r="D46" s="45">
        <f>'Total Number Of Ind'!I5</f>
        <v>168</v>
      </c>
      <c r="E46" s="45">
        <f>C46+D46</f>
        <v>421</v>
      </c>
      <c r="F46" s="45">
        <v>36</v>
      </c>
      <c r="G46" s="25">
        <f t="shared" si="6"/>
        <v>7.0277777777777777</v>
      </c>
      <c r="H46" s="25">
        <f>D46/F46</f>
        <v>4.666666666666667</v>
      </c>
      <c r="I46" s="25">
        <f>E46/F46</f>
        <v>11.694444444444445</v>
      </c>
    </row>
    <row r="47" spans="1:15" ht="15.75" thickBot="1">
      <c r="B47" s="10" t="s">
        <v>42</v>
      </c>
      <c r="C47" s="45" t="s">
        <v>31</v>
      </c>
      <c r="D47" s="45" t="s">
        <v>31</v>
      </c>
      <c r="E47" s="45" t="s">
        <v>31</v>
      </c>
      <c r="F47" s="45">
        <v>0</v>
      </c>
      <c r="G47" s="25" t="s">
        <v>31</v>
      </c>
      <c r="H47" s="25" t="s">
        <v>31</v>
      </c>
      <c r="I47" s="25" t="s">
        <v>31</v>
      </c>
    </row>
    <row r="48" spans="1:15">
      <c r="B48" s="10" t="s">
        <v>32</v>
      </c>
      <c r="C48" s="45">
        <f>'Total Number Of Ind'!H11</f>
        <v>0</v>
      </c>
      <c r="D48" s="45">
        <f>'Total Number Of Ind'!I11</f>
        <v>13</v>
      </c>
      <c r="E48" s="45">
        <f>'Total Number Of Ind'!J11</f>
        <v>13</v>
      </c>
      <c r="F48" s="45">
        <v>5</v>
      </c>
      <c r="G48" s="25">
        <f>C48/F48</f>
        <v>0</v>
      </c>
      <c r="H48" s="25">
        <f>D48/F48</f>
        <v>2.6</v>
      </c>
      <c r="I48" s="25">
        <f>E48/F48</f>
        <v>2.6</v>
      </c>
    </row>
    <row r="49" spans="1:15" ht="15.75" thickBot="1"/>
    <row r="50" spans="1:15">
      <c r="A50" t="s">
        <v>260</v>
      </c>
      <c r="B50" s="15"/>
      <c r="C50" s="114" t="s">
        <v>242</v>
      </c>
      <c r="D50" s="115"/>
      <c r="E50" s="114" t="s">
        <v>243</v>
      </c>
      <c r="F50" s="115"/>
      <c r="G50" s="114" t="s">
        <v>244</v>
      </c>
      <c r="H50" s="115"/>
      <c r="I50" s="114" t="s">
        <v>245</v>
      </c>
      <c r="J50" s="115"/>
      <c r="K50" s="114" t="s">
        <v>246</v>
      </c>
      <c r="L50" s="115"/>
      <c r="M50" s="18"/>
      <c r="N50" s="18"/>
      <c r="O50" s="18"/>
    </row>
    <row r="51" spans="1:15" ht="15.75" thickBot="1">
      <c r="B51" s="16"/>
      <c r="C51" s="116"/>
      <c r="D51" s="117"/>
      <c r="E51" s="116"/>
      <c r="F51" s="117"/>
      <c r="G51" s="116"/>
      <c r="H51" s="117"/>
      <c r="I51" s="116"/>
      <c r="J51" s="117"/>
      <c r="K51" s="116"/>
      <c r="L51" s="117"/>
      <c r="M51" s="19"/>
      <c r="N51" s="19"/>
      <c r="O51" s="19"/>
    </row>
    <row r="52" spans="1:15" ht="26.25" thickBot="1">
      <c r="B52" s="17" t="s">
        <v>13</v>
      </c>
      <c r="C52" s="20" t="s">
        <v>249</v>
      </c>
      <c r="D52" s="20" t="s">
        <v>250</v>
      </c>
      <c r="E52" s="20" t="s">
        <v>249</v>
      </c>
      <c r="F52" s="20" t="s">
        <v>250</v>
      </c>
      <c r="G52" s="20" t="s">
        <v>249</v>
      </c>
      <c r="H52" s="20" t="s">
        <v>250</v>
      </c>
      <c r="I52" s="20" t="s">
        <v>249</v>
      </c>
      <c r="J52" s="20" t="s">
        <v>250</v>
      </c>
      <c r="K52" s="20" t="s">
        <v>249</v>
      </c>
      <c r="L52" s="20" t="s">
        <v>250</v>
      </c>
      <c r="M52" s="20" t="s">
        <v>44</v>
      </c>
      <c r="N52" s="20" t="s">
        <v>42</v>
      </c>
      <c r="O52" s="20" t="s">
        <v>32</v>
      </c>
    </row>
    <row r="53" spans="1:15" ht="15.75" thickBot="1">
      <c r="B53" s="17">
        <v>23</v>
      </c>
      <c r="C53" s="44">
        <v>6.1111111111111107</v>
      </c>
      <c r="D53" s="44">
        <v>2.8093888888888889</v>
      </c>
      <c r="E53" s="44">
        <v>1</v>
      </c>
      <c r="F53" s="44">
        <v>5.4844444444444447</v>
      </c>
      <c r="G53" s="44">
        <v>5.666666666666667</v>
      </c>
      <c r="H53" s="44">
        <v>8.0432294372294368</v>
      </c>
      <c r="I53" s="44">
        <v>7.1111111111111107</v>
      </c>
      <c r="J53" s="44">
        <v>0.78472222222222221</v>
      </c>
      <c r="K53" s="44">
        <v>4.9767441860465116</v>
      </c>
      <c r="L53" s="44">
        <v>5.6734786090541229</v>
      </c>
      <c r="M53" s="29">
        <v>8.5675675675675684</v>
      </c>
      <c r="N53" s="29">
        <v>12.8</v>
      </c>
      <c r="O53" s="29" t="s">
        <v>31</v>
      </c>
    </row>
    <row r="54" spans="1:15" ht="15.75" thickBot="1">
      <c r="B54" s="17">
        <v>24</v>
      </c>
      <c r="C54" s="67">
        <v>4.333333333333333</v>
      </c>
      <c r="D54" s="61">
        <v>2.9038194444444438</v>
      </c>
      <c r="E54" s="44">
        <v>2.7</v>
      </c>
      <c r="F54" s="61">
        <v>7.2186237373737381</v>
      </c>
      <c r="G54" s="44">
        <v>9</v>
      </c>
      <c r="H54" s="61">
        <v>8.9974702380952376</v>
      </c>
      <c r="I54" s="44">
        <v>6.5555555555555554</v>
      </c>
      <c r="J54" s="61">
        <v>1.8253124999999999</v>
      </c>
      <c r="K54" s="44">
        <v>6.0465116279069768</v>
      </c>
      <c r="L54" s="61">
        <v>5.8043185693681387</v>
      </c>
      <c r="M54" s="29">
        <v>11.648648648648649</v>
      </c>
      <c r="N54" s="29">
        <v>11.6</v>
      </c>
      <c r="O54" s="29" t="s">
        <v>31</v>
      </c>
    </row>
    <row r="55" spans="1:15" ht="15.75" thickBot="1">
      <c r="B55" s="17">
        <v>25</v>
      </c>
      <c r="C55" s="44">
        <v>18</v>
      </c>
      <c r="D55" s="61">
        <v>6.0679925303454709</v>
      </c>
      <c r="E55" s="44">
        <v>14.7</v>
      </c>
      <c r="F55" s="61">
        <v>17.183823529411764</v>
      </c>
      <c r="G55" s="44">
        <v>29.2</v>
      </c>
      <c r="H55" s="61">
        <v>21.447140702434815</v>
      </c>
      <c r="I55" s="44">
        <v>7</v>
      </c>
      <c r="J55" s="61">
        <v>3.9491176470588236</v>
      </c>
      <c r="K55" s="44">
        <v>18.837209302325583</v>
      </c>
      <c r="L55" s="61">
        <v>13.491651055412177</v>
      </c>
      <c r="M55" s="29">
        <v>41.513513513513516</v>
      </c>
      <c r="N55" s="29">
        <v>98</v>
      </c>
      <c r="O55" s="29">
        <v>6.3157894736842106</v>
      </c>
    </row>
    <row r="56" spans="1:15" ht="15.75" thickBot="1">
      <c r="B56" s="17">
        <v>26</v>
      </c>
      <c r="C56" s="44">
        <v>126.66666666666667</v>
      </c>
      <c r="D56" s="61">
        <v>12.784183006535947</v>
      </c>
      <c r="E56" s="44">
        <v>128.5</v>
      </c>
      <c r="F56" s="61">
        <v>30.898692810457518</v>
      </c>
      <c r="G56" s="44">
        <v>222.86666666666667</v>
      </c>
      <c r="H56" s="61">
        <v>33.189355742296925</v>
      </c>
      <c r="I56" s="44">
        <v>96.555555555555557</v>
      </c>
      <c r="J56" s="61">
        <v>8.0693137254901952</v>
      </c>
      <c r="K56" s="44">
        <v>154.34883720930233</v>
      </c>
      <c r="L56" s="61">
        <v>23.084399165991655</v>
      </c>
      <c r="M56" s="29">
        <v>237.59459459459458</v>
      </c>
      <c r="N56" s="29">
        <v>848.8</v>
      </c>
      <c r="O56" s="29">
        <v>45</v>
      </c>
    </row>
    <row r="57" spans="1:15" ht="15.75" thickBot="1">
      <c r="B57" s="17">
        <v>27</v>
      </c>
      <c r="C57" s="44">
        <v>28.555555555555557</v>
      </c>
      <c r="D57" s="61">
        <v>26.202549019607844</v>
      </c>
      <c r="E57" s="44">
        <v>204.3</v>
      </c>
      <c r="F57" s="61">
        <v>59.470588235294109</v>
      </c>
      <c r="G57" s="44">
        <v>361.26666666666665</v>
      </c>
      <c r="H57" s="61">
        <v>46.374305106658042</v>
      </c>
      <c r="I57" s="44">
        <v>25.888888888888889</v>
      </c>
      <c r="J57" s="61">
        <v>11.863202614379084</v>
      </c>
      <c r="K57" s="44">
        <v>184.93023255813952</v>
      </c>
      <c r="L57" s="61">
        <v>39.493520657920996</v>
      </c>
      <c r="M57" s="29">
        <v>392.94594594594594</v>
      </c>
      <c r="N57" s="29">
        <v>712.4</v>
      </c>
      <c r="O57" s="29">
        <v>49</v>
      </c>
    </row>
    <row r="58" spans="1:15" ht="15.75" thickBot="1">
      <c r="B58" s="17">
        <v>28</v>
      </c>
      <c r="C58" s="44">
        <v>169.77777777777777</v>
      </c>
      <c r="D58" s="61">
        <v>41.141055088702153</v>
      </c>
      <c r="E58" s="44">
        <v>128.30000000000001</v>
      </c>
      <c r="F58" s="61">
        <v>85.38872549019608</v>
      </c>
      <c r="G58" s="44">
        <v>439</v>
      </c>
      <c r="H58" s="61">
        <v>87.641176470588235</v>
      </c>
      <c r="I58" s="44">
        <v>265</v>
      </c>
      <c r="J58" s="61">
        <v>17.704248366013072</v>
      </c>
      <c r="K58" s="44">
        <v>273.97674418604652</v>
      </c>
      <c r="L58" s="61">
        <v>62.950072341602983</v>
      </c>
      <c r="M58" s="29">
        <v>196.64864864864865</v>
      </c>
      <c r="N58" s="29">
        <v>1056</v>
      </c>
      <c r="O58" s="29">
        <v>49</v>
      </c>
    </row>
    <row r="59" spans="1:15" ht="15.75" thickBot="1">
      <c r="B59" s="17">
        <v>29</v>
      </c>
      <c r="C59" s="44">
        <v>228.33333333333334</v>
      </c>
      <c r="D59" s="61">
        <v>47.893076563958914</v>
      </c>
      <c r="E59" s="44">
        <v>473.4</v>
      </c>
      <c r="F59" s="61">
        <v>86.691503267973857</v>
      </c>
      <c r="G59" s="44">
        <v>460.53333333333336</v>
      </c>
      <c r="H59" s="61">
        <v>74.038459383753505</v>
      </c>
      <c r="I59" s="44">
        <v>286.11111111111109</v>
      </c>
      <c r="J59" s="61">
        <v>22.517091503267974</v>
      </c>
      <c r="K59" s="44">
        <v>378.41860465116281</v>
      </c>
      <c r="L59" s="61">
        <v>61.737487296707698</v>
      </c>
      <c r="M59" s="29">
        <v>711.32432432432438</v>
      </c>
      <c r="N59" s="29">
        <v>801</v>
      </c>
      <c r="O59" s="29">
        <v>49</v>
      </c>
    </row>
    <row r="60" spans="1:15">
      <c r="B60" s="17">
        <v>30</v>
      </c>
      <c r="C60" s="44">
        <v>75.111111111111114</v>
      </c>
      <c r="D60" s="61">
        <v>47.915294117647058</v>
      </c>
      <c r="E60" s="44">
        <v>327.3</v>
      </c>
      <c r="F60" s="61">
        <v>107.84444444444443</v>
      </c>
      <c r="G60" s="44">
        <v>89.6</v>
      </c>
      <c r="H60" s="61">
        <v>80.937899159663857</v>
      </c>
      <c r="I60" s="44">
        <v>122.75</v>
      </c>
      <c r="J60" s="61">
        <v>22.163267973856208</v>
      </c>
      <c r="K60" s="44">
        <v>149.4047619047619</v>
      </c>
      <c r="L60" s="61">
        <v>68.372680281414887</v>
      </c>
      <c r="M60" s="29">
        <v>274.75675675675677</v>
      </c>
      <c r="N60" s="29">
        <v>138.6</v>
      </c>
      <c r="O60" s="29">
        <v>49</v>
      </c>
    </row>
    <row r="61" spans="1:15" ht="15.75" thickBot="1">
      <c r="B61" s="17">
        <v>31</v>
      </c>
      <c r="C61" s="44">
        <v>29.888888888888889</v>
      </c>
      <c r="D61" s="61">
        <v>55.0783660130719</v>
      </c>
      <c r="E61" s="44">
        <v>27</v>
      </c>
      <c r="F61" s="61">
        <v>96.934759358288773</v>
      </c>
      <c r="G61" s="44">
        <v>157.71428571428572</v>
      </c>
      <c r="H61" s="61">
        <v>63.684386985563442</v>
      </c>
      <c r="I61" s="44">
        <v>23.777777777777779</v>
      </c>
      <c r="J61" s="61">
        <v>19.925778769841273</v>
      </c>
      <c r="K61" s="44">
        <v>70.5</v>
      </c>
      <c r="L61" s="61">
        <v>63.023689299276825</v>
      </c>
      <c r="M61" s="29">
        <v>182.86486486486487</v>
      </c>
      <c r="N61" s="29">
        <v>51.8</v>
      </c>
      <c r="O61" s="29">
        <v>47</v>
      </c>
    </row>
    <row r="62" spans="1:15">
      <c r="B62" s="17">
        <v>32</v>
      </c>
      <c r="C62" s="44">
        <v>27</v>
      </c>
      <c r="D62" s="61">
        <v>39.845032679738559</v>
      </c>
      <c r="E62" s="44">
        <v>36.700000000000003</v>
      </c>
      <c r="F62" s="61">
        <v>78.439869281045759</v>
      </c>
      <c r="G62" s="44">
        <v>37.4</v>
      </c>
      <c r="H62" s="61">
        <v>52.729896574014219</v>
      </c>
      <c r="I62" s="44">
        <v>20.25</v>
      </c>
      <c r="J62" s="61">
        <v>20.687586367880485</v>
      </c>
      <c r="K62" s="44">
        <v>31.738095238095237</v>
      </c>
      <c r="L62" s="61">
        <v>49.707296800326894</v>
      </c>
      <c r="M62" s="29">
        <v>108.97297297297297</v>
      </c>
      <c r="N62" s="29">
        <v>127.2</v>
      </c>
      <c r="O62" s="29">
        <v>47.4</v>
      </c>
    </row>
    <row r="63" spans="1:15" ht="15.75" thickBot="1">
      <c r="A63" s="30"/>
      <c r="B63" s="17">
        <v>33</v>
      </c>
      <c r="C63" s="44">
        <v>21.555555555555557</v>
      </c>
      <c r="D63" s="61">
        <v>28.798541666666672</v>
      </c>
      <c r="E63" s="44">
        <v>40.4</v>
      </c>
      <c r="F63" s="61">
        <v>68.093523469994054</v>
      </c>
      <c r="G63" s="44">
        <v>10.133333333333333</v>
      </c>
      <c r="H63" s="61">
        <v>42.425770308123255</v>
      </c>
      <c r="I63" s="44">
        <v>42.777777777777779</v>
      </c>
      <c r="J63" s="61">
        <v>14.214756944444446</v>
      </c>
      <c r="K63" s="44">
        <v>26.395348837209301</v>
      </c>
      <c r="L63" s="61">
        <v>40.704631878637088</v>
      </c>
      <c r="M63" s="29">
        <v>83.21621621621621</v>
      </c>
      <c r="N63" s="29">
        <v>83</v>
      </c>
      <c r="O63" s="29">
        <v>36.200000000000003</v>
      </c>
    </row>
    <row r="64" spans="1:15" ht="15.75" thickBot="1">
      <c r="B64" s="17">
        <v>34</v>
      </c>
      <c r="C64" s="44">
        <v>20.222222222222221</v>
      </c>
      <c r="D64" s="61">
        <v>21.577450396825398</v>
      </c>
      <c r="E64" s="44">
        <v>19.8</v>
      </c>
      <c r="F64" s="61">
        <v>53.672147950089126</v>
      </c>
      <c r="G64" s="44">
        <v>47.466666666666669</v>
      </c>
      <c r="H64" s="61">
        <v>27.73750700280112</v>
      </c>
      <c r="I64" s="44">
        <v>31.777777777777779</v>
      </c>
      <c r="J64" s="61">
        <v>10.354305555555555</v>
      </c>
      <c r="K64" s="44">
        <v>32.046511627906973</v>
      </c>
      <c r="L64" s="61">
        <v>29.675329396508474</v>
      </c>
      <c r="M64" s="29">
        <v>55.729729729729726</v>
      </c>
      <c r="N64" s="29">
        <v>61.8</v>
      </c>
      <c r="O64" s="29">
        <v>42.2</v>
      </c>
    </row>
    <row r="65" spans="1:25" ht="15.75" thickBot="1">
      <c r="B65" s="17">
        <v>35</v>
      </c>
      <c r="C65" s="44">
        <v>10.111111111111111</v>
      </c>
      <c r="D65" s="61">
        <v>10.832589285714285</v>
      </c>
      <c r="E65" s="44">
        <v>23.1</v>
      </c>
      <c r="F65" s="61">
        <v>27.343604108309993</v>
      </c>
      <c r="G65" s="44">
        <v>6</v>
      </c>
      <c r="H65" s="61">
        <v>17.936806722689077</v>
      </c>
      <c r="I65" s="44">
        <v>6</v>
      </c>
      <c r="J65" s="61">
        <v>6.3904166666666677</v>
      </c>
      <c r="K65" s="44">
        <v>10.837209302325581</v>
      </c>
      <c r="L65" s="61">
        <v>16.355499603389191</v>
      </c>
      <c r="M65" s="29">
        <v>25.297297297297298</v>
      </c>
      <c r="N65" s="29">
        <v>25.6</v>
      </c>
      <c r="O65" s="29">
        <v>38.4</v>
      </c>
    </row>
    <row r="66" spans="1:25" ht="15.75" thickBot="1">
      <c r="B66" s="17">
        <v>36</v>
      </c>
      <c r="C66" s="44">
        <v>7.7142857142857144</v>
      </c>
      <c r="D66" s="44">
        <v>11.182341269841269</v>
      </c>
      <c r="E66" s="44">
        <v>27.777777777777779</v>
      </c>
      <c r="F66" s="44">
        <v>36.4375</v>
      </c>
      <c r="G66" s="44">
        <v>11.071428571428571</v>
      </c>
      <c r="H66" s="44">
        <v>13.824166666666667</v>
      </c>
      <c r="I66" s="44">
        <v>5.333333333333333</v>
      </c>
      <c r="J66" s="44">
        <v>4.9405555555555551</v>
      </c>
      <c r="K66" s="44">
        <v>13</v>
      </c>
      <c r="L66" s="44">
        <v>16.633715393133997</v>
      </c>
      <c r="M66" s="29">
        <v>11.694444444444445</v>
      </c>
      <c r="N66" s="20" t="s">
        <v>31</v>
      </c>
      <c r="O66" s="29">
        <v>2.6</v>
      </c>
    </row>
    <row r="67" spans="1:25" ht="15.75" thickBot="1">
      <c r="B67" s="17">
        <v>37</v>
      </c>
      <c r="C67" s="44"/>
      <c r="D67" s="44">
        <v>8.1348888888888897</v>
      </c>
      <c r="E67" s="44"/>
      <c r="F67" s="44">
        <v>34.333333333333329</v>
      </c>
      <c r="G67" s="44"/>
      <c r="H67" s="44">
        <v>11.08</v>
      </c>
      <c r="I67" s="44"/>
      <c r="J67" s="44">
        <v>3.1222222222222227</v>
      </c>
      <c r="K67" s="44"/>
      <c r="L67" s="44">
        <v>14.293387000596303</v>
      </c>
      <c r="M67" s="20"/>
      <c r="N67" s="20"/>
      <c r="O67" s="29"/>
    </row>
    <row r="68" spans="1:25" ht="15.75" thickBot="1"/>
    <row r="69" spans="1:25">
      <c r="A69" t="s">
        <v>261</v>
      </c>
      <c r="B69" s="15"/>
      <c r="C69" s="114" t="s">
        <v>262</v>
      </c>
      <c r="D69" s="125"/>
      <c r="E69" s="115"/>
      <c r="F69" s="114" t="s">
        <v>263</v>
      </c>
      <c r="G69" s="125"/>
      <c r="H69" s="115"/>
      <c r="I69" s="114" t="s">
        <v>264</v>
      </c>
      <c r="J69" s="125"/>
      <c r="K69" s="115"/>
      <c r="L69" s="114" t="s">
        <v>265</v>
      </c>
      <c r="M69" s="125"/>
      <c r="N69" s="115"/>
      <c r="R69" s="30"/>
    </row>
    <row r="70" spans="1:25">
      <c r="B70" s="16"/>
      <c r="C70" s="126"/>
      <c r="D70" s="127"/>
      <c r="E70" s="128"/>
      <c r="F70" s="126"/>
      <c r="G70" s="127"/>
      <c r="H70" s="128"/>
      <c r="I70" s="126" t="s">
        <v>266</v>
      </c>
      <c r="J70" s="127"/>
      <c r="K70" s="128"/>
      <c r="L70" s="126"/>
      <c r="M70" s="127"/>
      <c r="N70" s="128"/>
      <c r="R70" s="30"/>
      <c r="S70" s="30"/>
      <c r="T70" s="47"/>
      <c r="U70" s="47"/>
      <c r="V70" s="47"/>
      <c r="W70" s="47"/>
      <c r="X70" s="47"/>
      <c r="Y70" s="47"/>
    </row>
    <row r="71" spans="1:25">
      <c r="B71" s="16"/>
      <c r="C71" s="116"/>
      <c r="D71" s="129"/>
      <c r="E71" s="117"/>
      <c r="F71" s="116"/>
      <c r="G71" s="129"/>
      <c r="H71" s="117"/>
      <c r="I71" s="105"/>
      <c r="J71" s="113"/>
      <c r="K71" s="106"/>
      <c r="L71" s="116"/>
      <c r="M71" s="129"/>
      <c r="N71" s="117"/>
      <c r="R71" s="30"/>
      <c r="S71" s="30"/>
      <c r="T71" s="63"/>
      <c r="U71" s="64"/>
      <c r="V71" s="64"/>
    </row>
    <row r="72" spans="1:25" ht="31.5" customHeight="1">
      <c r="B72" s="17" t="s">
        <v>351</v>
      </c>
      <c r="C72" s="22" t="s">
        <v>229</v>
      </c>
      <c r="D72" s="22" t="s">
        <v>230</v>
      </c>
      <c r="E72" s="20" t="s">
        <v>267</v>
      </c>
      <c r="F72" s="22" t="s">
        <v>229</v>
      </c>
      <c r="G72" s="22" t="s">
        <v>230</v>
      </c>
      <c r="H72" s="20" t="s">
        <v>267</v>
      </c>
      <c r="I72" s="22" t="s">
        <v>229</v>
      </c>
      <c r="J72" s="22" t="s">
        <v>230</v>
      </c>
      <c r="K72" s="20" t="s">
        <v>267</v>
      </c>
      <c r="L72" s="22" t="s">
        <v>229</v>
      </c>
      <c r="M72" s="22" t="s">
        <v>230</v>
      </c>
      <c r="N72" s="19" t="s">
        <v>267</v>
      </c>
      <c r="Q72" s="30"/>
      <c r="R72" s="30"/>
      <c r="S72" s="30"/>
      <c r="T72" s="63"/>
      <c r="U72" s="64"/>
      <c r="V72" s="64"/>
    </row>
    <row r="73" spans="1:25" ht="24.75" thickBot="1">
      <c r="B73" s="17" t="s">
        <v>242</v>
      </c>
      <c r="C73" s="45">
        <f>'Total Number Ind Examined '!I8</f>
        <v>49</v>
      </c>
      <c r="D73" s="45">
        <f>'Total Number Ind Examined '!J8</f>
        <v>5</v>
      </c>
      <c r="E73" s="45">
        <f>C73+D73</f>
        <v>54</v>
      </c>
      <c r="F73" s="46">
        <f>'Total Number of Pools Examined'!H8</f>
        <v>5</v>
      </c>
      <c r="G73" s="46">
        <f>'Total Number of Pools Examined'!I8</f>
        <v>2</v>
      </c>
      <c r="H73" s="46">
        <f>F73+G73</f>
        <v>7</v>
      </c>
      <c r="I73" s="46">
        <f>'Total Number of WNV + Pools'!G7</f>
        <v>1</v>
      </c>
      <c r="J73" s="46">
        <f>'Total Number of WNV + Pools'!H7</f>
        <v>0</v>
      </c>
      <c r="K73" s="46">
        <f>'Total Number of WNV + Pools'!I7</f>
        <v>1</v>
      </c>
      <c r="L73" s="29">
        <f>ZONEINFRATE!C4</f>
        <v>21.846593258072339</v>
      </c>
      <c r="M73" s="75">
        <f>ZONEINFRATE!C5</f>
        <v>0</v>
      </c>
      <c r="N73" s="76">
        <v>21.476025435305036</v>
      </c>
      <c r="Q73" s="30"/>
      <c r="R73" s="30"/>
      <c r="S73" s="30"/>
      <c r="T73" s="63"/>
      <c r="U73" s="64"/>
      <c r="V73" s="64"/>
    </row>
    <row r="74" spans="1:25" ht="24.75" thickBot="1">
      <c r="B74" s="17" t="s">
        <v>243</v>
      </c>
      <c r="C74" s="45">
        <f>'Total Number Ind Examined '!I7</f>
        <v>228</v>
      </c>
      <c r="D74" s="45">
        <f>'Total Number Ind Examined '!J7</f>
        <v>22</v>
      </c>
      <c r="E74" s="45">
        <f>C74+D74</f>
        <v>250</v>
      </c>
      <c r="F74" s="46">
        <f>'Total Number of Pools Examined'!H7</f>
        <v>12</v>
      </c>
      <c r="G74" s="46">
        <f>'Total Number of Pools Examined'!I7</f>
        <v>6</v>
      </c>
      <c r="H74" s="46">
        <f>F74+G74</f>
        <v>18</v>
      </c>
      <c r="I74" s="46">
        <f>'Total Number of WNV + Pools'!G8</f>
        <v>0</v>
      </c>
      <c r="J74" s="46">
        <f>'Total Number of WNV + Pools'!H8</f>
        <v>0</v>
      </c>
      <c r="K74" s="46">
        <f>'Total Number of WNV + Pools'!I8</f>
        <v>0</v>
      </c>
      <c r="L74" s="29">
        <f>ZONEINFRATE!C2</f>
        <v>0</v>
      </c>
      <c r="M74" s="75">
        <f>ZONEINFRATE!C3</f>
        <v>0</v>
      </c>
      <c r="N74" s="77">
        <v>0</v>
      </c>
      <c r="Q74" s="30"/>
      <c r="R74" s="30"/>
      <c r="S74" s="49"/>
      <c r="T74" s="63"/>
      <c r="U74" s="64"/>
      <c r="V74" s="64"/>
    </row>
    <row r="75" spans="1:25" ht="24.75" thickBot="1">
      <c r="B75" s="17" t="s">
        <v>244</v>
      </c>
      <c r="C75" s="45">
        <f>'Total Number Ind Examined '!I9</f>
        <v>125</v>
      </c>
      <c r="D75" s="45">
        <f>'Total Number Ind Examined '!J9</f>
        <v>30</v>
      </c>
      <c r="E75" s="45">
        <f>C75+D75</f>
        <v>155</v>
      </c>
      <c r="F75" s="46">
        <f>'Total Number of Pools Examined'!H9</f>
        <v>13</v>
      </c>
      <c r="G75" s="46">
        <f>'Total Number of Pools Examined'!I9</f>
        <v>10</v>
      </c>
      <c r="H75" s="46">
        <f>F75+G75</f>
        <v>23</v>
      </c>
      <c r="I75" s="46">
        <f>'Total Number of WNV + Pools'!G9</f>
        <v>1</v>
      </c>
      <c r="J75" s="46">
        <f>'Total Number of WNV + Pools'!H9</f>
        <v>0</v>
      </c>
      <c r="K75" s="46">
        <f>'Total Number of WNV + Pools'!I9</f>
        <v>1</v>
      </c>
      <c r="L75" s="29">
        <f>ZONEINFRATE!C6</f>
        <v>7.6629404116900153</v>
      </c>
      <c r="M75" s="29">
        <f>ZONEINFRATE!C7</f>
        <v>0</v>
      </c>
      <c r="N75" s="29">
        <v>6.2857756420352082</v>
      </c>
      <c r="Q75" s="30"/>
      <c r="R75" s="30"/>
      <c r="S75" s="30"/>
      <c r="T75" s="63"/>
      <c r="U75" s="64"/>
      <c r="V75" s="64"/>
    </row>
    <row r="76" spans="1:25" ht="24.75" thickBot="1">
      <c r="B76" s="17" t="s">
        <v>245</v>
      </c>
      <c r="C76" s="45">
        <f>'Total Number Ind Examined '!I10</f>
        <v>34</v>
      </c>
      <c r="D76" s="45">
        <f>'Total Number Ind Examined '!J10</f>
        <v>14</v>
      </c>
      <c r="E76" s="45">
        <f>C76+D76</f>
        <v>48</v>
      </c>
      <c r="F76" s="46">
        <f>'Total Number of Pools Examined'!H10</f>
        <v>6</v>
      </c>
      <c r="G76" s="46">
        <f>'Total Number of Pools Examined'!I10</f>
        <v>5</v>
      </c>
      <c r="H76" s="46">
        <f>F76+G76</f>
        <v>11</v>
      </c>
      <c r="I76" s="46">
        <f>'Total Number of WNV + Pools'!G10</f>
        <v>1</v>
      </c>
      <c r="J76" s="46">
        <f>'Total Number of WNV + Pools'!H10</f>
        <v>0</v>
      </c>
      <c r="K76" s="46">
        <f>'Total Number of WNV + Pools'!I10</f>
        <v>1</v>
      </c>
      <c r="L76" s="29">
        <f>ZONEINFRATE!C8</f>
        <v>22.654837320616352</v>
      </c>
      <c r="M76" s="29">
        <f>ZONEINFRATE!C9</f>
        <v>0</v>
      </c>
      <c r="N76" s="29">
        <v>18.394858233754146</v>
      </c>
      <c r="Q76" s="30"/>
      <c r="R76" s="30"/>
      <c r="S76" s="30"/>
      <c r="T76" s="63"/>
      <c r="U76" s="64"/>
      <c r="V76" s="64"/>
    </row>
    <row r="77" spans="1:25" ht="24.75" thickBot="1">
      <c r="B77" s="17" t="s">
        <v>246</v>
      </c>
      <c r="C77" s="45">
        <f>SUM(C73:C76)</f>
        <v>436</v>
      </c>
      <c r="D77" s="45">
        <f>SUM(D73:D76)</f>
        <v>71</v>
      </c>
      <c r="E77" s="45">
        <f>C77+D77</f>
        <v>507</v>
      </c>
      <c r="F77" s="46">
        <f t="shared" ref="F77:K77" si="7">SUM(F73:F76)</f>
        <v>36</v>
      </c>
      <c r="G77" s="46">
        <f t="shared" si="7"/>
        <v>23</v>
      </c>
      <c r="H77" s="46">
        <f>F77+G77</f>
        <v>59</v>
      </c>
      <c r="I77" s="46">
        <f t="shared" si="7"/>
        <v>3</v>
      </c>
      <c r="J77" s="46">
        <f t="shared" si="7"/>
        <v>0</v>
      </c>
      <c r="K77" s="46">
        <f t="shared" si="7"/>
        <v>3</v>
      </c>
      <c r="L77" s="29">
        <f>CITYINFRATE!C2</f>
        <v>6.9744114321531896</v>
      </c>
      <c r="M77" s="29">
        <f>CITYINFRATE!C3</f>
        <v>0</v>
      </c>
      <c r="N77" s="29">
        <v>6.0109466472309281</v>
      </c>
      <c r="Q77" s="30"/>
      <c r="R77" s="30"/>
      <c r="S77" s="30"/>
      <c r="T77" s="63"/>
      <c r="U77" s="64"/>
      <c r="V77" s="64"/>
    </row>
    <row r="78" spans="1:25" ht="15.75" thickBot="1">
      <c r="B78" s="17"/>
      <c r="C78" s="46"/>
      <c r="D78" s="46"/>
      <c r="E78" s="46"/>
      <c r="F78" s="46"/>
      <c r="G78" s="46"/>
      <c r="H78" s="46"/>
      <c r="I78" s="46"/>
      <c r="J78" s="46"/>
      <c r="K78" s="46"/>
      <c r="L78" s="29"/>
      <c r="M78" s="29"/>
      <c r="N78" s="29"/>
      <c r="R78" s="30"/>
      <c r="S78" s="30"/>
    </row>
    <row r="79" spans="1:25" ht="15.75" thickBot="1">
      <c r="B79" s="17" t="s">
        <v>44</v>
      </c>
      <c r="C79" s="46">
        <f>'Total Number Ind Examined '!I6</f>
        <v>55</v>
      </c>
      <c r="D79" s="46">
        <f>'Total Number Ind Examined '!J6</f>
        <v>46</v>
      </c>
      <c r="E79" s="46">
        <f>C79+D79</f>
        <v>101</v>
      </c>
      <c r="F79" s="46">
        <f>'Total Number of Pools Examined'!H6</f>
        <v>4</v>
      </c>
      <c r="G79" s="46">
        <f>'Total Number of Pools Examined'!I6</f>
        <v>5</v>
      </c>
      <c r="H79" s="46">
        <f>F79+G79</f>
        <v>9</v>
      </c>
      <c r="I79" s="46">
        <f>'Total Number of WNV + Pools'!G11</f>
        <v>0</v>
      </c>
      <c r="J79" s="46">
        <f>'Total Number of WNV + Pools'!H11</f>
        <v>0</v>
      </c>
      <c r="K79" s="46">
        <f>I79+J79</f>
        <v>0</v>
      </c>
      <c r="L79" s="29">
        <f>CITYINFRATE!C4</f>
        <v>0</v>
      </c>
      <c r="M79" s="29">
        <f>CITYINFRATE!C5</f>
        <v>0</v>
      </c>
      <c r="N79" s="29">
        <v>0</v>
      </c>
      <c r="R79" s="30"/>
      <c r="S79" s="30"/>
      <c r="T79" s="30"/>
    </row>
    <row r="80" spans="1:25" ht="15.75" thickBot="1">
      <c r="B80" s="17" t="s">
        <v>42</v>
      </c>
      <c r="C80" s="46" t="s">
        <v>31</v>
      </c>
      <c r="D80" s="46" t="s">
        <v>31</v>
      </c>
      <c r="E80" s="46" t="s">
        <v>31</v>
      </c>
      <c r="F80" s="46" t="s">
        <v>31</v>
      </c>
      <c r="G80" s="46" t="s">
        <v>31</v>
      </c>
      <c r="H80" s="46" t="s">
        <v>31</v>
      </c>
      <c r="I80" s="46" t="s">
        <v>31</v>
      </c>
      <c r="J80" s="46" t="s">
        <v>31</v>
      </c>
      <c r="K80" s="46" t="s">
        <v>31</v>
      </c>
      <c r="L80" s="46" t="s">
        <v>31</v>
      </c>
      <c r="M80" s="46" t="s">
        <v>31</v>
      </c>
      <c r="N80" s="46" t="s">
        <v>31</v>
      </c>
      <c r="R80" s="30"/>
      <c r="S80" s="30"/>
      <c r="T80" s="30"/>
    </row>
    <row r="81" spans="1:20" ht="15.75" thickBot="1">
      <c r="B81" s="17" t="s">
        <v>32</v>
      </c>
      <c r="C81" s="46">
        <f>'Total Number Ind Examined '!I12</f>
        <v>0</v>
      </c>
      <c r="D81" s="46">
        <f>'Total Number Ind Examined '!J12</f>
        <v>13</v>
      </c>
      <c r="E81" s="46">
        <f>C81+D81</f>
        <v>13</v>
      </c>
      <c r="F81" s="46">
        <f>'Total Number of Pools Examined'!H12</f>
        <v>0</v>
      </c>
      <c r="G81" s="46">
        <f>'Total Number of Pools Examined'!I12</f>
        <v>5</v>
      </c>
      <c r="H81" s="46">
        <f>F81+G81</f>
        <v>5</v>
      </c>
      <c r="I81" s="46">
        <f>'Total Number of WNV + Pools'!G13</f>
        <v>0</v>
      </c>
      <c r="J81" s="46">
        <f>'Total Number of WNV + Pools'!H13</f>
        <v>0</v>
      </c>
      <c r="K81" s="46">
        <f>I81+J81</f>
        <v>0</v>
      </c>
      <c r="L81" s="29">
        <f>CITYINFRATE!C8</f>
        <v>0</v>
      </c>
      <c r="M81" s="29">
        <f>CITYINFRATE!C9</f>
        <v>0</v>
      </c>
      <c r="N81" s="29">
        <v>0</v>
      </c>
      <c r="R81" s="30"/>
      <c r="S81" s="30"/>
      <c r="T81" s="30"/>
    </row>
    <row r="82" spans="1:20" ht="15.75" thickBot="1">
      <c r="R82" s="30"/>
      <c r="S82" s="49"/>
      <c r="T82" s="30"/>
    </row>
    <row r="83" spans="1:20" ht="15" customHeight="1">
      <c r="A83" t="s">
        <v>268</v>
      </c>
      <c r="B83" s="15"/>
      <c r="C83" s="114" t="s">
        <v>242</v>
      </c>
      <c r="D83" s="115"/>
      <c r="E83" s="114" t="s">
        <v>243</v>
      </c>
      <c r="F83" s="115"/>
      <c r="G83" s="114" t="s">
        <v>244</v>
      </c>
      <c r="H83" s="115"/>
      <c r="I83" s="114" t="s">
        <v>245</v>
      </c>
      <c r="J83" s="115"/>
      <c r="K83" s="114" t="s">
        <v>246</v>
      </c>
      <c r="L83" s="115"/>
      <c r="M83" s="18"/>
      <c r="N83" s="18"/>
      <c r="O83" s="18"/>
      <c r="S83" s="30"/>
    </row>
    <row r="84" spans="1:20" ht="15.75" thickBot="1">
      <c r="B84" s="16"/>
      <c r="C84" s="116"/>
      <c r="D84" s="117"/>
      <c r="E84" s="116"/>
      <c r="F84" s="117"/>
      <c r="G84" s="116"/>
      <c r="H84" s="117"/>
      <c r="I84" s="116"/>
      <c r="J84" s="117"/>
      <c r="K84" s="116"/>
      <c r="L84" s="117"/>
      <c r="M84" s="19"/>
      <c r="N84" s="19"/>
      <c r="O84" s="19"/>
      <c r="S84" s="30"/>
    </row>
    <row r="85" spans="1:20" ht="26.25" thickBot="1">
      <c r="B85" s="17" t="s">
        <v>13</v>
      </c>
      <c r="C85" s="20" t="s">
        <v>249</v>
      </c>
      <c r="D85" s="20" t="s">
        <v>250</v>
      </c>
      <c r="E85" s="20" t="s">
        <v>249</v>
      </c>
      <c r="F85" s="20" t="s">
        <v>250</v>
      </c>
      <c r="G85" s="20" t="s">
        <v>249</v>
      </c>
      <c r="H85" s="20" t="s">
        <v>250</v>
      </c>
      <c r="I85" s="20" t="s">
        <v>249</v>
      </c>
      <c r="J85" s="20" t="s">
        <v>250</v>
      </c>
      <c r="K85" s="20" t="s">
        <v>249</v>
      </c>
      <c r="L85" s="20" t="s">
        <v>250</v>
      </c>
      <c r="M85" s="20" t="s">
        <v>44</v>
      </c>
      <c r="N85" s="20" t="s">
        <v>42</v>
      </c>
      <c r="O85" s="20" t="s">
        <v>32</v>
      </c>
      <c r="S85" s="30"/>
    </row>
    <row r="86" spans="1:20" ht="15.75" thickBot="1">
      <c r="B86" s="17">
        <v>23</v>
      </c>
      <c r="C86" s="44">
        <v>0</v>
      </c>
      <c r="D86" s="44">
        <v>0</v>
      </c>
      <c r="E86" s="44">
        <v>0</v>
      </c>
      <c r="F86" s="44">
        <v>0</v>
      </c>
      <c r="G86" s="44">
        <v>0</v>
      </c>
      <c r="H86" s="44">
        <v>1.5957902434690654</v>
      </c>
      <c r="I86" s="44">
        <v>0</v>
      </c>
      <c r="J86" s="44">
        <v>0</v>
      </c>
      <c r="K86" s="44">
        <v>0</v>
      </c>
      <c r="L86" s="44">
        <v>0.51978053605517371</v>
      </c>
      <c r="M86" s="29">
        <v>0</v>
      </c>
      <c r="N86" s="29">
        <v>0</v>
      </c>
      <c r="O86" s="29" t="s">
        <v>31</v>
      </c>
      <c r="S86" s="30"/>
    </row>
    <row r="87" spans="1:20" ht="15.75" thickBot="1">
      <c r="B87" s="17">
        <v>24</v>
      </c>
      <c r="C87" s="44">
        <v>0</v>
      </c>
      <c r="D87" s="42">
        <v>0</v>
      </c>
      <c r="E87" s="44">
        <v>0</v>
      </c>
      <c r="F87" s="42">
        <v>0</v>
      </c>
      <c r="G87" s="44">
        <v>0</v>
      </c>
      <c r="H87" s="42">
        <v>0.85745500904972305</v>
      </c>
      <c r="I87" s="44">
        <v>0</v>
      </c>
      <c r="J87" s="42">
        <v>0</v>
      </c>
      <c r="K87" s="44">
        <v>0</v>
      </c>
      <c r="L87" s="42">
        <v>0.32773515114852142</v>
      </c>
      <c r="M87" s="29">
        <v>0</v>
      </c>
      <c r="N87" s="29">
        <v>0</v>
      </c>
      <c r="O87" s="29" t="s">
        <v>31</v>
      </c>
    </row>
    <row r="88" spans="1:20" ht="15.75" thickBot="1">
      <c r="B88" s="17">
        <v>25</v>
      </c>
      <c r="C88" s="44">
        <v>0</v>
      </c>
      <c r="D88" s="42">
        <v>0</v>
      </c>
      <c r="E88" s="44">
        <v>0</v>
      </c>
      <c r="F88" s="42">
        <v>0.36605640702446324</v>
      </c>
      <c r="G88" s="44">
        <v>0</v>
      </c>
      <c r="H88" s="42">
        <v>0</v>
      </c>
      <c r="I88" s="44">
        <v>0</v>
      </c>
      <c r="J88" s="42">
        <v>0</v>
      </c>
      <c r="K88" s="44">
        <v>0</v>
      </c>
      <c r="L88" s="42">
        <v>4.8220337720628483E-2</v>
      </c>
      <c r="M88" s="29">
        <v>0</v>
      </c>
      <c r="N88" s="29">
        <v>0</v>
      </c>
      <c r="O88" s="29">
        <v>0</v>
      </c>
    </row>
    <row r="89" spans="1:20" ht="15.75" thickBot="1">
      <c r="B89" s="17">
        <v>26</v>
      </c>
      <c r="C89" s="44">
        <v>0</v>
      </c>
      <c r="D89" s="42">
        <v>0</v>
      </c>
      <c r="E89" s="44">
        <v>0</v>
      </c>
      <c r="F89" s="42">
        <v>6.352941176470589E-2</v>
      </c>
      <c r="G89" s="44">
        <v>0.29249308850982281</v>
      </c>
      <c r="H89" s="42">
        <v>0.27749164104927154</v>
      </c>
      <c r="I89" s="44">
        <v>0</v>
      </c>
      <c r="J89" s="42">
        <v>0.28360394237760067</v>
      </c>
      <c r="K89" s="44">
        <v>0.14650083916642878</v>
      </c>
      <c r="L89" s="42">
        <v>0.17237391164376478</v>
      </c>
      <c r="M89" s="29">
        <v>0</v>
      </c>
      <c r="N89" s="29">
        <v>0</v>
      </c>
      <c r="O89" s="29">
        <v>0</v>
      </c>
    </row>
    <row r="90" spans="1:20" ht="15.75" thickBot="1">
      <c r="B90" s="17">
        <v>27</v>
      </c>
      <c r="C90" s="44">
        <v>0</v>
      </c>
      <c r="D90" s="42">
        <v>0</v>
      </c>
      <c r="E90" s="44">
        <v>0</v>
      </c>
      <c r="F90" s="42">
        <v>0.14278311692191059</v>
      </c>
      <c r="G90" s="44">
        <v>0.73599739490082683</v>
      </c>
      <c r="H90" s="42">
        <v>0.28298285958199054</v>
      </c>
      <c r="I90" s="44">
        <v>0</v>
      </c>
      <c r="J90" s="42">
        <v>0</v>
      </c>
      <c r="K90" s="44">
        <v>0.49933297806413512</v>
      </c>
      <c r="L90" s="42">
        <v>0.20336792194129294</v>
      </c>
      <c r="M90" s="29">
        <v>0.60424668650731495</v>
      </c>
      <c r="N90" s="29">
        <v>2.8349532004892666</v>
      </c>
      <c r="O90" s="29">
        <v>0</v>
      </c>
    </row>
    <row r="91" spans="1:20" ht="15.75" thickBot="1">
      <c r="B91" s="17">
        <v>28</v>
      </c>
      <c r="C91" s="44">
        <v>0.63674237133302214</v>
      </c>
      <c r="D91" s="42">
        <v>0</v>
      </c>
      <c r="E91" s="44">
        <v>0.73837647809443019</v>
      </c>
      <c r="F91" s="42">
        <v>0.41886806644640395</v>
      </c>
      <c r="G91" s="44">
        <v>1.690183126164776</v>
      </c>
      <c r="H91" s="42">
        <v>0.758822702939557</v>
      </c>
      <c r="I91" s="44">
        <v>1.2321829663128077</v>
      </c>
      <c r="J91" s="42">
        <v>0.58876392471659955</v>
      </c>
      <c r="K91" s="44">
        <v>1.3559300127791742</v>
      </c>
      <c r="L91" s="42">
        <v>0.50519643051425234</v>
      </c>
      <c r="M91" s="29">
        <v>1.1769066713769816</v>
      </c>
      <c r="N91" s="29">
        <v>2.728729202159712</v>
      </c>
      <c r="O91" s="29">
        <v>0</v>
      </c>
    </row>
    <row r="92" spans="1:20" ht="15.75" thickBot="1">
      <c r="B92" s="17">
        <v>29</v>
      </c>
      <c r="C92" s="44">
        <v>3.0436064446202602</v>
      </c>
      <c r="D92" s="42">
        <v>1.3732826375342058</v>
      </c>
      <c r="E92" s="44">
        <v>2.7855892022369826</v>
      </c>
      <c r="F92" s="42">
        <v>0.85695902545791058</v>
      </c>
      <c r="G92" s="44">
        <v>2.0729650338949659</v>
      </c>
      <c r="H92" s="42">
        <v>2.1010753836463549</v>
      </c>
      <c r="I92" s="44">
        <v>2.8193798218065855</v>
      </c>
      <c r="J92" s="42">
        <v>0.83778009081791438</v>
      </c>
      <c r="K92" s="44">
        <v>2.5362618570775521</v>
      </c>
      <c r="L92" s="42">
        <v>1.3804236262299407</v>
      </c>
      <c r="M92" s="29">
        <v>1.0869074399891705</v>
      </c>
      <c r="N92" s="29">
        <v>2.7504297580346764</v>
      </c>
      <c r="O92" s="29">
        <v>12.403706436356643</v>
      </c>
    </row>
    <row r="93" spans="1:20">
      <c r="B93" s="17">
        <v>30</v>
      </c>
      <c r="C93" s="44">
        <v>2.9494093985406784</v>
      </c>
      <c r="D93" s="42">
        <v>1.9745747343112214</v>
      </c>
      <c r="E93" s="44">
        <v>2.1357014777598482</v>
      </c>
      <c r="F93" s="42">
        <v>1.6150257157968575</v>
      </c>
      <c r="G93" s="44">
        <v>4.3770778600366222</v>
      </c>
      <c r="H93" s="42">
        <v>3.4662808153471794</v>
      </c>
      <c r="I93" s="44">
        <v>7.7445359225260155</v>
      </c>
      <c r="J93" s="42">
        <v>2.0638222771464401</v>
      </c>
      <c r="K93" s="44">
        <v>3.5660112438993772</v>
      </c>
      <c r="L93" s="42">
        <v>2.4046206774437886</v>
      </c>
      <c r="M93" s="29">
        <v>15.474453603009593</v>
      </c>
      <c r="N93" s="29">
        <v>2.2824427190291527</v>
      </c>
      <c r="O93" s="29">
        <v>3.3819772718701691</v>
      </c>
    </row>
    <row r="94" spans="1:20" ht="15.75" thickBot="1">
      <c r="B94" s="17">
        <v>31</v>
      </c>
      <c r="C94" s="44">
        <v>23.086174211762472</v>
      </c>
      <c r="D94" s="42">
        <v>2.9406405300610863</v>
      </c>
      <c r="E94" s="44">
        <v>3.5627140510337907</v>
      </c>
      <c r="F94" s="42">
        <v>1.822063718205875</v>
      </c>
      <c r="G94" s="44">
        <v>9.4852441195059267</v>
      </c>
      <c r="H94" s="42">
        <v>4.7719803887323691</v>
      </c>
      <c r="I94" s="44">
        <v>14.178263615050465</v>
      </c>
      <c r="J94" s="42">
        <v>3.3815060766691087</v>
      </c>
      <c r="K94" s="44">
        <v>10.878852986010136</v>
      </c>
      <c r="L94" s="42">
        <v>3.2751365177055627</v>
      </c>
      <c r="M94" s="29">
        <v>1.6446743048284191</v>
      </c>
      <c r="N94" s="29">
        <v>0</v>
      </c>
      <c r="O94" s="29">
        <v>0</v>
      </c>
    </row>
    <row r="95" spans="1:20">
      <c r="B95" s="17">
        <v>32</v>
      </c>
      <c r="C95" s="44">
        <v>20.01089385283295</v>
      </c>
      <c r="D95" s="42">
        <v>4.305863475680777</v>
      </c>
      <c r="E95" s="44">
        <v>10.59242214735864</v>
      </c>
      <c r="F95" s="42">
        <v>4.5374478004994607</v>
      </c>
      <c r="G95" s="44">
        <v>11.042969441573163</v>
      </c>
      <c r="H95" s="42">
        <v>6.8581492307747354</v>
      </c>
      <c r="I95" s="44">
        <v>13.866895240580252</v>
      </c>
      <c r="J95" s="42">
        <v>9.2152118251185922</v>
      </c>
      <c r="K95" s="44">
        <v>13.037902026000452</v>
      </c>
      <c r="L95" s="42">
        <v>5.2342026460405799</v>
      </c>
      <c r="M95" s="29">
        <v>7.3298123072717161</v>
      </c>
      <c r="N95" s="29">
        <v>10.146495079067597</v>
      </c>
      <c r="O95" s="29">
        <v>4.1149259249455588</v>
      </c>
    </row>
    <row r="96" spans="1:20" ht="15.75" thickBot="1">
      <c r="B96" s="17">
        <v>33</v>
      </c>
      <c r="C96" s="44">
        <v>16.731873688746113</v>
      </c>
      <c r="D96" s="42">
        <v>6.4033103726557705</v>
      </c>
      <c r="E96" s="44">
        <v>19.15383726724448</v>
      </c>
      <c r="F96" s="42">
        <v>6.5090495561608703</v>
      </c>
      <c r="G96" s="44">
        <v>6.4171918723243131</v>
      </c>
      <c r="H96" s="42">
        <v>9.369823327443374</v>
      </c>
      <c r="I96" s="44">
        <v>18.157326485394702</v>
      </c>
      <c r="J96" s="42">
        <v>6.6714912749310633</v>
      </c>
      <c r="K96" s="44">
        <v>15.99341012538143</v>
      </c>
      <c r="L96" s="42">
        <v>7.5049653193465451</v>
      </c>
      <c r="M96" s="29">
        <v>7.481241379894386</v>
      </c>
      <c r="N96" s="29">
        <v>0</v>
      </c>
      <c r="O96" s="29">
        <v>5.3321809041993298</v>
      </c>
    </row>
    <row r="97" spans="2:16" ht="15.75" thickBot="1">
      <c r="B97" s="17">
        <v>34</v>
      </c>
      <c r="C97" s="44">
        <v>12.963247364605509</v>
      </c>
      <c r="D97" s="42">
        <v>7.8854783949382794</v>
      </c>
      <c r="E97" s="44">
        <v>15.962195542863302</v>
      </c>
      <c r="F97" s="42">
        <v>4.0479116778716273</v>
      </c>
      <c r="G97" s="44">
        <v>9.5854862978171163</v>
      </c>
      <c r="H97" s="42">
        <v>10.376473339005011</v>
      </c>
      <c r="I97" s="44">
        <v>14.366722081202028</v>
      </c>
      <c r="J97" s="42">
        <v>9.8839425326464614</v>
      </c>
      <c r="K97" s="44">
        <v>12.485916195381341</v>
      </c>
      <c r="L97" s="42">
        <v>7.3883439619212679</v>
      </c>
      <c r="M97" s="29">
        <v>2.0301127794845084</v>
      </c>
      <c r="N97" s="29">
        <v>16.661750005860917</v>
      </c>
      <c r="O97" s="29">
        <v>4.7687082815375312</v>
      </c>
      <c r="P97" s="30"/>
    </row>
    <row r="98" spans="2:16" ht="15.75" thickBot="1">
      <c r="B98" s="17">
        <v>35</v>
      </c>
      <c r="C98" s="44">
        <v>6.0728173180427749</v>
      </c>
      <c r="D98" s="42">
        <v>9.3874224749527464</v>
      </c>
      <c r="E98" s="44">
        <v>10.517798901837436</v>
      </c>
      <c r="F98" s="42">
        <v>5.8082953630952145</v>
      </c>
      <c r="G98" s="44">
        <v>33.593497764032264</v>
      </c>
      <c r="H98" s="42">
        <v>14.700408282990322</v>
      </c>
      <c r="I98" s="44">
        <v>10.821754429962716</v>
      </c>
      <c r="J98" s="42">
        <v>35.980255315934627</v>
      </c>
      <c r="K98" s="44">
        <v>14.17280075370333</v>
      </c>
      <c r="L98" s="42">
        <v>10.131448498495482</v>
      </c>
      <c r="M98" s="29">
        <v>2.8642190826860077</v>
      </c>
      <c r="N98" s="29">
        <v>8.1316616656725635</v>
      </c>
      <c r="O98" s="29">
        <v>0</v>
      </c>
    </row>
    <row r="99" spans="2:16" ht="15.75" thickBot="1">
      <c r="B99" s="17">
        <v>36</v>
      </c>
      <c r="C99" s="44">
        <v>21.476025435305036</v>
      </c>
      <c r="D99" s="43">
        <v>6.9360992311561231</v>
      </c>
      <c r="E99" s="44">
        <v>0</v>
      </c>
      <c r="F99" s="43">
        <v>1.9789351595307674</v>
      </c>
      <c r="G99" s="44">
        <v>6.2857756420352082</v>
      </c>
      <c r="H99" s="43">
        <v>3.5496845436541529</v>
      </c>
      <c r="I99" s="44">
        <v>18.394858233754146</v>
      </c>
      <c r="J99" s="43">
        <v>6.450541709825834</v>
      </c>
      <c r="K99" s="44">
        <v>6.0109466472309281</v>
      </c>
      <c r="L99" s="43">
        <v>2.7611492767455195</v>
      </c>
      <c r="M99" s="29">
        <v>0</v>
      </c>
      <c r="N99" s="20" t="s">
        <v>31</v>
      </c>
      <c r="O99" s="29">
        <v>0</v>
      </c>
    </row>
    <row r="100" spans="2:16" ht="15.75" thickBot="1">
      <c r="B100" s="17">
        <v>37</v>
      </c>
      <c r="C100" s="44"/>
      <c r="D100" s="44">
        <v>3.5334792310345762</v>
      </c>
      <c r="E100" s="44"/>
      <c r="F100" s="44">
        <v>3.0431402395166351</v>
      </c>
      <c r="G100" s="44"/>
      <c r="H100" s="44">
        <v>3.5602749120622774</v>
      </c>
      <c r="I100" s="44"/>
      <c r="J100" s="44">
        <v>0</v>
      </c>
      <c r="K100" s="44"/>
      <c r="L100" s="44">
        <v>3.9714321965814525</v>
      </c>
      <c r="M100" s="20"/>
      <c r="N100" s="20"/>
      <c r="O100" s="29"/>
    </row>
  </sheetData>
  <mergeCells count="41">
    <mergeCell ref="L69:N71"/>
    <mergeCell ref="C83:D84"/>
    <mergeCell ref="E83:F84"/>
    <mergeCell ref="G83:H84"/>
    <mergeCell ref="I83:J84"/>
    <mergeCell ref="K83:L84"/>
    <mergeCell ref="C69:E71"/>
    <mergeCell ref="F69:H71"/>
    <mergeCell ref="I69:K69"/>
    <mergeCell ref="I70:K70"/>
    <mergeCell ref="I71:K71"/>
    <mergeCell ref="C50:D51"/>
    <mergeCell ref="E50:F51"/>
    <mergeCell ref="G50:H51"/>
    <mergeCell ref="I50:J51"/>
    <mergeCell ref="K50:L51"/>
    <mergeCell ref="C35:E35"/>
    <mergeCell ref="C36:E36"/>
    <mergeCell ref="C37:E37"/>
    <mergeCell ref="G35:I37"/>
    <mergeCell ref="C38:C39"/>
    <mergeCell ref="D38:D39"/>
    <mergeCell ref="E38:E39"/>
    <mergeCell ref="G38:G39"/>
    <mergeCell ref="H38:H39"/>
    <mergeCell ref="C16:D17"/>
    <mergeCell ref="E16:F17"/>
    <mergeCell ref="G16:H17"/>
    <mergeCell ref="I16:J17"/>
    <mergeCell ref="K16:L17"/>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U434"/>
  <sheetViews>
    <sheetView topLeftCell="A37" zoomScale="90" zoomScaleNormal="90" workbookViewId="0">
      <selection activeCell="W10" sqref="W10"/>
    </sheetView>
  </sheetViews>
  <sheetFormatPr defaultColWidth="8.85546875" defaultRowHeight="11.25"/>
  <cols>
    <col min="1" max="1" width="11.28515625" style="57" customWidth="1"/>
    <col min="2" max="2" width="14.42578125" style="35" customWidth="1"/>
    <col min="3" max="3" width="10.85546875" style="35" bestFit="1" customWidth="1"/>
    <col min="4" max="4" width="6.42578125" style="53" bestFit="1" customWidth="1"/>
    <col min="5" max="5" width="13" style="51" customWidth="1"/>
    <col min="6" max="6" width="6.710937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11.28515625" style="35" customWidth="1"/>
    <col min="13" max="13" width="5.42578125" style="35" customWidth="1"/>
    <col min="14" max="14" width="6.7109375" style="55" customWidth="1"/>
    <col min="15" max="15" width="7.42578125" style="55" customWidth="1"/>
    <col min="16" max="16" width="7.140625" style="55" customWidth="1"/>
    <col min="17" max="17" width="11.140625" style="35" customWidth="1"/>
    <col min="18" max="18" width="10.7109375" style="35" customWidth="1"/>
    <col min="19" max="19" width="13.7109375" style="35" customWidth="1"/>
    <col min="20" max="220" width="9.140625" style="35"/>
    <col min="221" max="221" width="4.42578125" style="35" bestFit="1" customWidth="1"/>
    <col min="222" max="222" width="11.42578125" style="35" bestFit="1" customWidth="1"/>
    <col min="223" max="223" width="9.42578125" style="35" bestFit="1" customWidth="1"/>
    <col min="224" max="224" width="6.42578125" style="35" bestFit="1" customWidth="1"/>
    <col min="225" max="225" width="7.7109375" style="35" bestFit="1" customWidth="1"/>
    <col min="226" max="227" width="6.42578125" style="35" bestFit="1" customWidth="1"/>
    <col min="228" max="228" width="10" style="35" bestFit="1" customWidth="1"/>
    <col min="229" max="229" width="7.140625" style="35" customWidth="1"/>
    <col min="230" max="230" width="6.7109375" style="35" bestFit="1" customWidth="1"/>
    <col min="231" max="231" width="5.42578125" style="35" bestFit="1" customWidth="1"/>
    <col min="232" max="232" width="6.28515625" style="35" bestFit="1" customWidth="1"/>
    <col min="233" max="233" width="5.42578125" style="35" customWidth="1"/>
    <col min="234" max="234" width="6.7109375" style="35" customWidth="1"/>
    <col min="235" max="235" width="7.42578125" style="35" customWidth="1"/>
    <col min="236" max="236" width="7.140625" style="35" customWidth="1"/>
    <col min="237" max="237" width="9.28515625" style="35" customWidth="1"/>
    <col min="238" max="238" width="10.7109375" style="35" customWidth="1"/>
    <col min="239" max="239" width="9.140625" style="35" customWidth="1"/>
    <col min="240" max="476" width="9.140625" style="35"/>
    <col min="477" max="477" width="4.42578125" style="35" bestFit="1" customWidth="1"/>
    <col min="478" max="478" width="11.42578125" style="35" bestFit="1" customWidth="1"/>
    <col min="479" max="479" width="9.42578125" style="35" bestFit="1" customWidth="1"/>
    <col min="480" max="480" width="6.42578125" style="35" bestFit="1" customWidth="1"/>
    <col min="481" max="481" width="7.7109375" style="35" bestFit="1" customWidth="1"/>
    <col min="482" max="483" width="6.42578125" style="35" bestFit="1" customWidth="1"/>
    <col min="484" max="484" width="10" style="35" bestFit="1" customWidth="1"/>
    <col min="485" max="485" width="7.140625" style="35" customWidth="1"/>
    <col min="486" max="486" width="6.7109375" style="35" bestFit="1" customWidth="1"/>
    <col min="487" max="487" width="5.42578125" style="35" bestFit="1" customWidth="1"/>
    <col min="488" max="488" width="6.28515625" style="35" bestFit="1" customWidth="1"/>
    <col min="489" max="489" width="5.42578125" style="35" customWidth="1"/>
    <col min="490" max="490" width="6.7109375" style="35" customWidth="1"/>
    <col min="491" max="491" width="7.42578125" style="35" customWidth="1"/>
    <col min="492" max="492" width="7.140625" style="35" customWidth="1"/>
    <col min="493" max="493" width="9.28515625" style="35" customWidth="1"/>
    <col min="494" max="494" width="10.7109375" style="35" customWidth="1"/>
    <col min="495" max="495" width="9.140625" style="35" customWidth="1"/>
    <col min="496" max="732" width="9.140625" style="35"/>
    <col min="733" max="733" width="4.42578125" style="35" bestFit="1" customWidth="1"/>
    <col min="734" max="734" width="11.42578125" style="35" bestFit="1" customWidth="1"/>
    <col min="735" max="735" width="9.42578125" style="35" bestFit="1" customWidth="1"/>
    <col min="736" max="736" width="6.42578125" style="35" bestFit="1" customWidth="1"/>
    <col min="737" max="737" width="7.7109375" style="35" bestFit="1" customWidth="1"/>
    <col min="738" max="739" width="6.42578125" style="35" bestFit="1" customWidth="1"/>
    <col min="740" max="740" width="10" style="35" bestFit="1" customWidth="1"/>
    <col min="741" max="741" width="7.140625" style="35" customWidth="1"/>
    <col min="742" max="742" width="6.7109375" style="35" bestFit="1" customWidth="1"/>
    <col min="743" max="743" width="5.42578125" style="35" bestFit="1" customWidth="1"/>
    <col min="744" max="744" width="6.28515625" style="35" bestFit="1" customWidth="1"/>
    <col min="745" max="745" width="5.42578125" style="35" customWidth="1"/>
    <col min="746" max="746" width="6.7109375" style="35" customWidth="1"/>
    <col min="747" max="747" width="7.42578125" style="35" customWidth="1"/>
    <col min="748" max="748" width="7.140625" style="35" customWidth="1"/>
    <col min="749" max="749" width="9.28515625" style="35" customWidth="1"/>
    <col min="750" max="750" width="10.7109375" style="35" customWidth="1"/>
    <col min="751" max="751" width="9.140625" style="35" customWidth="1"/>
    <col min="752" max="988" width="9.140625" style="35"/>
    <col min="989" max="989" width="4.42578125" style="35" bestFit="1" customWidth="1"/>
    <col min="990" max="990" width="11.42578125" style="35" bestFit="1" customWidth="1"/>
    <col min="991" max="991" width="9.42578125" style="35" bestFit="1" customWidth="1"/>
    <col min="992" max="992" width="6.42578125" style="35" bestFit="1" customWidth="1"/>
    <col min="993" max="993" width="7.7109375" style="35" bestFit="1" customWidth="1"/>
    <col min="994" max="995" width="6.42578125" style="35" bestFit="1" customWidth="1"/>
    <col min="996" max="996" width="10" style="35" bestFit="1" customWidth="1"/>
    <col min="997" max="997" width="7.140625" style="35" customWidth="1"/>
    <col min="998" max="998" width="6.7109375" style="35" bestFit="1" customWidth="1"/>
    <col min="999" max="999" width="5.42578125" style="35" bestFit="1" customWidth="1"/>
    <col min="1000" max="1000" width="6.28515625" style="35" bestFit="1" customWidth="1"/>
    <col min="1001" max="1001" width="5.42578125" style="35" customWidth="1"/>
    <col min="1002" max="1002" width="6.7109375" style="35" customWidth="1"/>
    <col min="1003" max="1003" width="7.42578125" style="35" customWidth="1"/>
    <col min="1004" max="1004" width="7.140625" style="35" customWidth="1"/>
    <col min="1005" max="1005" width="9.28515625" style="35" customWidth="1"/>
    <col min="1006" max="1006" width="10.7109375" style="35" customWidth="1"/>
    <col min="1007" max="1007" width="9.140625" style="35" customWidth="1"/>
    <col min="1008" max="1244" width="9.140625" style="35"/>
    <col min="1245" max="1245" width="4.42578125" style="35" bestFit="1" customWidth="1"/>
    <col min="1246" max="1246" width="11.42578125" style="35" bestFit="1" customWidth="1"/>
    <col min="1247" max="1247" width="9.42578125" style="35" bestFit="1" customWidth="1"/>
    <col min="1248" max="1248" width="6.42578125" style="35" bestFit="1" customWidth="1"/>
    <col min="1249" max="1249" width="7.7109375" style="35" bestFit="1" customWidth="1"/>
    <col min="1250" max="1251" width="6.42578125" style="35" bestFit="1" customWidth="1"/>
    <col min="1252" max="1252" width="10" style="35" bestFit="1" customWidth="1"/>
    <col min="1253" max="1253" width="7.140625" style="35" customWidth="1"/>
    <col min="1254" max="1254" width="6.7109375" style="35" bestFit="1" customWidth="1"/>
    <col min="1255" max="1255" width="5.42578125" style="35" bestFit="1" customWidth="1"/>
    <col min="1256" max="1256" width="6.28515625" style="35" bestFit="1" customWidth="1"/>
    <col min="1257" max="1257" width="5.42578125" style="35" customWidth="1"/>
    <col min="1258" max="1258" width="6.7109375" style="35" customWidth="1"/>
    <col min="1259" max="1259" width="7.42578125" style="35" customWidth="1"/>
    <col min="1260" max="1260" width="7.140625" style="35" customWidth="1"/>
    <col min="1261" max="1261" width="9.28515625" style="35" customWidth="1"/>
    <col min="1262" max="1262" width="10.7109375" style="35" customWidth="1"/>
    <col min="1263" max="1263" width="9.140625" style="35" customWidth="1"/>
    <col min="1264" max="1500" width="9.140625" style="35"/>
    <col min="1501" max="1501" width="4.42578125" style="35" bestFit="1" customWidth="1"/>
    <col min="1502" max="1502" width="11.42578125" style="35" bestFit="1" customWidth="1"/>
    <col min="1503" max="1503" width="9.42578125" style="35" bestFit="1" customWidth="1"/>
    <col min="1504" max="1504" width="6.42578125" style="35" bestFit="1" customWidth="1"/>
    <col min="1505" max="1505" width="7.7109375" style="35" bestFit="1" customWidth="1"/>
    <col min="1506" max="1507" width="6.42578125" style="35" bestFit="1" customWidth="1"/>
    <col min="1508" max="1508" width="10" style="35" bestFit="1" customWidth="1"/>
    <col min="1509" max="1509" width="7.140625" style="35" customWidth="1"/>
    <col min="1510" max="1510" width="6.7109375" style="35" bestFit="1" customWidth="1"/>
    <col min="1511" max="1511" width="5.42578125" style="35" bestFit="1" customWidth="1"/>
    <col min="1512" max="1512" width="6.28515625" style="35" bestFit="1" customWidth="1"/>
    <col min="1513" max="1513" width="5.42578125" style="35" customWidth="1"/>
    <col min="1514" max="1514" width="6.7109375" style="35" customWidth="1"/>
    <col min="1515" max="1515" width="7.42578125" style="35" customWidth="1"/>
    <col min="1516" max="1516" width="7.140625" style="35" customWidth="1"/>
    <col min="1517" max="1517" width="9.28515625" style="35" customWidth="1"/>
    <col min="1518" max="1518" width="10.7109375" style="35" customWidth="1"/>
    <col min="1519" max="1519" width="9.140625" style="35" customWidth="1"/>
    <col min="1520" max="1756" width="9.140625" style="35"/>
    <col min="1757" max="1757" width="4.42578125" style="35" bestFit="1" customWidth="1"/>
    <col min="1758" max="1758" width="11.42578125" style="35" bestFit="1" customWidth="1"/>
    <col min="1759" max="1759" width="9.42578125" style="35" bestFit="1" customWidth="1"/>
    <col min="1760" max="1760" width="6.42578125" style="35" bestFit="1" customWidth="1"/>
    <col min="1761" max="1761" width="7.7109375" style="35" bestFit="1" customWidth="1"/>
    <col min="1762" max="1763" width="6.42578125" style="35" bestFit="1" customWidth="1"/>
    <col min="1764" max="1764" width="10" style="35" bestFit="1" customWidth="1"/>
    <col min="1765" max="1765" width="7.140625" style="35" customWidth="1"/>
    <col min="1766" max="1766" width="6.7109375" style="35" bestFit="1" customWidth="1"/>
    <col min="1767" max="1767" width="5.42578125" style="35" bestFit="1" customWidth="1"/>
    <col min="1768" max="1768" width="6.28515625" style="35" bestFit="1" customWidth="1"/>
    <col min="1769" max="1769" width="5.42578125" style="35" customWidth="1"/>
    <col min="1770" max="1770" width="6.7109375" style="35" customWidth="1"/>
    <col min="1771" max="1771" width="7.42578125" style="35" customWidth="1"/>
    <col min="1772" max="1772" width="7.140625" style="35" customWidth="1"/>
    <col min="1773" max="1773" width="9.28515625" style="35" customWidth="1"/>
    <col min="1774" max="1774" width="10.7109375" style="35" customWidth="1"/>
    <col min="1775" max="1775" width="9.140625" style="35" customWidth="1"/>
    <col min="1776" max="2012" width="9.140625" style="35"/>
    <col min="2013" max="2013" width="4.42578125" style="35" bestFit="1" customWidth="1"/>
    <col min="2014" max="2014" width="11.42578125" style="35" bestFit="1" customWidth="1"/>
    <col min="2015" max="2015" width="9.42578125" style="35" bestFit="1" customWidth="1"/>
    <col min="2016" max="2016" width="6.42578125" style="35" bestFit="1" customWidth="1"/>
    <col min="2017" max="2017" width="7.7109375" style="35" bestFit="1" customWidth="1"/>
    <col min="2018" max="2019" width="6.42578125" style="35" bestFit="1" customWidth="1"/>
    <col min="2020" max="2020" width="10" style="35" bestFit="1" customWidth="1"/>
    <col min="2021" max="2021" width="7.140625" style="35" customWidth="1"/>
    <col min="2022" max="2022" width="6.7109375" style="35" bestFit="1" customWidth="1"/>
    <col min="2023" max="2023" width="5.42578125" style="35" bestFit="1" customWidth="1"/>
    <col min="2024" max="2024" width="6.28515625" style="35" bestFit="1" customWidth="1"/>
    <col min="2025" max="2025" width="5.42578125" style="35" customWidth="1"/>
    <col min="2026" max="2026" width="6.7109375" style="35" customWidth="1"/>
    <col min="2027" max="2027" width="7.42578125" style="35" customWidth="1"/>
    <col min="2028" max="2028" width="7.140625" style="35" customWidth="1"/>
    <col min="2029" max="2029" width="9.28515625" style="35" customWidth="1"/>
    <col min="2030" max="2030" width="10.7109375" style="35" customWidth="1"/>
    <col min="2031" max="2031" width="9.140625" style="35" customWidth="1"/>
    <col min="2032" max="2268" width="9.140625" style="35"/>
    <col min="2269" max="2269" width="4.42578125" style="35" bestFit="1" customWidth="1"/>
    <col min="2270" max="2270" width="11.42578125" style="35" bestFit="1" customWidth="1"/>
    <col min="2271" max="2271" width="9.42578125" style="35" bestFit="1" customWidth="1"/>
    <col min="2272" max="2272" width="6.42578125" style="35" bestFit="1" customWidth="1"/>
    <col min="2273" max="2273" width="7.7109375" style="35" bestFit="1" customWidth="1"/>
    <col min="2274" max="2275" width="6.42578125" style="35" bestFit="1" customWidth="1"/>
    <col min="2276" max="2276" width="10" style="35" bestFit="1" customWidth="1"/>
    <col min="2277" max="2277" width="7.140625" style="35" customWidth="1"/>
    <col min="2278" max="2278" width="6.7109375" style="35" bestFit="1" customWidth="1"/>
    <col min="2279" max="2279" width="5.42578125" style="35" bestFit="1" customWidth="1"/>
    <col min="2280" max="2280" width="6.28515625" style="35" bestFit="1" customWidth="1"/>
    <col min="2281" max="2281" width="5.42578125" style="35" customWidth="1"/>
    <col min="2282" max="2282" width="6.7109375" style="35" customWidth="1"/>
    <col min="2283" max="2283" width="7.42578125" style="35" customWidth="1"/>
    <col min="2284" max="2284" width="7.140625" style="35" customWidth="1"/>
    <col min="2285" max="2285" width="9.28515625" style="35" customWidth="1"/>
    <col min="2286" max="2286" width="10.7109375" style="35" customWidth="1"/>
    <col min="2287" max="2287" width="9.140625" style="35" customWidth="1"/>
    <col min="2288" max="2524" width="9.140625" style="35"/>
    <col min="2525" max="2525" width="4.42578125" style="35" bestFit="1" customWidth="1"/>
    <col min="2526" max="2526" width="11.42578125" style="35" bestFit="1" customWidth="1"/>
    <col min="2527" max="2527" width="9.42578125" style="35" bestFit="1" customWidth="1"/>
    <col min="2528" max="2528" width="6.42578125" style="35" bestFit="1" customWidth="1"/>
    <col min="2529" max="2529" width="7.7109375" style="35" bestFit="1" customWidth="1"/>
    <col min="2530" max="2531" width="6.42578125" style="35" bestFit="1" customWidth="1"/>
    <col min="2532" max="2532" width="10" style="35" bestFit="1" customWidth="1"/>
    <col min="2533" max="2533" width="7.140625" style="35" customWidth="1"/>
    <col min="2534" max="2534" width="6.7109375" style="35" bestFit="1" customWidth="1"/>
    <col min="2535" max="2535" width="5.42578125" style="35" bestFit="1" customWidth="1"/>
    <col min="2536" max="2536" width="6.28515625" style="35" bestFit="1" customWidth="1"/>
    <col min="2537" max="2537" width="5.42578125" style="35" customWidth="1"/>
    <col min="2538" max="2538" width="6.7109375" style="35" customWidth="1"/>
    <col min="2539" max="2539" width="7.42578125" style="35" customWidth="1"/>
    <col min="2540" max="2540" width="7.140625" style="35" customWidth="1"/>
    <col min="2541" max="2541" width="9.28515625" style="35" customWidth="1"/>
    <col min="2542" max="2542" width="10.7109375" style="35" customWidth="1"/>
    <col min="2543" max="2543" width="9.140625" style="35" customWidth="1"/>
    <col min="2544" max="2780" width="9.140625" style="35"/>
    <col min="2781" max="2781" width="4.42578125" style="35" bestFit="1" customWidth="1"/>
    <col min="2782" max="2782" width="11.42578125" style="35" bestFit="1" customWidth="1"/>
    <col min="2783" max="2783" width="9.42578125" style="35" bestFit="1" customWidth="1"/>
    <col min="2784" max="2784" width="6.42578125" style="35" bestFit="1" customWidth="1"/>
    <col min="2785" max="2785" width="7.7109375" style="35" bestFit="1" customWidth="1"/>
    <col min="2786" max="2787" width="6.42578125" style="35" bestFit="1" customWidth="1"/>
    <col min="2788" max="2788" width="10" style="35" bestFit="1" customWidth="1"/>
    <col min="2789" max="2789" width="7.140625" style="35" customWidth="1"/>
    <col min="2790" max="2790" width="6.7109375" style="35" bestFit="1" customWidth="1"/>
    <col min="2791" max="2791" width="5.42578125" style="35" bestFit="1" customWidth="1"/>
    <col min="2792" max="2792" width="6.28515625" style="35" bestFit="1" customWidth="1"/>
    <col min="2793" max="2793" width="5.42578125" style="35" customWidth="1"/>
    <col min="2794" max="2794" width="6.7109375" style="35" customWidth="1"/>
    <col min="2795" max="2795" width="7.42578125" style="35" customWidth="1"/>
    <col min="2796" max="2796" width="7.140625" style="35" customWidth="1"/>
    <col min="2797" max="2797" width="9.28515625" style="35" customWidth="1"/>
    <col min="2798" max="2798" width="10.7109375" style="35" customWidth="1"/>
    <col min="2799" max="2799" width="9.140625" style="35" customWidth="1"/>
    <col min="2800" max="3036" width="9.140625" style="35"/>
    <col min="3037" max="3037" width="4.42578125" style="35" bestFit="1" customWidth="1"/>
    <col min="3038" max="3038" width="11.42578125" style="35" bestFit="1" customWidth="1"/>
    <col min="3039" max="3039" width="9.42578125" style="35" bestFit="1" customWidth="1"/>
    <col min="3040" max="3040" width="6.42578125" style="35" bestFit="1" customWidth="1"/>
    <col min="3041" max="3041" width="7.7109375" style="35" bestFit="1" customWidth="1"/>
    <col min="3042" max="3043" width="6.42578125" style="35" bestFit="1" customWidth="1"/>
    <col min="3044" max="3044" width="10" style="35" bestFit="1" customWidth="1"/>
    <col min="3045" max="3045" width="7.140625" style="35" customWidth="1"/>
    <col min="3046" max="3046" width="6.7109375" style="35" bestFit="1" customWidth="1"/>
    <col min="3047" max="3047" width="5.42578125" style="35" bestFit="1" customWidth="1"/>
    <col min="3048" max="3048" width="6.28515625" style="35" bestFit="1" customWidth="1"/>
    <col min="3049" max="3049" width="5.42578125" style="35" customWidth="1"/>
    <col min="3050" max="3050" width="6.7109375" style="35" customWidth="1"/>
    <col min="3051" max="3051" width="7.42578125" style="35" customWidth="1"/>
    <col min="3052" max="3052" width="7.140625" style="35" customWidth="1"/>
    <col min="3053" max="3053" width="9.28515625" style="35" customWidth="1"/>
    <col min="3054" max="3054" width="10.7109375" style="35" customWidth="1"/>
    <col min="3055" max="3055" width="9.140625" style="35" customWidth="1"/>
    <col min="3056" max="3292" width="9.140625" style="35"/>
    <col min="3293" max="3293" width="4.42578125" style="35" bestFit="1" customWidth="1"/>
    <col min="3294" max="3294" width="11.42578125" style="35" bestFit="1" customWidth="1"/>
    <col min="3295" max="3295" width="9.42578125" style="35" bestFit="1" customWidth="1"/>
    <col min="3296" max="3296" width="6.42578125" style="35" bestFit="1" customWidth="1"/>
    <col min="3297" max="3297" width="7.7109375" style="35" bestFit="1" customWidth="1"/>
    <col min="3298" max="3299" width="6.42578125" style="35" bestFit="1" customWidth="1"/>
    <col min="3300" max="3300" width="10" style="35" bestFit="1" customWidth="1"/>
    <col min="3301" max="3301" width="7.140625" style="35" customWidth="1"/>
    <col min="3302" max="3302" width="6.7109375" style="35" bestFit="1" customWidth="1"/>
    <col min="3303" max="3303" width="5.42578125" style="35" bestFit="1" customWidth="1"/>
    <col min="3304" max="3304" width="6.28515625" style="35" bestFit="1" customWidth="1"/>
    <col min="3305" max="3305" width="5.42578125" style="35" customWidth="1"/>
    <col min="3306" max="3306" width="6.7109375" style="35" customWidth="1"/>
    <col min="3307" max="3307" width="7.42578125" style="35" customWidth="1"/>
    <col min="3308" max="3308" width="7.140625" style="35" customWidth="1"/>
    <col min="3309" max="3309" width="9.28515625" style="35" customWidth="1"/>
    <col min="3310" max="3310" width="10.7109375" style="35" customWidth="1"/>
    <col min="3311" max="3311" width="9.140625" style="35" customWidth="1"/>
    <col min="3312" max="3548" width="9.140625" style="35"/>
    <col min="3549" max="3549" width="4.42578125" style="35" bestFit="1" customWidth="1"/>
    <col min="3550" max="3550" width="11.42578125" style="35" bestFit="1" customWidth="1"/>
    <col min="3551" max="3551" width="9.42578125" style="35" bestFit="1" customWidth="1"/>
    <col min="3552" max="3552" width="6.42578125" style="35" bestFit="1" customWidth="1"/>
    <col min="3553" max="3553" width="7.7109375" style="35" bestFit="1" customWidth="1"/>
    <col min="3554" max="3555" width="6.42578125" style="35" bestFit="1" customWidth="1"/>
    <col min="3556" max="3556" width="10" style="35" bestFit="1" customWidth="1"/>
    <col min="3557" max="3557" width="7.140625" style="35" customWidth="1"/>
    <col min="3558" max="3558" width="6.7109375" style="35" bestFit="1" customWidth="1"/>
    <col min="3559" max="3559" width="5.42578125" style="35" bestFit="1" customWidth="1"/>
    <col min="3560" max="3560" width="6.28515625" style="35" bestFit="1" customWidth="1"/>
    <col min="3561" max="3561" width="5.42578125" style="35" customWidth="1"/>
    <col min="3562" max="3562" width="6.7109375" style="35" customWidth="1"/>
    <col min="3563" max="3563" width="7.42578125" style="35" customWidth="1"/>
    <col min="3564" max="3564" width="7.140625" style="35" customWidth="1"/>
    <col min="3565" max="3565" width="9.28515625" style="35" customWidth="1"/>
    <col min="3566" max="3566" width="10.7109375" style="35" customWidth="1"/>
    <col min="3567" max="3567" width="9.140625" style="35" customWidth="1"/>
    <col min="3568" max="3804" width="9.140625" style="35"/>
    <col min="3805" max="3805" width="4.42578125" style="35" bestFit="1" customWidth="1"/>
    <col min="3806" max="3806" width="11.42578125" style="35" bestFit="1" customWidth="1"/>
    <col min="3807" max="3807" width="9.42578125" style="35" bestFit="1" customWidth="1"/>
    <col min="3808" max="3808" width="6.42578125" style="35" bestFit="1" customWidth="1"/>
    <col min="3809" max="3809" width="7.7109375" style="35" bestFit="1" customWidth="1"/>
    <col min="3810" max="3811" width="6.42578125" style="35" bestFit="1" customWidth="1"/>
    <col min="3812" max="3812" width="10" style="35" bestFit="1" customWidth="1"/>
    <col min="3813" max="3813" width="7.140625" style="35" customWidth="1"/>
    <col min="3814" max="3814" width="6.7109375" style="35" bestFit="1" customWidth="1"/>
    <col min="3815" max="3815" width="5.42578125" style="35" bestFit="1" customWidth="1"/>
    <col min="3816" max="3816" width="6.28515625" style="35" bestFit="1" customWidth="1"/>
    <col min="3817" max="3817" width="5.42578125" style="35" customWidth="1"/>
    <col min="3818" max="3818" width="6.7109375" style="35" customWidth="1"/>
    <col min="3819" max="3819" width="7.42578125" style="35" customWidth="1"/>
    <col min="3820" max="3820" width="7.140625" style="35" customWidth="1"/>
    <col min="3821" max="3821" width="9.28515625" style="35" customWidth="1"/>
    <col min="3822" max="3822" width="10.7109375" style="35" customWidth="1"/>
    <col min="3823" max="3823" width="9.140625" style="35" customWidth="1"/>
    <col min="3824" max="4060" width="9.140625" style="35"/>
    <col min="4061" max="4061" width="4.42578125" style="35" bestFit="1" customWidth="1"/>
    <col min="4062" max="4062" width="11.42578125" style="35" bestFit="1" customWidth="1"/>
    <col min="4063" max="4063" width="9.42578125" style="35" bestFit="1" customWidth="1"/>
    <col min="4064" max="4064" width="6.42578125" style="35" bestFit="1" customWidth="1"/>
    <col min="4065" max="4065" width="7.7109375" style="35" bestFit="1" customWidth="1"/>
    <col min="4066" max="4067" width="6.42578125" style="35" bestFit="1" customWidth="1"/>
    <col min="4068" max="4068" width="10" style="35" bestFit="1" customWidth="1"/>
    <col min="4069" max="4069" width="7.140625" style="35" customWidth="1"/>
    <col min="4070" max="4070" width="6.7109375" style="35" bestFit="1" customWidth="1"/>
    <col min="4071" max="4071" width="5.42578125" style="35" bestFit="1" customWidth="1"/>
    <col min="4072" max="4072" width="6.28515625" style="35" bestFit="1" customWidth="1"/>
    <col min="4073" max="4073" width="5.42578125" style="35" customWidth="1"/>
    <col min="4074" max="4074" width="6.7109375" style="35" customWidth="1"/>
    <col min="4075" max="4075" width="7.42578125" style="35" customWidth="1"/>
    <col min="4076" max="4076" width="7.140625" style="35" customWidth="1"/>
    <col min="4077" max="4077" width="9.28515625" style="35" customWidth="1"/>
    <col min="4078" max="4078" width="10.7109375" style="35" customWidth="1"/>
    <col min="4079" max="4079" width="9.140625" style="35" customWidth="1"/>
    <col min="4080" max="4316" width="9.140625" style="35"/>
    <col min="4317" max="4317" width="4.42578125" style="35" bestFit="1" customWidth="1"/>
    <col min="4318" max="4318" width="11.42578125" style="35" bestFit="1" customWidth="1"/>
    <col min="4319" max="4319" width="9.42578125" style="35" bestFit="1" customWidth="1"/>
    <col min="4320" max="4320" width="6.42578125" style="35" bestFit="1" customWidth="1"/>
    <col min="4321" max="4321" width="7.7109375" style="35" bestFit="1" customWidth="1"/>
    <col min="4322" max="4323" width="6.42578125" style="35" bestFit="1" customWidth="1"/>
    <col min="4324" max="4324" width="10" style="35" bestFit="1" customWidth="1"/>
    <col min="4325" max="4325" width="7.140625" style="35" customWidth="1"/>
    <col min="4326" max="4326" width="6.7109375" style="35" bestFit="1" customWidth="1"/>
    <col min="4327" max="4327" width="5.42578125" style="35" bestFit="1" customWidth="1"/>
    <col min="4328" max="4328" width="6.28515625" style="35" bestFit="1" customWidth="1"/>
    <col min="4329" max="4329" width="5.42578125" style="35" customWidth="1"/>
    <col min="4330" max="4330" width="6.7109375" style="35" customWidth="1"/>
    <col min="4331" max="4331" width="7.42578125" style="35" customWidth="1"/>
    <col min="4332" max="4332" width="7.140625" style="35" customWidth="1"/>
    <col min="4333" max="4333" width="9.28515625" style="35" customWidth="1"/>
    <col min="4334" max="4334" width="10.7109375" style="35" customWidth="1"/>
    <col min="4335" max="4335" width="9.140625" style="35" customWidth="1"/>
    <col min="4336" max="4572" width="9.140625" style="35"/>
    <col min="4573" max="4573" width="4.42578125" style="35" bestFit="1" customWidth="1"/>
    <col min="4574" max="4574" width="11.42578125" style="35" bestFit="1" customWidth="1"/>
    <col min="4575" max="4575" width="9.42578125" style="35" bestFit="1" customWidth="1"/>
    <col min="4576" max="4576" width="6.42578125" style="35" bestFit="1" customWidth="1"/>
    <col min="4577" max="4577" width="7.7109375" style="35" bestFit="1" customWidth="1"/>
    <col min="4578" max="4579" width="6.42578125" style="35" bestFit="1" customWidth="1"/>
    <col min="4580" max="4580" width="10" style="35" bestFit="1" customWidth="1"/>
    <col min="4581" max="4581" width="7.140625" style="35" customWidth="1"/>
    <col min="4582" max="4582" width="6.7109375" style="35" bestFit="1" customWidth="1"/>
    <col min="4583" max="4583" width="5.42578125" style="35" bestFit="1" customWidth="1"/>
    <col min="4584" max="4584" width="6.28515625" style="35" bestFit="1" customWidth="1"/>
    <col min="4585" max="4585" width="5.42578125" style="35" customWidth="1"/>
    <col min="4586" max="4586" width="6.7109375" style="35" customWidth="1"/>
    <col min="4587" max="4587" width="7.42578125" style="35" customWidth="1"/>
    <col min="4588" max="4588" width="7.140625" style="35" customWidth="1"/>
    <col min="4589" max="4589" width="9.28515625" style="35" customWidth="1"/>
    <col min="4590" max="4590" width="10.7109375" style="35" customWidth="1"/>
    <col min="4591" max="4591" width="9.140625" style="35" customWidth="1"/>
    <col min="4592" max="4828" width="9.140625" style="35"/>
    <col min="4829" max="4829" width="4.42578125" style="35" bestFit="1" customWidth="1"/>
    <col min="4830" max="4830" width="11.42578125" style="35" bestFit="1" customWidth="1"/>
    <col min="4831" max="4831" width="9.42578125" style="35" bestFit="1" customWidth="1"/>
    <col min="4832" max="4832" width="6.42578125" style="35" bestFit="1" customWidth="1"/>
    <col min="4833" max="4833" width="7.7109375" style="35" bestFit="1" customWidth="1"/>
    <col min="4834" max="4835" width="6.42578125" style="35" bestFit="1" customWidth="1"/>
    <col min="4836" max="4836" width="10" style="35" bestFit="1" customWidth="1"/>
    <col min="4837" max="4837" width="7.140625" style="35" customWidth="1"/>
    <col min="4838" max="4838" width="6.7109375" style="35" bestFit="1" customWidth="1"/>
    <col min="4839" max="4839" width="5.42578125" style="35" bestFit="1" customWidth="1"/>
    <col min="4840" max="4840" width="6.28515625" style="35" bestFit="1" customWidth="1"/>
    <col min="4841" max="4841" width="5.42578125" style="35" customWidth="1"/>
    <col min="4842" max="4842" width="6.7109375" style="35" customWidth="1"/>
    <col min="4843" max="4843" width="7.42578125" style="35" customWidth="1"/>
    <col min="4844" max="4844" width="7.140625" style="35" customWidth="1"/>
    <col min="4845" max="4845" width="9.28515625" style="35" customWidth="1"/>
    <col min="4846" max="4846" width="10.7109375" style="35" customWidth="1"/>
    <col min="4847" max="4847" width="9.140625" style="35" customWidth="1"/>
    <col min="4848" max="5084" width="9.140625" style="35"/>
    <col min="5085" max="5085" width="4.42578125" style="35" bestFit="1" customWidth="1"/>
    <col min="5086" max="5086" width="11.42578125" style="35" bestFit="1" customWidth="1"/>
    <col min="5087" max="5087" width="9.42578125" style="35" bestFit="1" customWidth="1"/>
    <col min="5088" max="5088" width="6.42578125" style="35" bestFit="1" customWidth="1"/>
    <col min="5089" max="5089" width="7.7109375" style="35" bestFit="1" customWidth="1"/>
    <col min="5090" max="5091" width="6.42578125" style="35" bestFit="1" customWidth="1"/>
    <col min="5092" max="5092" width="10" style="35" bestFit="1" customWidth="1"/>
    <col min="5093" max="5093" width="7.140625" style="35" customWidth="1"/>
    <col min="5094" max="5094" width="6.7109375" style="35" bestFit="1" customWidth="1"/>
    <col min="5095" max="5095" width="5.42578125" style="35" bestFit="1" customWidth="1"/>
    <col min="5096" max="5096" width="6.28515625" style="35" bestFit="1" customWidth="1"/>
    <col min="5097" max="5097" width="5.42578125" style="35" customWidth="1"/>
    <col min="5098" max="5098" width="6.7109375" style="35" customWidth="1"/>
    <col min="5099" max="5099" width="7.42578125" style="35" customWidth="1"/>
    <col min="5100" max="5100" width="7.140625" style="35" customWidth="1"/>
    <col min="5101" max="5101" width="9.28515625" style="35" customWidth="1"/>
    <col min="5102" max="5102" width="10.7109375" style="35" customWidth="1"/>
    <col min="5103" max="5103" width="9.140625" style="35" customWidth="1"/>
    <col min="5104" max="5340" width="9.140625" style="35"/>
    <col min="5341" max="5341" width="4.42578125" style="35" bestFit="1" customWidth="1"/>
    <col min="5342" max="5342" width="11.42578125" style="35" bestFit="1" customWidth="1"/>
    <col min="5343" max="5343" width="9.42578125" style="35" bestFit="1" customWidth="1"/>
    <col min="5344" max="5344" width="6.42578125" style="35" bestFit="1" customWidth="1"/>
    <col min="5345" max="5345" width="7.7109375" style="35" bestFit="1" customWidth="1"/>
    <col min="5346" max="5347" width="6.42578125" style="35" bestFit="1" customWidth="1"/>
    <col min="5348" max="5348" width="10" style="35" bestFit="1" customWidth="1"/>
    <col min="5349" max="5349" width="7.140625" style="35" customWidth="1"/>
    <col min="5350" max="5350" width="6.7109375" style="35" bestFit="1" customWidth="1"/>
    <col min="5351" max="5351" width="5.42578125" style="35" bestFit="1" customWidth="1"/>
    <col min="5352" max="5352" width="6.28515625" style="35" bestFit="1" customWidth="1"/>
    <col min="5353" max="5353" width="5.42578125" style="35" customWidth="1"/>
    <col min="5354" max="5354" width="6.7109375" style="35" customWidth="1"/>
    <col min="5355" max="5355" width="7.42578125" style="35" customWidth="1"/>
    <col min="5356" max="5356" width="7.140625" style="35" customWidth="1"/>
    <col min="5357" max="5357" width="9.28515625" style="35" customWidth="1"/>
    <col min="5358" max="5358" width="10.7109375" style="35" customWidth="1"/>
    <col min="5359" max="5359" width="9.140625" style="35" customWidth="1"/>
    <col min="5360" max="5596" width="9.140625" style="35"/>
    <col min="5597" max="5597" width="4.42578125" style="35" bestFit="1" customWidth="1"/>
    <col min="5598" max="5598" width="11.42578125" style="35" bestFit="1" customWidth="1"/>
    <col min="5599" max="5599" width="9.42578125" style="35" bestFit="1" customWidth="1"/>
    <col min="5600" max="5600" width="6.42578125" style="35" bestFit="1" customWidth="1"/>
    <col min="5601" max="5601" width="7.7109375" style="35" bestFit="1" customWidth="1"/>
    <col min="5602" max="5603" width="6.42578125" style="35" bestFit="1" customWidth="1"/>
    <col min="5604" max="5604" width="10" style="35" bestFit="1" customWidth="1"/>
    <col min="5605" max="5605" width="7.140625" style="35" customWidth="1"/>
    <col min="5606" max="5606" width="6.7109375" style="35" bestFit="1" customWidth="1"/>
    <col min="5607" max="5607" width="5.42578125" style="35" bestFit="1" customWidth="1"/>
    <col min="5608" max="5608" width="6.28515625" style="35" bestFit="1" customWidth="1"/>
    <col min="5609" max="5609" width="5.42578125" style="35" customWidth="1"/>
    <col min="5610" max="5610" width="6.7109375" style="35" customWidth="1"/>
    <col min="5611" max="5611" width="7.42578125" style="35" customWidth="1"/>
    <col min="5612" max="5612" width="7.140625" style="35" customWidth="1"/>
    <col min="5613" max="5613" width="9.28515625" style="35" customWidth="1"/>
    <col min="5614" max="5614" width="10.7109375" style="35" customWidth="1"/>
    <col min="5615" max="5615" width="9.140625" style="35" customWidth="1"/>
    <col min="5616" max="5852" width="9.140625" style="35"/>
    <col min="5853" max="5853" width="4.42578125" style="35" bestFit="1" customWidth="1"/>
    <col min="5854" max="5854" width="11.42578125" style="35" bestFit="1" customWidth="1"/>
    <col min="5855" max="5855" width="9.42578125" style="35" bestFit="1" customWidth="1"/>
    <col min="5856" max="5856" width="6.42578125" style="35" bestFit="1" customWidth="1"/>
    <col min="5857" max="5857" width="7.7109375" style="35" bestFit="1" customWidth="1"/>
    <col min="5858" max="5859" width="6.42578125" style="35" bestFit="1" customWidth="1"/>
    <col min="5860" max="5860" width="10" style="35" bestFit="1" customWidth="1"/>
    <col min="5861" max="5861" width="7.140625" style="35" customWidth="1"/>
    <col min="5862" max="5862" width="6.7109375" style="35" bestFit="1" customWidth="1"/>
    <col min="5863" max="5863" width="5.42578125" style="35" bestFit="1" customWidth="1"/>
    <col min="5864" max="5864" width="6.28515625" style="35" bestFit="1" customWidth="1"/>
    <col min="5865" max="5865" width="5.42578125" style="35" customWidth="1"/>
    <col min="5866" max="5866" width="6.7109375" style="35" customWidth="1"/>
    <col min="5867" max="5867" width="7.42578125" style="35" customWidth="1"/>
    <col min="5868" max="5868" width="7.140625" style="35" customWidth="1"/>
    <col min="5869" max="5869" width="9.28515625" style="35" customWidth="1"/>
    <col min="5870" max="5870" width="10.7109375" style="35" customWidth="1"/>
    <col min="5871" max="5871" width="9.140625" style="35" customWidth="1"/>
    <col min="5872" max="6108" width="9.140625" style="35"/>
    <col min="6109" max="6109" width="4.42578125" style="35" bestFit="1" customWidth="1"/>
    <col min="6110" max="6110" width="11.42578125" style="35" bestFit="1" customWidth="1"/>
    <col min="6111" max="6111" width="9.42578125" style="35" bestFit="1" customWidth="1"/>
    <col min="6112" max="6112" width="6.42578125" style="35" bestFit="1" customWidth="1"/>
    <col min="6113" max="6113" width="7.7109375" style="35" bestFit="1" customWidth="1"/>
    <col min="6114" max="6115" width="6.42578125" style="35" bestFit="1" customWidth="1"/>
    <col min="6116" max="6116" width="10" style="35" bestFit="1" customWidth="1"/>
    <col min="6117" max="6117" width="7.140625" style="35" customWidth="1"/>
    <col min="6118" max="6118" width="6.7109375" style="35" bestFit="1" customWidth="1"/>
    <col min="6119" max="6119" width="5.42578125" style="35" bestFit="1" customWidth="1"/>
    <col min="6120" max="6120" width="6.28515625" style="35" bestFit="1" customWidth="1"/>
    <col min="6121" max="6121" width="5.42578125" style="35" customWidth="1"/>
    <col min="6122" max="6122" width="6.7109375" style="35" customWidth="1"/>
    <col min="6123" max="6123" width="7.42578125" style="35" customWidth="1"/>
    <col min="6124" max="6124" width="7.140625" style="35" customWidth="1"/>
    <col min="6125" max="6125" width="9.28515625" style="35" customWidth="1"/>
    <col min="6126" max="6126" width="10.7109375" style="35" customWidth="1"/>
    <col min="6127" max="6127" width="9.140625" style="35" customWidth="1"/>
    <col min="6128" max="6364" width="9.140625" style="35"/>
    <col min="6365" max="6365" width="4.42578125" style="35" bestFit="1" customWidth="1"/>
    <col min="6366" max="6366" width="11.42578125" style="35" bestFit="1" customWidth="1"/>
    <col min="6367" max="6367" width="9.42578125" style="35" bestFit="1" customWidth="1"/>
    <col min="6368" max="6368" width="6.42578125" style="35" bestFit="1" customWidth="1"/>
    <col min="6369" max="6369" width="7.7109375" style="35" bestFit="1" customWidth="1"/>
    <col min="6370" max="6371" width="6.42578125" style="35" bestFit="1" customWidth="1"/>
    <col min="6372" max="6372" width="10" style="35" bestFit="1" customWidth="1"/>
    <col min="6373" max="6373" width="7.140625" style="35" customWidth="1"/>
    <col min="6374" max="6374" width="6.7109375" style="35" bestFit="1" customWidth="1"/>
    <col min="6375" max="6375" width="5.42578125" style="35" bestFit="1" customWidth="1"/>
    <col min="6376" max="6376" width="6.28515625" style="35" bestFit="1" customWidth="1"/>
    <col min="6377" max="6377" width="5.42578125" style="35" customWidth="1"/>
    <col min="6378" max="6378" width="6.7109375" style="35" customWidth="1"/>
    <col min="6379" max="6379" width="7.42578125" style="35" customWidth="1"/>
    <col min="6380" max="6380" width="7.140625" style="35" customWidth="1"/>
    <col min="6381" max="6381" width="9.28515625" style="35" customWidth="1"/>
    <col min="6382" max="6382" width="10.7109375" style="35" customWidth="1"/>
    <col min="6383" max="6383" width="9.140625" style="35" customWidth="1"/>
    <col min="6384" max="6620" width="9.140625" style="35"/>
    <col min="6621" max="6621" width="4.42578125" style="35" bestFit="1" customWidth="1"/>
    <col min="6622" max="6622" width="11.42578125" style="35" bestFit="1" customWidth="1"/>
    <col min="6623" max="6623" width="9.42578125" style="35" bestFit="1" customWidth="1"/>
    <col min="6624" max="6624" width="6.42578125" style="35" bestFit="1" customWidth="1"/>
    <col min="6625" max="6625" width="7.7109375" style="35" bestFit="1" customWidth="1"/>
    <col min="6626" max="6627" width="6.42578125" style="35" bestFit="1" customWidth="1"/>
    <col min="6628" max="6628" width="10" style="35" bestFit="1" customWidth="1"/>
    <col min="6629" max="6629" width="7.140625" style="35" customWidth="1"/>
    <col min="6630" max="6630" width="6.7109375" style="35" bestFit="1" customWidth="1"/>
    <col min="6631" max="6631" width="5.42578125" style="35" bestFit="1" customWidth="1"/>
    <col min="6632" max="6632" width="6.28515625" style="35" bestFit="1" customWidth="1"/>
    <col min="6633" max="6633" width="5.42578125" style="35" customWidth="1"/>
    <col min="6634" max="6634" width="6.7109375" style="35" customWidth="1"/>
    <col min="6635" max="6635" width="7.42578125" style="35" customWidth="1"/>
    <col min="6636" max="6636" width="7.140625" style="35" customWidth="1"/>
    <col min="6637" max="6637" width="9.28515625" style="35" customWidth="1"/>
    <col min="6638" max="6638" width="10.7109375" style="35" customWidth="1"/>
    <col min="6639" max="6639" width="9.140625" style="35" customWidth="1"/>
    <col min="6640" max="6876" width="9.140625" style="35"/>
    <col min="6877" max="6877" width="4.42578125" style="35" bestFit="1" customWidth="1"/>
    <col min="6878" max="6878" width="11.42578125" style="35" bestFit="1" customWidth="1"/>
    <col min="6879" max="6879" width="9.42578125" style="35" bestFit="1" customWidth="1"/>
    <col min="6880" max="6880" width="6.42578125" style="35" bestFit="1" customWidth="1"/>
    <col min="6881" max="6881" width="7.7109375" style="35" bestFit="1" customWidth="1"/>
    <col min="6882" max="6883" width="6.42578125" style="35" bestFit="1" customWidth="1"/>
    <col min="6884" max="6884" width="10" style="35" bestFit="1" customWidth="1"/>
    <col min="6885" max="6885" width="7.140625" style="35" customWidth="1"/>
    <col min="6886" max="6886" width="6.7109375" style="35" bestFit="1" customWidth="1"/>
    <col min="6887" max="6887" width="5.42578125" style="35" bestFit="1" customWidth="1"/>
    <col min="6888" max="6888" width="6.28515625" style="35" bestFit="1" customWidth="1"/>
    <col min="6889" max="6889" width="5.42578125" style="35" customWidth="1"/>
    <col min="6890" max="6890" width="6.7109375" style="35" customWidth="1"/>
    <col min="6891" max="6891" width="7.42578125" style="35" customWidth="1"/>
    <col min="6892" max="6892" width="7.140625" style="35" customWidth="1"/>
    <col min="6893" max="6893" width="9.28515625" style="35" customWidth="1"/>
    <col min="6894" max="6894" width="10.7109375" style="35" customWidth="1"/>
    <col min="6895" max="6895" width="9.140625" style="35" customWidth="1"/>
    <col min="6896" max="7132" width="9.140625" style="35"/>
    <col min="7133" max="7133" width="4.42578125" style="35" bestFit="1" customWidth="1"/>
    <col min="7134" max="7134" width="11.42578125" style="35" bestFit="1" customWidth="1"/>
    <col min="7135" max="7135" width="9.42578125" style="35" bestFit="1" customWidth="1"/>
    <col min="7136" max="7136" width="6.42578125" style="35" bestFit="1" customWidth="1"/>
    <col min="7137" max="7137" width="7.7109375" style="35" bestFit="1" customWidth="1"/>
    <col min="7138" max="7139" width="6.42578125" style="35" bestFit="1" customWidth="1"/>
    <col min="7140" max="7140" width="10" style="35" bestFit="1" customWidth="1"/>
    <col min="7141" max="7141" width="7.140625" style="35" customWidth="1"/>
    <col min="7142" max="7142" width="6.7109375" style="35" bestFit="1" customWidth="1"/>
    <col min="7143" max="7143" width="5.42578125" style="35" bestFit="1" customWidth="1"/>
    <col min="7144" max="7144" width="6.28515625" style="35" bestFit="1" customWidth="1"/>
    <col min="7145" max="7145" width="5.42578125" style="35" customWidth="1"/>
    <col min="7146" max="7146" width="6.7109375" style="35" customWidth="1"/>
    <col min="7147" max="7147" width="7.42578125" style="35" customWidth="1"/>
    <col min="7148" max="7148" width="7.140625" style="35" customWidth="1"/>
    <col min="7149" max="7149" width="9.28515625" style="35" customWidth="1"/>
    <col min="7150" max="7150" width="10.7109375" style="35" customWidth="1"/>
    <col min="7151" max="7151" width="9.140625" style="35" customWidth="1"/>
    <col min="7152" max="7388" width="9.140625" style="35"/>
    <col min="7389" max="7389" width="4.42578125" style="35" bestFit="1" customWidth="1"/>
    <col min="7390" max="7390" width="11.42578125" style="35" bestFit="1" customWidth="1"/>
    <col min="7391" max="7391" width="9.42578125" style="35" bestFit="1" customWidth="1"/>
    <col min="7392" max="7392" width="6.42578125" style="35" bestFit="1" customWidth="1"/>
    <col min="7393" max="7393" width="7.7109375" style="35" bestFit="1" customWidth="1"/>
    <col min="7394" max="7395" width="6.42578125" style="35" bestFit="1" customWidth="1"/>
    <col min="7396" max="7396" width="10" style="35" bestFit="1" customWidth="1"/>
    <col min="7397" max="7397" width="7.140625" style="35" customWidth="1"/>
    <col min="7398" max="7398" width="6.7109375" style="35" bestFit="1" customWidth="1"/>
    <col min="7399" max="7399" width="5.42578125" style="35" bestFit="1" customWidth="1"/>
    <col min="7400" max="7400" width="6.28515625" style="35" bestFit="1" customWidth="1"/>
    <col min="7401" max="7401" width="5.42578125" style="35" customWidth="1"/>
    <col min="7402" max="7402" width="6.7109375" style="35" customWidth="1"/>
    <col min="7403" max="7403" width="7.42578125" style="35" customWidth="1"/>
    <col min="7404" max="7404" width="7.140625" style="35" customWidth="1"/>
    <col min="7405" max="7405" width="9.28515625" style="35" customWidth="1"/>
    <col min="7406" max="7406" width="10.7109375" style="35" customWidth="1"/>
    <col min="7407" max="7407" width="9.140625" style="35" customWidth="1"/>
    <col min="7408" max="7644" width="9.140625" style="35"/>
    <col min="7645" max="7645" width="4.42578125" style="35" bestFit="1" customWidth="1"/>
    <col min="7646" max="7646" width="11.42578125" style="35" bestFit="1" customWidth="1"/>
    <col min="7647" max="7647" width="9.42578125" style="35" bestFit="1" customWidth="1"/>
    <col min="7648" max="7648" width="6.42578125" style="35" bestFit="1" customWidth="1"/>
    <col min="7649" max="7649" width="7.7109375" style="35" bestFit="1" customWidth="1"/>
    <col min="7650" max="7651" width="6.42578125" style="35" bestFit="1" customWidth="1"/>
    <col min="7652" max="7652" width="10" style="35" bestFit="1" customWidth="1"/>
    <col min="7653" max="7653" width="7.140625" style="35" customWidth="1"/>
    <col min="7654" max="7654" width="6.7109375" style="35" bestFit="1" customWidth="1"/>
    <col min="7655" max="7655" width="5.42578125" style="35" bestFit="1" customWidth="1"/>
    <col min="7656" max="7656" width="6.28515625" style="35" bestFit="1" customWidth="1"/>
    <col min="7657" max="7657" width="5.42578125" style="35" customWidth="1"/>
    <col min="7658" max="7658" width="6.7109375" style="35" customWidth="1"/>
    <col min="7659" max="7659" width="7.42578125" style="35" customWidth="1"/>
    <col min="7660" max="7660" width="7.140625" style="35" customWidth="1"/>
    <col min="7661" max="7661" width="9.28515625" style="35" customWidth="1"/>
    <col min="7662" max="7662" width="10.7109375" style="35" customWidth="1"/>
    <col min="7663" max="7663" width="9.140625" style="35" customWidth="1"/>
    <col min="7664" max="7900" width="9.140625" style="35"/>
    <col min="7901" max="7901" width="4.42578125" style="35" bestFit="1" customWidth="1"/>
    <col min="7902" max="7902" width="11.42578125" style="35" bestFit="1" customWidth="1"/>
    <col min="7903" max="7903" width="9.42578125" style="35" bestFit="1" customWidth="1"/>
    <col min="7904" max="7904" width="6.42578125" style="35" bestFit="1" customWidth="1"/>
    <col min="7905" max="7905" width="7.7109375" style="35" bestFit="1" customWidth="1"/>
    <col min="7906" max="7907" width="6.42578125" style="35" bestFit="1" customWidth="1"/>
    <col min="7908" max="7908" width="10" style="35" bestFit="1" customWidth="1"/>
    <col min="7909" max="7909" width="7.140625" style="35" customWidth="1"/>
    <col min="7910" max="7910" width="6.7109375" style="35" bestFit="1" customWidth="1"/>
    <col min="7911" max="7911" width="5.42578125" style="35" bestFit="1" customWidth="1"/>
    <col min="7912" max="7912" width="6.28515625" style="35" bestFit="1" customWidth="1"/>
    <col min="7913" max="7913" width="5.42578125" style="35" customWidth="1"/>
    <col min="7914" max="7914" width="6.7109375" style="35" customWidth="1"/>
    <col min="7915" max="7915" width="7.42578125" style="35" customWidth="1"/>
    <col min="7916" max="7916" width="7.140625" style="35" customWidth="1"/>
    <col min="7917" max="7917" width="9.28515625" style="35" customWidth="1"/>
    <col min="7918" max="7918" width="10.7109375" style="35" customWidth="1"/>
    <col min="7919" max="7919" width="9.140625" style="35" customWidth="1"/>
    <col min="7920" max="8156" width="9.140625" style="35"/>
    <col min="8157" max="8157" width="4.42578125" style="35" bestFit="1" customWidth="1"/>
    <col min="8158" max="8158" width="11.42578125" style="35" bestFit="1" customWidth="1"/>
    <col min="8159" max="8159" width="9.42578125" style="35" bestFit="1" customWidth="1"/>
    <col min="8160" max="8160" width="6.42578125" style="35" bestFit="1" customWidth="1"/>
    <col min="8161" max="8161" width="7.7109375" style="35" bestFit="1" customWidth="1"/>
    <col min="8162" max="8163" width="6.42578125" style="35" bestFit="1" customWidth="1"/>
    <col min="8164" max="8164" width="10" style="35" bestFit="1" customWidth="1"/>
    <col min="8165" max="8165" width="7.140625" style="35" customWidth="1"/>
    <col min="8166" max="8166" width="6.7109375" style="35" bestFit="1" customWidth="1"/>
    <col min="8167" max="8167" width="5.42578125" style="35" bestFit="1" customWidth="1"/>
    <col min="8168" max="8168" width="6.28515625" style="35" bestFit="1" customWidth="1"/>
    <col min="8169" max="8169" width="5.42578125" style="35" customWidth="1"/>
    <col min="8170" max="8170" width="6.7109375" style="35" customWidth="1"/>
    <col min="8171" max="8171" width="7.42578125" style="35" customWidth="1"/>
    <col min="8172" max="8172" width="7.140625" style="35" customWidth="1"/>
    <col min="8173" max="8173" width="9.28515625" style="35" customWidth="1"/>
    <col min="8174" max="8174" width="10.7109375" style="35" customWidth="1"/>
    <col min="8175" max="8175" width="9.140625" style="35" customWidth="1"/>
    <col min="8176" max="8412" width="9.140625" style="35"/>
    <col min="8413" max="8413" width="4.42578125" style="35" bestFit="1" customWidth="1"/>
    <col min="8414" max="8414" width="11.42578125" style="35" bestFit="1" customWidth="1"/>
    <col min="8415" max="8415" width="9.42578125" style="35" bestFit="1" customWidth="1"/>
    <col min="8416" max="8416" width="6.42578125" style="35" bestFit="1" customWidth="1"/>
    <col min="8417" max="8417" width="7.7109375" style="35" bestFit="1" customWidth="1"/>
    <col min="8418" max="8419" width="6.42578125" style="35" bestFit="1" customWidth="1"/>
    <col min="8420" max="8420" width="10" style="35" bestFit="1" customWidth="1"/>
    <col min="8421" max="8421" width="7.140625" style="35" customWidth="1"/>
    <col min="8422" max="8422" width="6.7109375" style="35" bestFit="1" customWidth="1"/>
    <col min="8423" max="8423" width="5.42578125" style="35" bestFit="1" customWidth="1"/>
    <col min="8424" max="8424" width="6.28515625" style="35" bestFit="1" customWidth="1"/>
    <col min="8425" max="8425" width="5.42578125" style="35" customWidth="1"/>
    <col min="8426" max="8426" width="6.7109375" style="35" customWidth="1"/>
    <col min="8427" max="8427" width="7.42578125" style="35" customWidth="1"/>
    <col min="8428" max="8428" width="7.140625" style="35" customWidth="1"/>
    <col min="8429" max="8429" width="9.28515625" style="35" customWidth="1"/>
    <col min="8430" max="8430" width="10.7109375" style="35" customWidth="1"/>
    <col min="8431" max="8431" width="9.140625" style="35" customWidth="1"/>
    <col min="8432" max="8668" width="9.140625" style="35"/>
    <col min="8669" max="8669" width="4.42578125" style="35" bestFit="1" customWidth="1"/>
    <col min="8670" max="8670" width="11.42578125" style="35" bestFit="1" customWidth="1"/>
    <col min="8671" max="8671" width="9.42578125" style="35" bestFit="1" customWidth="1"/>
    <col min="8672" max="8672" width="6.42578125" style="35" bestFit="1" customWidth="1"/>
    <col min="8673" max="8673" width="7.7109375" style="35" bestFit="1" customWidth="1"/>
    <col min="8674" max="8675" width="6.42578125" style="35" bestFit="1" customWidth="1"/>
    <col min="8676" max="8676" width="10" style="35" bestFit="1" customWidth="1"/>
    <col min="8677" max="8677" width="7.140625" style="35" customWidth="1"/>
    <col min="8678" max="8678" width="6.7109375" style="35" bestFit="1" customWidth="1"/>
    <col min="8679" max="8679" width="5.42578125" style="35" bestFit="1" customWidth="1"/>
    <col min="8680" max="8680" width="6.28515625" style="35" bestFit="1" customWidth="1"/>
    <col min="8681" max="8681" width="5.42578125" style="35" customWidth="1"/>
    <col min="8682" max="8682" width="6.7109375" style="35" customWidth="1"/>
    <col min="8683" max="8683" width="7.42578125" style="35" customWidth="1"/>
    <col min="8684" max="8684" width="7.140625" style="35" customWidth="1"/>
    <col min="8685" max="8685" width="9.28515625" style="35" customWidth="1"/>
    <col min="8686" max="8686" width="10.7109375" style="35" customWidth="1"/>
    <col min="8687" max="8687" width="9.140625" style="35" customWidth="1"/>
    <col min="8688" max="8924" width="9.140625" style="35"/>
    <col min="8925" max="8925" width="4.42578125" style="35" bestFit="1" customWidth="1"/>
    <col min="8926" max="8926" width="11.42578125" style="35" bestFit="1" customWidth="1"/>
    <col min="8927" max="8927" width="9.42578125" style="35" bestFit="1" customWidth="1"/>
    <col min="8928" max="8928" width="6.42578125" style="35" bestFit="1" customWidth="1"/>
    <col min="8929" max="8929" width="7.7109375" style="35" bestFit="1" customWidth="1"/>
    <col min="8930" max="8931" width="6.42578125" style="35" bestFit="1" customWidth="1"/>
    <col min="8932" max="8932" width="10" style="35" bestFit="1" customWidth="1"/>
    <col min="8933" max="8933" width="7.140625" style="35" customWidth="1"/>
    <col min="8934" max="8934" width="6.7109375" style="35" bestFit="1" customWidth="1"/>
    <col min="8935" max="8935" width="5.42578125" style="35" bestFit="1" customWidth="1"/>
    <col min="8936" max="8936" width="6.28515625" style="35" bestFit="1" customWidth="1"/>
    <col min="8937" max="8937" width="5.42578125" style="35" customWidth="1"/>
    <col min="8938" max="8938" width="6.7109375" style="35" customWidth="1"/>
    <col min="8939" max="8939" width="7.42578125" style="35" customWidth="1"/>
    <col min="8940" max="8940" width="7.140625" style="35" customWidth="1"/>
    <col min="8941" max="8941" width="9.28515625" style="35" customWidth="1"/>
    <col min="8942" max="8942" width="10.7109375" style="35" customWidth="1"/>
    <col min="8943" max="8943" width="9.140625" style="35" customWidth="1"/>
    <col min="8944" max="9180" width="9.140625" style="35"/>
    <col min="9181" max="9181" width="4.42578125" style="35" bestFit="1" customWidth="1"/>
    <col min="9182" max="9182" width="11.42578125" style="35" bestFit="1" customWidth="1"/>
    <col min="9183" max="9183" width="9.42578125" style="35" bestFit="1" customWidth="1"/>
    <col min="9184" max="9184" width="6.42578125" style="35" bestFit="1" customWidth="1"/>
    <col min="9185" max="9185" width="7.7109375" style="35" bestFit="1" customWidth="1"/>
    <col min="9186" max="9187" width="6.42578125" style="35" bestFit="1" customWidth="1"/>
    <col min="9188" max="9188" width="10" style="35" bestFit="1" customWidth="1"/>
    <col min="9189" max="9189" width="7.140625" style="35" customWidth="1"/>
    <col min="9190" max="9190" width="6.7109375" style="35" bestFit="1" customWidth="1"/>
    <col min="9191" max="9191" width="5.42578125" style="35" bestFit="1" customWidth="1"/>
    <col min="9192" max="9192" width="6.28515625" style="35" bestFit="1" customWidth="1"/>
    <col min="9193" max="9193" width="5.42578125" style="35" customWidth="1"/>
    <col min="9194" max="9194" width="6.7109375" style="35" customWidth="1"/>
    <col min="9195" max="9195" width="7.42578125" style="35" customWidth="1"/>
    <col min="9196" max="9196" width="7.140625" style="35" customWidth="1"/>
    <col min="9197" max="9197" width="9.28515625" style="35" customWidth="1"/>
    <col min="9198" max="9198" width="10.7109375" style="35" customWidth="1"/>
    <col min="9199" max="9199" width="9.140625" style="35" customWidth="1"/>
    <col min="9200" max="9436" width="9.140625" style="35"/>
    <col min="9437" max="9437" width="4.42578125" style="35" bestFit="1" customWidth="1"/>
    <col min="9438" max="9438" width="11.42578125" style="35" bestFit="1" customWidth="1"/>
    <col min="9439" max="9439" width="9.42578125" style="35" bestFit="1" customWidth="1"/>
    <col min="9440" max="9440" width="6.42578125" style="35" bestFit="1" customWidth="1"/>
    <col min="9441" max="9441" width="7.7109375" style="35" bestFit="1" customWidth="1"/>
    <col min="9442" max="9443" width="6.42578125" style="35" bestFit="1" customWidth="1"/>
    <col min="9444" max="9444" width="10" style="35" bestFit="1" customWidth="1"/>
    <col min="9445" max="9445" width="7.140625" style="35" customWidth="1"/>
    <col min="9446" max="9446" width="6.7109375" style="35" bestFit="1" customWidth="1"/>
    <col min="9447" max="9447" width="5.42578125" style="35" bestFit="1" customWidth="1"/>
    <col min="9448" max="9448" width="6.28515625" style="35" bestFit="1" customWidth="1"/>
    <col min="9449" max="9449" width="5.42578125" style="35" customWidth="1"/>
    <col min="9450" max="9450" width="6.7109375" style="35" customWidth="1"/>
    <col min="9451" max="9451" width="7.42578125" style="35" customWidth="1"/>
    <col min="9452" max="9452" width="7.140625" style="35" customWidth="1"/>
    <col min="9453" max="9453" width="9.28515625" style="35" customWidth="1"/>
    <col min="9454" max="9454" width="10.7109375" style="35" customWidth="1"/>
    <col min="9455" max="9455" width="9.140625" style="35" customWidth="1"/>
    <col min="9456" max="9692" width="9.140625" style="35"/>
    <col min="9693" max="9693" width="4.42578125" style="35" bestFit="1" customWidth="1"/>
    <col min="9694" max="9694" width="11.42578125" style="35" bestFit="1" customWidth="1"/>
    <col min="9695" max="9695" width="9.42578125" style="35" bestFit="1" customWidth="1"/>
    <col min="9696" max="9696" width="6.42578125" style="35" bestFit="1" customWidth="1"/>
    <col min="9697" max="9697" width="7.7109375" style="35" bestFit="1" customWidth="1"/>
    <col min="9698" max="9699" width="6.42578125" style="35" bestFit="1" customWidth="1"/>
    <col min="9700" max="9700" width="10" style="35" bestFit="1" customWidth="1"/>
    <col min="9701" max="9701" width="7.140625" style="35" customWidth="1"/>
    <col min="9702" max="9702" width="6.7109375" style="35" bestFit="1" customWidth="1"/>
    <col min="9703" max="9703" width="5.42578125" style="35" bestFit="1" customWidth="1"/>
    <col min="9704" max="9704" width="6.28515625" style="35" bestFit="1" customWidth="1"/>
    <col min="9705" max="9705" width="5.42578125" style="35" customWidth="1"/>
    <col min="9706" max="9706" width="6.7109375" style="35" customWidth="1"/>
    <col min="9707" max="9707" width="7.42578125" style="35" customWidth="1"/>
    <col min="9708" max="9708" width="7.140625" style="35" customWidth="1"/>
    <col min="9709" max="9709" width="9.28515625" style="35" customWidth="1"/>
    <col min="9710" max="9710" width="10.7109375" style="35" customWidth="1"/>
    <col min="9711" max="9711" width="9.140625" style="35" customWidth="1"/>
    <col min="9712" max="9948" width="9.140625" style="35"/>
    <col min="9949" max="9949" width="4.42578125" style="35" bestFit="1" customWidth="1"/>
    <col min="9950" max="9950" width="11.42578125" style="35" bestFit="1" customWidth="1"/>
    <col min="9951" max="9951" width="9.42578125" style="35" bestFit="1" customWidth="1"/>
    <col min="9952" max="9952" width="6.42578125" style="35" bestFit="1" customWidth="1"/>
    <col min="9953" max="9953" width="7.7109375" style="35" bestFit="1" customWidth="1"/>
    <col min="9954" max="9955" width="6.42578125" style="35" bestFit="1" customWidth="1"/>
    <col min="9956" max="9956" width="10" style="35" bestFit="1" customWidth="1"/>
    <col min="9957" max="9957" width="7.140625" style="35" customWidth="1"/>
    <col min="9958" max="9958" width="6.7109375" style="35" bestFit="1" customWidth="1"/>
    <col min="9959" max="9959" width="5.42578125" style="35" bestFit="1" customWidth="1"/>
    <col min="9960" max="9960" width="6.28515625" style="35" bestFit="1" customWidth="1"/>
    <col min="9961" max="9961" width="5.42578125" style="35" customWidth="1"/>
    <col min="9962" max="9962" width="6.7109375" style="35" customWidth="1"/>
    <col min="9963" max="9963" width="7.42578125" style="35" customWidth="1"/>
    <col min="9964" max="9964" width="7.140625" style="35" customWidth="1"/>
    <col min="9965" max="9965" width="9.28515625" style="35" customWidth="1"/>
    <col min="9966" max="9966" width="10.7109375" style="35" customWidth="1"/>
    <col min="9967" max="9967" width="9.140625" style="35" customWidth="1"/>
    <col min="9968" max="10204" width="9.140625" style="35"/>
    <col min="10205" max="10205" width="4.42578125" style="35" bestFit="1" customWidth="1"/>
    <col min="10206" max="10206" width="11.42578125" style="35" bestFit="1" customWidth="1"/>
    <col min="10207" max="10207" width="9.42578125" style="35" bestFit="1" customWidth="1"/>
    <col min="10208" max="10208" width="6.42578125" style="35" bestFit="1" customWidth="1"/>
    <col min="10209" max="10209" width="7.7109375" style="35" bestFit="1" customWidth="1"/>
    <col min="10210" max="10211" width="6.42578125" style="35" bestFit="1" customWidth="1"/>
    <col min="10212" max="10212" width="10" style="35" bestFit="1" customWidth="1"/>
    <col min="10213" max="10213" width="7.140625" style="35" customWidth="1"/>
    <col min="10214" max="10214" width="6.7109375" style="35" bestFit="1" customWidth="1"/>
    <col min="10215" max="10215" width="5.42578125" style="35" bestFit="1" customWidth="1"/>
    <col min="10216" max="10216" width="6.28515625" style="35" bestFit="1" customWidth="1"/>
    <col min="10217" max="10217" width="5.42578125" style="35" customWidth="1"/>
    <col min="10218" max="10218" width="6.7109375" style="35" customWidth="1"/>
    <col min="10219" max="10219" width="7.42578125" style="35" customWidth="1"/>
    <col min="10220" max="10220" width="7.140625" style="35" customWidth="1"/>
    <col min="10221" max="10221" width="9.28515625" style="35" customWidth="1"/>
    <col min="10222" max="10222" width="10.7109375" style="35" customWidth="1"/>
    <col min="10223" max="10223" width="9.140625" style="35" customWidth="1"/>
    <col min="10224" max="10460" width="9.140625" style="35"/>
    <col min="10461" max="10461" width="4.42578125" style="35" bestFit="1" customWidth="1"/>
    <col min="10462" max="10462" width="11.42578125" style="35" bestFit="1" customWidth="1"/>
    <col min="10463" max="10463" width="9.42578125" style="35" bestFit="1" customWidth="1"/>
    <col min="10464" max="10464" width="6.42578125" style="35" bestFit="1" customWidth="1"/>
    <col min="10465" max="10465" width="7.7109375" style="35" bestFit="1" customWidth="1"/>
    <col min="10466" max="10467" width="6.42578125" style="35" bestFit="1" customWidth="1"/>
    <col min="10468" max="10468" width="10" style="35" bestFit="1" customWidth="1"/>
    <col min="10469" max="10469" width="7.140625" style="35" customWidth="1"/>
    <col min="10470" max="10470" width="6.7109375" style="35" bestFit="1" customWidth="1"/>
    <col min="10471" max="10471" width="5.42578125" style="35" bestFit="1" customWidth="1"/>
    <col min="10472" max="10472" width="6.28515625" style="35" bestFit="1" customWidth="1"/>
    <col min="10473" max="10473" width="5.42578125" style="35" customWidth="1"/>
    <col min="10474" max="10474" width="6.7109375" style="35" customWidth="1"/>
    <col min="10475" max="10475" width="7.42578125" style="35" customWidth="1"/>
    <col min="10476" max="10476" width="7.140625" style="35" customWidth="1"/>
    <col min="10477" max="10477" width="9.28515625" style="35" customWidth="1"/>
    <col min="10478" max="10478" width="10.7109375" style="35" customWidth="1"/>
    <col min="10479" max="10479" width="9.140625" style="35" customWidth="1"/>
    <col min="10480" max="10716" width="9.140625" style="35"/>
    <col min="10717" max="10717" width="4.42578125" style="35" bestFit="1" customWidth="1"/>
    <col min="10718" max="10718" width="11.42578125" style="35" bestFit="1" customWidth="1"/>
    <col min="10719" max="10719" width="9.42578125" style="35" bestFit="1" customWidth="1"/>
    <col min="10720" max="10720" width="6.42578125" style="35" bestFit="1" customWidth="1"/>
    <col min="10721" max="10721" width="7.7109375" style="35" bestFit="1" customWidth="1"/>
    <col min="10722" max="10723" width="6.42578125" style="35" bestFit="1" customWidth="1"/>
    <col min="10724" max="10724" width="10" style="35" bestFit="1" customWidth="1"/>
    <col min="10725" max="10725" width="7.140625" style="35" customWidth="1"/>
    <col min="10726" max="10726" width="6.7109375" style="35" bestFit="1" customWidth="1"/>
    <col min="10727" max="10727" width="5.42578125" style="35" bestFit="1" customWidth="1"/>
    <col min="10728" max="10728" width="6.28515625" style="35" bestFit="1" customWidth="1"/>
    <col min="10729" max="10729" width="5.42578125" style="35" customWidth="1"/>
    <col min="10730" max="10730" width="6.7109375" style="35" customWidth="1"/>
    <col min="10731" max="10731" width="7.42578125" style="35" customWidth="1"/>
    <col min="10732" max="10732" width="7.140625" style="35" customWidth="1"/>
    <col min="10733" max="10733" width="9.28515625" style="35" customWidth="1"/>
    <col min="10734" max="10734" width="10.7109375" style="35" customWidth="1"/>
    <col min="10735" max="10735" width="9.140625" style="35" customWidth="1"/>
    <col min="10736" max="10972" width="9.140625" style="35"/>
    <col min="10973" max="10973" width="4.42578125" style="35" bestFit="1" customWidth="1"/>
    <col min="10974" max="10974" width="11.42578125" style="35" bestFit="1" customWidth="1"/>
    <col min="10975" max="10975" width="9.42578125" style="35" bestFit="1" customWidth="1"/>
    <col min="10976" max="10976" width="6.42578125" style="35" bestFit="1" customWidth="1"/>
    <col min="10977" max="10977" width="7.7109375" style="35" bestFit="1" customWidth="1"/>
    <col min="10978" max="10979" width="6.42578125" style="35" bestFit="1" customWidth="1"/>
    <col min="10980" max="10980" width="10" style="35" bestFit="1" customWidth="1"/>
    <col min="10981" max="10981" width="7.140625" style="35" customWidth="1"/>
    <col min="10982" max="10982" width="6.7109375" style="35" bestFit="1" customWidth="1"/>
    <col min="10983" max="10983" width="5.42578125" style="35" bestFit="1" customWidth="1"/>
    <col min="10984" max="10984" width="6.28515625" style="35" bestFit="1" customWidth="1"/>
    <col min="10985" max="10985" width="5.42578125" style="35" customWidth="1"/>
    <col min="10986" max="10986" width="6.7109375" style="35" customWidth="1"/>
    <col min="10987" max="10987" width="7.42578125" style="35" customWidth="1"/>
    <col min="10988" max="10988" width="7.140625" style="35" customWidth="1"/>
    <col min="10989" max="10989" width="9.28515625" style="35" customWidth="1"/>
    <col min="10990" max="10990" width="10.7109375" style="35" customWidth="1"/>
    <col min="10991" max="10991" width="9.140625" style="35" customWidth="1"/>
    <col min="10992" max="11228" width="9.140625" style="35"/>
    <col min="11229" max="11229" width="4.42578125" style="35" bestFit="1" customWidth="1"/>
    <col min="11230" max="11230" width="11.42578125" style="35" bestFit="1" customWidth="1"/>
    <col min="11231" max="11231" width="9.42578125" style="35" bestFit="1" customWidth="1"/>
    <col min="11232" max="11232" width="6.42578125" style="35" bestFit="1" customWidth="1"/>
    <col min="11233" max="11233" width="7.7109375" style="35" bestFit="1" customWidth="1"/>
    <col min="11234" max="11235" width="6.42578125" style="35" bestFit="1" customWidth="1"/>
    <col min="11236" max="11236" width="10" style="35" bestFit="1" customWidth="1"/>
    <col min="11237" max="11237" width="7.140625" style="35" customWidth="1"/>
    <col min="11238" max="11238" width="6.7109375" style="35" bestFit="1" customWidth="1"/>
    <col min="11239" max="11239" width="5.42578125" style="35" bestFit="1" customWidth="1"/>
    <col min="11240" max="11240" width="6.28515625" style="35" bestFit="1" customWidth="1"/>
    <col min="11241" max="11241" width="5.42578125" style="35" customWidth="1"/>
    <col min="11242" max="11242" width="6.7109375" style="35" customWidth="1"/>
    <col min="11243" max="11243" width="7.42578125" style="35" customWidth="1"/>
    <col min="11244" max="11244" width="7.140625" style="35" customWidth="1"/>
    <col min="11245" max="11245" width="9.28515625" style="35" customWidth="1"/>
    <col min="11246" max="11246" width="10.7109375" style="35" customWidth="1"/>
    <col min="11247" max="11247" width="9.140625" style="35" customWidth="1"/>
    <col min="11248" max="11484" width="9.140625" style="35"/>
    <col min="11485" max="11485" width="4.42578125" style="35" bestFit="1" customWidth="1"/>
    <col min="11486" max="11486" width="11.42578125" style="35" bestFit="1" customWidth="1"/>
    <col min="11487" max="11487" width="9.42578125" style="35" bestFit="1" customWidth="1"/>
    <col min="11488" max="11488" width="6.42578125" style="35" bestFit="1" customWidth="1"/>
    <col min="11489" max="11489" width="7.7109375" style="35" bestFit="1" customWidth="1"/>
    <col min="11490" max="11491" width="6.42578125" style="35" bestFit="1" customWidth="1"/>
    <col min="11492" max="11492" width="10" style="35" bestFit="1" customWidth="1"/>
    <col min="11493" max="11493" width="7.140625" style="35" customWidth="1"/>
    <col min="11494" max="11494" width="6.7109375" style="35" bestFit="1" customWidth="1"/>
    <col min="11495" max="11495" width="5.42578125" style="35" bestFit="1" customWidth="1"/>
    <col min="11496" max="11496" width="6.28515625" style="35" bestFit="1" customWidth="1"/>
    <col min="11497" max="11497" width="5.42578125" style="35" customWidth="1"/>
    <col min="11498" max="11498" width="6.7109375" style="35" customWidth="1"/>
    <col min="11499" max="11499" width="7.42578125" style="35" customWidth="1"/>
    <col min="11500" max="11500" width="7.140625" style="35" customWidth="1"/>
    <col min="11501" max="11501" width="9.28515625" style="35" customWidth="1"/>
    <col min="11502" max="11502" width="10.7109375" style="35" customWidth="1"/>
    <col min="11503" max="11503" width="9.140625" style="35" customWidth="1"/>
    <col min="11504" max="11740" width="9.140625" style="35"/>
    <col min="11741" max="11741" width="4.42578125" style="35" bestFit="1" customWidth="1"/>
    <col min="11742" max="11742" width="11.42578125" style="35" bestFit="1" customWidth="1"/>
    <col min="11743" max="11743" width="9.42578125" style="35" bestFit="1" customWidth="1"/>
    <col min="11744" max="11744" width="6.42578125" style="35" bestFit="1" customWidth="1"/>
    <col min="11745" max="11745" width="7.7109375" style="35" bestFit="1" customWidth="1"/>
    <col min="11746" max="11747" width="6.42578125" style="35" bestFit="1" customWidth="1"/>
    <col min="11748" max="11748" width="10" style="35" bestFit="1" customWidth="1"/>
    <col min="11749" max="11749" width="7.140625" style="35" customWidth="1"/>
    <col min="11750" max="11750" width="6.7109375" style="35" bestFit="1" customWidth="1"/>
    <col min="11751" max="11751" width="5.42578125" style="35" bestFit="1" customWidth="1"/>
    <col min="11752" max="11752" width="6.28515625" style="35" bestFit="1" customWidth="1"/>
    <col min="11753" max="11753" width="5.42578125" style="35" customWidth="1"/>
    <col min="11754" max="11754" width="6.7109375" style="35" customWidth="1"/>
    <col min="11755" max="11755" width="7.42578125" style="35" customWidth="1"/>
    <col min="11756" max="11756" width="7.140625" style="35" customWidth="1"/>
    <col min="11757" max="11757" width="9.28515625" style="35" customWidth="1"/>
    <col min="11758" max="11758" width="10.7109375" style="35" customWidth="1"/>
    <col min="11759" max="11759" width="9.140625" style="35" customWidth="1"/>
    <col min="11760" max="11996" width="9.140625" style="35"/>
    <col min="11997" max="11997" width="4.42578125" style="35" bestFit="1" customWidth="1"/>
    <col min="11998" max="11998" width="11.42578125" style="35" bestFit="1" customWidth="1"/>
    <col min="11999" max="11999" width="9.42578125" style="35" bestFit="1" customWidth="1"/>
    <col min="12000" max="12000" width="6.42578125" style="35" bestFit="1" customWidth="1"/>
    <col min="12001" max="12001" width="7.7109375" style="35" bestFit="1" customWidth="1"/>
    <col min="12002" max="12003" width="6.42578125" style="35" bestFit="1" customWidth="1"/>
    <col min="12004" max="12004" width="10" style="35" bestFit="1" customWidth="1"/>
    <col min="12005" max="12005" width="7.140625" style="35" customWidth="1"/>
    <col min="12006" max="12006" width="6.7109375" style="35" bestFit="1" customWidth="1"/>
    <col min="12007" max="12007" width="5.42578125" style="35" bestFit="1" customWidth="1"/>
    <col min="12008" max="12008" width="6.28515625" style="35" bestFit="1" customWidth="1"/>
    <col min="12009" max="12009" width="5.42578125" style="35" customWidth="1"/>
    <col min="12010" max="12010" width="6.7109375" style="35" customWidth="1"/>
    <col min="12011" max="12011" width="7.42578125" style="35" customWidth="1"/>
    <col min="12012" max="12012" width="7.140625" style="35" customWidth="1"/>
    <col min="12013" max="12013" width="9.28515625" style="35" customWidth="1"/>
    <col min="12014" max="12014" width="10.7109375" style="35" customWidth="1"/>
    <col min="12015" max="12015" width="9.140625" style="35" customWidth="1"/>
    <col min="12016" max="12252" width="9.140625" style="35"/>
    <col min="12253" max="12253" width="4.42578125" style="35" bestFit="1" customWidth="1"/>
    <col min="12254" max="12254" width="11.42578125" style="35" bestFit="1" customWidth="1"/>
    <col min="12255" max="12255" width="9.42578125" style="35" bestFit="1" customWidth="1"/>
    <col min="12256" max="12256" width="6.42578125" style="35" bestFit="1" customWidth="1"/>
    <col min="12257" max="12257" width="7.7109375" style="35" bestFit="1" customWidth="1"/>
    <col min="12258" max="12259" width="6.42578125" style="35" bestFit="1" customWidth="1"/>
    <col min="12260" max="12260" width="10" style="35" bestFit="1" customWidth="1"/>
    <col min="12261" max="12261" width="7.140625" style="35" customWidth="1"/>
    <col min="12262" max="12262" width="6.7109375" style="35" bestFit="1" customWidth="1"/>
    <col min="12263" max="12263" width="5.42578125" style="35" bestFit="1" customWidth="1"/>
    <col min="12264" max="12264" width="6.28515625" style="35" bestFit="1" customWidth="1"/>
    <col min="12265" max="12265" width="5.42578125" style="35" customWidth="1"/>
    <col min="12266" max="12266" width="6.7109375" style="35" customWidth="1"/>
    <col min="12267" max="12267" width="7.42578125" style="35" customWidth="1"/>
    <col min="12268" max="12268" width="7.140625" style="35" customWidth="1"/>
    <col min="12269" max="12269" width="9.28515625" style="35" customWidth="1"/>
    <col min="12270" max="12270" width="10.7109375" style="35" customWidth="1"/>
    <col min="12271" max="12271" width="9.140625" style="35" customWidth="1"/>
    <col min="12272" max="12508" width="9.140625" style="35"/>
    <col min="12509" max="12509" width="4.42578125" style="35" bestFit="1" customWidth="1"/>
    <col min="12510" max="12510" width="11.42578125" style="35" bestFit="1" customWidth="1"/>
    <col min="12511" max="12511" width="9.42578125" style="35" bestFit="1" customWidth="1"/>
    <col min="12512" max="12512" width="6.42578125" style="35" bestFit="1" customWidth="1"/>
    <col min="12513" max="12513" width="7.7109375" style="35" bestFit="1" customWidth="1"/>
    <col min="12514" max="12515" width="6.42578125" style="35" bestFit="1" customWidth="1"/>
    <col min="12516" max="12516" width="10" style="35" bestFit="1" customWidth="1"/>
    <col min="12517" max="12517" width="7.140625" style="35" customWidth="1"/>
    <col min="12518" max="12518" width="6.7109375" style="35" bestFit="1" customWidth="1"/>
    <col min="12519" max="12519" width="5.42578125" style="35" bestFit="1" customWidth="1"/>
    <col min="12520" max="12520" width="6.28515625" style="35" bestFit="1" customWidth="1"/>
    <col min="12521" max="12521" width="5.42578125" style="35" customWidth="1"/>
    <col min="12522" max="12522" width="6.7109375" style="35" customWidth="1"/>
    <col min="12523" max="12523" width="7.42578125" style="35" customWidth="1"/>
    <col min="12524" max="12524" width="7.140625" style="35" customWidth="1"/>
    <col min="12525" max="12525" width="9.28515625" style="35" customWidth="1"/>
    <col min="12526" max="12526" width="10.7109375" style="35" customWidth="1"/>
    <col min="12527" max="12527" width="9.140625" style="35" customWidth="1"/>
    <col min="12528" max="12764" width="9.140625" style="35"/>
    <col min="12765" max="12765" width="4.42578125" style="35" bestFit="1" customWidth="1"/>
    <col min="12766" max="12766" width="11.42578125" style="35" bestFit="1" customWidth="1"/>
    <col min="12767" max="12767" width="9.42578125" style="35" bestFit="1" customWidth="1"/>
    <col min="12768" max="12768" width="6.42578125" style="35" bestFit="1" customWidth="1"/>
    <col min="12769" max="12769" width="7.7109375" style="35" bestFit="1" customWidth="1"/>
    <col min="12770" max="12771" width="6.42578125" style="35" bestFit="1" customWidth="1"/>
    <col min="12772" max="12772" width="10" style="35" bestFit="1" customWidth="1"/>
    <col min="12773" max="12773" width="7.140625" style="35" customWidth="1"/>
    <col min="12774" max="12774" width="6.7109375" style="35" bestFit="1" customWidth="1"/>
    <col min="12775" max="12775" width="5.42578125" style="35" bestFit="1" customWidth="1"/>
    <col min="12776" max="12776" width="6.28515625" style="35" bestFit="1" customWidth="1"/>
    <col min="12777" max="12777" width="5.42578125" style="35" customWidth="1"/>
    <col min="12778" max="12778" width="6.7109375" style="35" customWidth="1"/>
    <col min="12779" max="12779" width="7.42578125" style="35" customWidth="1"/>
    <col min="12780" max="12780" width="7.140625" style="35" customWidth="1"/>
    <col min="12781" max="12781" width="9.28515625" style="35" customWidth="1"/>
    <col min="12782" max="12782" width="10.7109375" style="35" customWidth="1"/>
    <col min="12783" max="12783" width="9.140625" style="35" customWidth="1"/>
    <col min="12784" max="13020" width="9.140625" style="35"/>
    <col min="13021" max="13021" width="4.42578125" style="35" bestFit="1" customWidth="1"/>
    <col min="13022" max="13022" width="11.42578125" style="35" bestFit="1" customWidth="1"/>
    <col min="13023" max="13023" width="9.42578125" style="35" bestFit="1" customWidth="1"/>
    <col min="13024" max="13024" width="6.42578125" style="35" bestFit="1" customWidth="1"/>
    <col min="13025" max="13025" width="7.7109375" style="35" bestFit="1" customWidth="1"/>
    <col min="13026" max="13027" width="6.42578125" style="35" bestFit="1" customWidth="1"/>
    <col min="13028" max="13028" width="10" style="35" bestFit="1" customWidth="1"/>
    <col min="13029" max="13029" width="7.140625" style="35" customWidth="1"/>
    <col min="13030" max="13030" width="6.7109375" style="35" bestFit="1" customWidth="1"/>
    <col min="13031" max="13031" width="5.42578125" style="35" bestFit="1" customWidth="1"/>
    <col min="13032" max="13032" width="6.28515625" style="35" bestFit="1" customWidth="1"/>
    <col min="13033" max="13033" width="5.42578125" style="35" customWidth="1"/>
    <col min="13034" max="13034" width="6.7109375" style="35" customWidth="1"/>
    <col min="13035" max="13035" width="7.42578125" style="35" customWidth="1"/>
    <col min="13036" max="13036" width="7.140625" style="35" customWidth="1"/>
    <col min="13037" max="13037" width="9.28515625" style="35" customWidth="1"/>
    <col min="13038" max="13038" width="10.7109375" style="35" customWidth="1"/>
    <col min="13039" max="13039" width="9.140625" style="35" customWidth="1"/>
    <col min="13040" max="13276" width="9.140625" style="35"/>
    <col min="13277" max="13277" width="4.42578125" style="35" bestFit="1" customWidth="1"/>
    <col min="13278" max="13278" width="11.42578125" style="35" bestFit="1" customWidth="1"/>
    <col min="13279" max="13279" width="9.42578125" style="35" bestFit="1" customWidth="1"/>
    <col min="13280" max="13280" width="6.42578125" style="35" bestFit="1" customWidth="1"/>
    <col min="13281" max="13281" width="7.7109375" style="35" bestFit="1" customWidth="1"/>
    <col min="13282" max="13283" width="6.42578125" style="35" bestFit="1" customWidth="1"/>
    <col min="13284" max="13284" width="10" style="35" bestFit="1" customWidth="1"/>
    <col min="13285" max="13285" width="7.140625" style="35" customWidth="1"/>
    <col min="13286" max="13286" width="6.7109375" style="35" bestFit="1" customWidth="1"/>
    <col min="13287" max="13287" width="5.42578125" style="35" bestFit="1" customWidth="1"/>
    <col min="13288" max="13288" width="6.28515625" style="35" bestFit="1" customWidth="1"/>
    <col min="13289" max="13289" width="5.42578125" style="35" customWidth="1"/>
    <col min="13290" max="13290" width="6.7109375" style="35" customWidth="1"/>
    <col min="13291" max="13291" width="7.42578125" style="35" customWidth="1"/>
    <col min="13292" max="13292" width="7.140625" style="35" customWidth="1"/>
    <col min="13293" max="13293" width="9.28515625" style="35" customWidth="1"/>
    <col min="13294" max="13294" width="10.7109375" style="35" customWidth="1"/>
    <col min="13295" max="13295" width="9.140625" style="35" customWidth="1"/>
    <col min="13296" max="13532" width="9.140625" style="35"/>
    <col min="13533" max="13533" width="4.42578125" style="35" bestFit="1" customWidth="1"/>
    <col min="13534" max="13534" width="11.42578125" style="35" bestFit="1" customWidth="1"/>
    <col min="13535" max="13535" width="9.42578125" style="35" bestFit="1" customWidth="1"/>
    <col min="13536" max="13536" width="6.42578125" style="35" bestFit="1" customWidth="1"/>
    <col min="13537" max="13537" width="7.7109375" style="35" bestFit="1" customWidth="1"/>
    <col min="13538" max="13539" width="6.42578125" style="35" bestFit="1" customWidth="1"/>
    <col min="13540" max="13540" width="10" style="35" bestFit="1" customWidth="1"/>
    <col min="13541" max="13541" width="7.140625" style="35" customWidth="1"/>
    <col min="13542" max="13542" width="6.7109375" style="35" bestFit="1" customWidth="1"/>
    <col min="13543" max="13543" width="5.42578125" style="35" bestFit="1" customWidth="1"/>
    <col min="13544" max="13544" width="6.28515625" style="35" bestFit="1" customWidth="1"/>
    <col min="13545" max="13545" width="5.42578125" style="35" customWidth="1"/>
    <col min="13546" max="13546" width="6.7109375" style="35" customWidth="1"/>
    <col min="13547" max="13547" width="7.42578125" style="35" customWidth="1"/>
    <col min="13548" max="13548" width="7.140625" style="35" customWidth="1"/>
    <col min="13549" max="13549" width="9.28515625" style="35" customWidth="1"/>
    <col min="13550" max="13550" width="10.7109375" style="35" customWidth="1"/>
    <col min="13551" max="13551" width="9.140625" style="35" customWidth="1"/>
    <col min="13552" max="13788" width="9.140625" style="35"/>
    <col min="13789" max="13789" width="4.42578125" style="35" bestFit="1" customWidth="1"/>
    <col min="13790" max="13790" width="11.42578125" style="35" bestFit="1" customWidth="1"/>
    <col min="13791" max="13791" width="9.42578125" style="35" bestFit="1" customWidth="1"/>
    <col min="13792" max="13792" width="6.42578125" style="35" bestFit="1" customWidth="1"/>
    <col min="13793" max="13793" width="7.7109375" style="35" bestFit="1" customWidth="1"/>
    <col min="13794" max="13795" width="6.42578125" style="35" bestFit="1" customWidth="1"/>
    <col min="13796" max="13796" width="10" style="35" bestFit="1" customWidth="1"/>
    <col min="13797" max="13797" width="7.140625" style="35" customWidth="1"/>
    <col min="13798" max="13798" width="6.7109375" style="35" bestFit="1" customWidth="1"/>
    <col min="13799" max="13799" width="5.42578125" style="35" bestFit="1" customWidth="1"/>
    <col min="13800" max="13800" width="6.28515625" style="35" bestFit="1" customWidth="1"/>
    <col min="13801" max="13801" width="5.42578125" style="35" customWidth="1"/>
    <col min="13802" max="13802" width="6.7109375" style="35" customWidth="1"/>
    <col min="13803" max="13803" width="7.42578125" style="35" customWidth="1"/>
    <col min="13804" max="13804" width="7.140625" style="35" customWidth="1"/>
    <col min="13805" max="13805" width="9.28515625" style="35" customWidth="1"/>
    <col min="13806" max="13806" width="10.7109375" style="35" customWidth="1"/>
    <col min="13807" max="13807" width="9.140625" style="35" customWidth="1"/>
    <col min="13808" max="14044" width="9.140625" style="35"/>
    <col min="14045" max="14045" width="4.42578125" style="35" bestFit="1" customWidth="1"/>
    <col min="14046" max="14046" width="11.42578125" style="35" bestFit="1" customWidth="1"/>
    <col min="14047" max="14047" width="9.42578125" style="35" bestFit="1" customWidth="1"/>
    <col min="14048" max="14048" width="6.42578125" style="35" bestFit="1" customWidth="1"/>
    <col min="14049" max="14049" width="7.7109375" style="35" bestFit="1" customWidth="1"/>
    <col min="14050" max="14051" width="6.42578125" style="35" bestFit="1" customWidth="1"/>
    <col min="14052" max="14052" width="10" style="35" bestFit="1" customWidth="1"/>
    <col min="14053" max="14053" width="7.140625" style="35" customWidth="1"/>
    <col min="14054" max="14054" width="6.7109375" style="35" bestFit="1" customWidth="1"/>
    <col min="14055" max="14055" width="5.42578125" style="35" bestFit="1" customWidth="1"/>
    <col min="14056" max="14056" width="6.28515625" style="35" bestFit="1" customWidth="1"/>
    <col min="14057" max="14057" width="5.42578125" style="35" customWidth="1"/>
    <col min="14058" max="14058" width="6.7109375" style="35" customWidth="1"/>
    <col min="14059" max="14059" width="7.42578125" style="35" customWidth="1"/>
    <col min="14060" max="14060" width="7.140625" style="35" customWidth="1"/>
    <col min="14061" max="14061" width="9.28515625" style="35" customWidth="1"/>
    <col min="14062" max="14062" width="10.7109375" style="35" customWidth="1"/>
    <col min="14063" max="14063" width="9.140625" style="35" customWidth="1"/>
    <col min="14064" max="14300" width="9.140625" style="35"/>
    <col min="14301" max="14301" width="4.42578125" style="35" bestFit="1" customWidth="1"/>
    <col min="14302" max="14302" width="11.42578125" style="35" bestFit="1" customWidth="1"/>
    <col min="14303" max="14303" width="9.42578125" style="35" bestFit="1" customWidth="1"/>
    <col min="14304" max="14304" width="6.42578125" style="35" bestFit="1" customWidth="1"/>
    <col min="14305" max="14305" width="7.7109375" style="35" bestFit="1" customWidth="1"/>
    <col min="14306" max="14307" width="6.42578125" style="35" bestFit="1" customWidth="1"/>
    <col min="14308" max="14308" width="10" style="35" bestFit="1" customWidth="1"/>
    <col min="14309" max="14309" width="7.140625" style="35" customWidth="1"/>
    <col min="14310" max="14310" width="6.7109375" style="35" bestFit="1" customWidth="1"/>
    <col min="14311" max="14311" width="5.42578125" style="35" bestFit="1" customWidth="1"/>
    <col min="14312" max="14312" width="6.28515625" style="35" bestFit="1" customWidth="1"/>
    <col min="14313" max="14313" width="5.42578125" style="35" customWidth="1"/>
    <col min="14314" max="14314" width="6.7109375" style="35" customWidth="1"/>
    <col min="14315" max="14315" width="7.42578125" style="35" customWidth="1"/>
    <col min="14316" max="14316" width="7.140625" style="35" customWidth="1"/>
    <col min="14317" max="14317" width="9.28515625" style="35" customWidth="1"/>
    <col min="14318" max="14318" width="10.7109375" style="35" customWidth="1"/>
    <col min="14319" max="14319" width="9.140625" style="35" customWidth="1"/>
    <col min="14320" max="14556" width="9.140625" style="35"/>
    <col min="14557" max="14557" width="4.42578125" style="35" bestFit="1" customWidth="1"/>
    <col min="14558" max="14558" width="11.42578125" style="35" bestFit="1" customWidth="1"/>
    <col min="14559" max="14559" width="9.42578125" style="35" bestFit="1" customWidth="1"/>
    <col min="14560" max="14560" width="6.42578125" style="35" bestFit="1" customWidth="1"/>
    <col min="14561" max="14561" width="7.7109375" style="35" bestFit="1" customWidth="1"/>
    <col min="14562" max="14563" width="6.42578125" style="35" bestFit="1" customWidth="1"/>
    <col min="14564" max="14564" width="10" style="35" bestFit="1" customWidth="1"/>
    <col min="14565" max="14565" width="7.140625" style="35" customWidth="1"/>
    <col min="14566" max="14566" width="6.7109375" style="35" bestFit="1" customWidth="1"/>
    <col min="14567" max="14567" width="5.42578125" style="35" bestFit="1" customWidth="1"/>
    <col min="14568" max="14568" width="6.28515625" style="35" bestFit="1" customWidth="1"/>
    <col min="14569" max="14569" width="5.42578125" style="35" customWidth="1"/>
    <col min="14570" max="14570" width="6.7109375" style="35" customWidth="1"/>
    <col min="14571" max="14571" width="7.42578125" style="35" customWidth="1"/>
    <col min="14572" max="14572" width="7.140625" style="35" customWidth="1"/>
    <col min="14573" max="14573" width="9.28515625" style="35" customWidth="1"/>
    <col min="14574" max="14574" width="10.7109375" style="35" customWidth="1"/>
    <col min="14575" max="14575" width="9.140625" style="35" customWidth="1"/>
    <col min="14576" max="14812" width="9.140625" style="35"/>
    <col min="14813" max="14813" width="4.42578125" style="35" bestFit="1" customWidth="1"/>
    <col min="14814" max="14814" width="11.42578125" style="35" bestFit="1" customWidth="1"/>
    <col min="14815" max="14815" width="9.42578125" style="35" bestFit="1" customWidth="1"/>
    <col min="14816" max="14816" width="6.42578125" style="35" bestFit="1" customWidth="1"/>
    <col min="14817" max="14817" width="7.7109375" style="35" bestFit="1" customWidth="1"/>
    <col min="14818" max="14819" width="6.42578125" style="35" bestFit="1" customWidth="1"/>
    <col min="14820" max="14820" width="10" style="35" bestFit="1" customWidth="1"/>
    <col min="14821" max="14821" width="7.140625" style="35" customWidth="1"/>
    <col min="14822" max="14822" width="6.7109375" style="35" bestFit="1" customWidth="1"/>
    <col min="14823" max="14823" width="5.42578125" style="35" bestFit="1" customWidth="1"/>
    <col min="14824" max="14824" width="6.28515625" style="35" bestFit="1" customWidth="1"/>
    <col min="14825" max="14825" width="5.42578125" style="35" customWidth="1"/>
    <col min="14826" max="14826" width="6.7109375" style="35" customWidth="1"/>
    <col min="14827" max="14827" width="7.42578125" style="35" customWidth="1"/>
    <col min="14828" max="14828" width="7.140625" style="35" customWidth="1"/>
    <col min="14829" max="14829" width="9.28515625" style="35" customWidth="1"/>
    <col min="14830" max="14830" width="10.7109375" style="35" customWidth="1"/>
    <col min="14831" max="14831" width="9.140625" style="35" customWidth="1"/>
    <col min="14832" max="15068" width="9.140625" style="35"/>
    <col min="15069" max="15069" width="4.42578125" style="35" bestFit="1" customWidth="1"/>
    <col min="15070" max="15070" width="11.42578125" style="35" bestFit="1" customWidth="1"/>
    <col min="15071" max="15071" width="9.42578125" style="35" bestFit="1" customWidth="1"/>
    <col min="15072" max="15072" width="6.42578125" style="35" bestFit="1" customWidth="1"/>
    <col min="15073" max="15073" width="7.7109375" style="35" bestFit="1" customWidth="1"/>
    <col min="15074" max="15075" width="6.42578125" style="35" bestFit="1" customWidth="1"/>
    <col min="15076" max="15076" width="10" style="35" bestFit="1" customWidth="1"/>
    <col min="15077" max="15077" width="7.140625" style="35" customWidth="1"/>
    <col min="15078" max="15078" width="6.7109375" style="35" bestFit="1" customWidth="1"/>
    <col min="15079" max="15079" width="5.42578125" style="35" bestFit="1" customWidth="1"/>
    <col min="15080" max="15080" width="6.28515625" style="35" bestFit="1" customWidth="1"/>
    <col min="15081" max="15081" width="5.42578125" style="35" customWidth="1"/>
    <col min="15082" max="15082" width="6.7109375" style="35" customWidth="1"/>
    <col min="15083" max="15083" width="7.42578125" style="35" customWidth="1"/>
    <col min="15084" max="15084" width="7.140625" style="35" customWidth="1"/>
    <col min="15085" max="15085" width="9.28515625" style="35" customWidth="1"/>
    <col min="15086" max="15086" width="10.7109375" style="35" customWidth="1"/>
    <col min="15087" max="15087" width="9.140625" style="35" customWidth="1"/>
    <col min="15088" max="15324" width="9.140625" style="35"/>
    <col min="15325" max="15325" width="4.42578125" style="35" bestFit="1" customWidth="1"/>
    <col min="15326" max="15326" width="11.42578125" style="35" bestFit="1" customWidth="1"/>
    <col min="15327" max="15327" width="9.42578125" style="35" bestFit="1" customWidth="1"/>
    <col min="15328" max="15328" width="6.42578125" style="35" bestFit="1" customWidth="1"/>
    <col min="15329" max="15329" width="7.7109375" style="35" bestFit="1" customWidth="1"/>
    <col min="15330" max="15331" width="6.42578125" style="35" bestFit="1" customWidth="1"/>
    <col min="15332" max="15332" width="10" style="35" bestFit="1" customWidth="1"/>
    <col min="15333" max="15333" width="7.140625" style="35" customWidth="1"/>
    <col min="15334" max="15334" width="6.7109375" style="35" bestFit="1" customWidth="1"/>
    <col min="15335" max="15335" width="5.42578125" style="35" bestFit="1" customWidth="1"/>
    <col min="15336" max="15336" width="6.28515625" style="35" bestFit="1" customWidth="1"/>
    <col min="15337" max="15337" width="5.42578125" style="35" customWidth="1"/>
    <col min="15338" max="15338" width="6.7109375" style="35" customWidth="1"/>
    <col min="15339" max="15339" width="7.42578125" style="35" customWidth="1"/>
    <col min="15340" max="15340" width="7.140625" style="35" customWidth="1"/>
    <col min="15341" max="15341" width="9.28515625" style="35" customWidth="1"/>
    <col min="15342" max="15342" width="10.7109375" style="35" customWidth="1"/>
    <col min="15343" max="15343" width="9.140625" style="35" customWidth="1"/>
    <col min="15344" max="15580" width="9.140625" style="35"/>
    <col min="15581" max="15581" width="4.42578125" style="35" bestFit="1" customWidth="1"/>
    <col min="15582" max="15582" width="11.42578125" style="35" bestFit="1" customWidth="1"/>
    <col min="15583" max="15583" width="9.42578125" style="35" bestFit="1" customWidth="1"/>
    <col min="15584" max="15584" width="6.42578125" style="35" bestFit="1" customWidth="1"/>
    <col min="15585" max="15585" width="7.7109375" style="35" bestFit="1" customWidth="1"/>
    <col min="15586" max="15587" width="6.42578125" style="35" bestFit="1" customWidth="1"/>
    <col min="15588" max="15588" width="10" style="35" bestFit="1" customWidth="1"/>
    <col min="15589" max="15589" width="7.140625" style="35" customWidth="1"/>
    <col min="15590" max="15590" width="6.7109375" style="35" bestFit="1" customWidth="1"/>
    <col min="15591" max="15591" width="5.42578125" style="35" bestFit="1" customWidth="1"/>
    <col min="15592" max="15592" width="6.28515625" style="35" bestFit="1" customWidth="1"/>
    <col min="15593" max="15593" width="5.42578125" style="35" customWidth="1"/>
    <col min="15594" max="15594" width="6.7109375" style="35" customWidth="1"/>
    <col min="15595" max="15595" width="7.42578125" style="35" customWidth="1"/>
    <col min="15596" max="15596" width="7.140625" style="35" customWidth="1"/>
    <col min="15597" max="15597" width="9.28515625" style="35" customWidth="1"/>
    <col min="15598" max="15598" width="10.7109375" style="35" customWidth="1"/>
    <col min="15599" max="15599" width="9.140625" style="35" customWidth="1"/>
    <col min="15600" max="15836" width="9.140625" style="35"/>
    <col min="15837" max="15837" width="4.42578125" style="35" bestFit="1" customWidth="1"/>
    <col min="15838" max="15838" width="11.42578125" style="35" bestFit="1" customWidth="1"/>
    <col min="15839" max="15839" width="9.42578125" style="35" bestFit="1" customWidth="1"/>
    <col min="15840" max="15840" width="6.42578125" style="35" bestFit="1" customWidth="1"/>
    <col min="15841" max="15841" width="7.7109375" style="35" bestFit="1" customWidth="1"/>
    <col min="15842" max="15843" width="6.42578125" style="35" bestFit="1" customWidth="1"/>
    <col min="15844" max="15844" width="10" style="35" bestFit="1" customWidth="1"/>
    <col min="15845" max="15845" width="7.140625" style="35" customWidth="1"/>
    <col min="15846" max="15846" width="6.7109375" style="35" bestFit="1" customWidth="1"/>
    <col min="15847" max="15847" width="5.42578125" style="35" bestFit="1" customWidth="1"/>
    <col min="15848" max="15848" width="6.28515625" style="35" bestFit="1" customWidth="1"/>
    <col min="15849" max="15849" width="5.42578125" style="35" customWidth="1"/>
    <col min="15850" max="15850" width="6.7109375" style="35" customWidth="1"/>
    <col min="15851" max="15851" width="7.42578125" style="35" customWidth="1"/>
    <col min="15852" max="15852" width="7.140625" style="35" customWidth="1"/>
    <col min="15853" max="15853" width="9.28515625" style="35" customWidth="1"/>
    <col min="15854" max="15854" width="10.7109375" style="35" customWidth="1"/>
    <col min="15855" max="15855" width="9.140625" style="35" customWidth="1"/>
    <col min="15856" max="16092" width="9.140625" style="35"/>
    <col min="16093" max="16093" width="4.42578125" style="35" bestFit="1" customWidth="1"/>
    <col min="16094" max="16094" width="11.42578125" style="35" bestFit="1" customWidth="1"/>
    <col min="16095" max="16095" width="9.42578125" style="35" bestFit="1" customWidth="1"/>
    <col min="16096" max="16096" width="6.42578125" style="35" bestFit="1" customWidth="1"/>
    <col min="16097" max="16097" width="7.7109375" style="35" bestFit="1" customWidth="1"/>
    <col min="16098" max="16099" width="6.42578125" style="35" bestFit="1" customWidth="1"/>
    <col min="16100" max="16100" width="10" style="35" bestFit="1" customWidth="1"/>
    <col min="16101" max="16101" width="7.140625" style="35" customWidth="1"/>
    <col min="16102" max="16102" width="6.7109375" style="35" bestFit="1" customWidth="1"/>
    <col min="16103" max="16103" width="5.42578125" style="35" bestFit="1" customWidth="1"/>
    <col min="16104" max="16104" width="6.28515625" style="35" bestFit="1" customWidth="1"/>
    <col min="16105" max="16105" width="5.42578125" style="35" customWidth="1"/>
    <col min="16106" max="16106" width="6.7109375" style="35" customWidth="1"/>
    <col min="16107" max="16107" width="7.42578125" style="35" customWidth="1"/>
    <col min="16108" max="16108" width="7.140625" style="35" customWidth="1"/>
    <col min="16109" max="16109" width="9.28515625" style="35" customWidth="1"/>
    <col min="16110" max="16110" width="10.7109375" style="35" customWidth="1"/>
    <col min="16111" max="16111" width="9.140625" style="35" customWidth="1"/>
    <col min="16112" max="16348" width="9.140625" style="35"/>
    <col min="16349" max="16384" width="9.140625" style="35" customWidth="1"/>
  </cols>
  <sheetData>
    <row r="1" spans="1:21" s="34" customFormat="1" ht="44.1" customHeight="1">
      <c r="A1" s="56" t="s">
        <v>10</v>
      </c>
      <c r="B1" s="36" t="s">
        <v>11</v>
      </c>
      <c r="C1" s="36" t="s">
        <v>12</v>
      </c>
      <c r="D1" s="52" t="s">
        <v>13</v>
      </c>
      <c r="E1" s="50" t="s">
        <v>14</v>
      </c>
      <c r="F1" s="37" t="s">
        <v>15</v>
      </c>
      <c r="G1" s="37" t="s">
        <v>16</v>
      </c>
      <c r="H1" s="36" t="s">
        <v>17</v>
      </c>
      <c r="I1" s="36" t="s">
        <v>18</v>
      </c>
      <c r="J1" s="36" t="s">
        <v>19</v>
      </c>
      <c r="K1" s="36" t="s">
        <v>20</v>
      </c>
      <c r="L1" s="36" t="s">
        <v>21</v>
      </c>
      <c r="M1" s="36" t="s">
        <v>22</v>
      </c>
      <c r="N1" s="54" t="s">
        <v>23</v>
      </c>
      <c r="O1" s="54" t="s">
        <v>24</v>
      </c>
      <c r="P1" s="54" t="s">
        <v>25</v>
      </c>
      <c r="Q1" s="52" t="s">
        <v>26</v>
      </c>
      <c r="R1" s="36" t="s">
        <v>27</v>
      </c>
      <c r="S1" s="36" t="s">
        <v>28</v>
      </c>
      <c r="T1" s="38" t="s">
        <v>29</v>
      </c>
      <c r="U1" s="38" t="s">
        <v>30</v>
      </c>
    </row>
    <row r="2" spans="1:21" s="88" customFormat="1" ht="14.25">
      <c r="A2" s="83">
        <v>2023</v>
      </c>
      <c r="B2" s="130" t="s">
        <v>271</v>
      </c>
      <c r="C2" s="131">
        <v>31341</v>
      </c>
      <c r="D2" s="132">
        <v>36</v>
      </c>
      <c r="E2" s="133">
        <v>45174</v>
      </c>
      <c r="F2" s="130" t="s">
        <v>41</v>
      </c>
      <c r="G2" s="132" t="s">
        <v>44</v>
      </c>
      <c r="H2" s="132" t="s">
        <v>45</v>
      </c>
      <c r="I2" s="132" t="s">
        <v>44</v>
      </c>
      <c r="J2" s="132" t="s">
        <v>33</v>
      </c>
      <c r="K2" s="130" t="s">
        <v>34</v>
      </c>
      <c r="L2" s="134" t="s">
        <v>35</v>
      </c>
      <c r="M2" s="130" t="s">
        <v>36</v>
      </c>
      <c r="N2" s="134"/>
      <c r="O2" s="134">
        <v>4</v>
      </c>
      <c r="P2" s="134">
        <v>4</v>
      </c>
      <c r="Q2" s="87">
        <v>0</v>
      </c>
      <c r="R2" s="88" t="s">
        <v>37</v>
      </c>
      <c r="T2" s="88" t="s">
        <v>50</v>
      </c>
      <c r="U2" s="88" t="s">
        <v>50</v>
      </c>
    </row>
    <row r="3" spans="1:21" s="88" customFormat="1" ht="14.25">
      <c r="A3" s="83">
        <v>2023</v>
      </c>
      <c r="B3" s="130" t="s">
        <v>272</v>
      </c>
      <c r="C3" s="131">
        <v>31342</v>
      </c>
      <c r="D3" s="132">
        <v>36</v>
      </c>
      <c r="E3" s="133">
        <v>45174</v>
      </c>
      <c r="F3" s="130" t="s">
        <v>41</v>
      </c>
      <c r="G3" s="132" t="s">
        <v>44</v>
      </c>
      <c r="H3" s="132" t="s">
        <v>47</v>
      </c>
      <c r="I3" s="132" t="s">
        <v>44</v>
      </c>
      <c r="J3" s="132" t="s">
        <v>33</v>
      </c>
      <c r="K3" s="130" t="s">
        <v>34</v>
      </c>
      <c r="L3" s="134" t="s">
        <v>35</v>
      </c>
      <c r="M3" s="130" t="s">
        <v>36</v>
      </c>
      <c r="N3" s="134"/>
      <c r="O3" s="134">
        <v>20</v>
      </c>
      <c r="P3" s="134">
        <v>20</v>
      </c>
      <c r="Q3" s="87">
        <v>0</v>
      </c>
      <c r="R3" s="88" t="s">
        <v>37</v>
      </c>
      <c r="T3" s="88" t="s">
        <v>50</v>
      </c>
      <c r="U3" s="88" t="s">
        <v>50</v>
      </c>
    </row>
    <row r="4" spans="1:21" s="88" customFormat="1" ht="14.25">
      <c r="A4" s="83">
        <v>2023</v>
      </c>
      <c r="B4" s="130" t="s">
        <v>273</v>
      </c>
      <c r="C4" s="131">
        <v>31343</v>
      </c>
      <c r="D4" s="132">
        <v>36</v>
      </c>
      <c r="E4" s="133">
        <v>45174</v>
      </c>
      <c r="F4" s="130" t="s">
        <v>41</v>
      </c>
      <c r="G4" s="132" t="s">
        <v>44</v>
      </c>
      <c r="H4" s="132" t="s">
        <v>47</v>
      </c>
      <c r="I4" s="132" t="s">
        <v>44</v>
      </c>
      <c r="J4" s="132" t="s">
        <v>33</v>
      </c>
      <c r="K4" s="130" t="s">
        <v>34</v>
      </c>
      <c r="L4" s="134" t="s">
        <v>43</v>
      </c>
      <c r="M4" s="130" t="s">
        <v>36</v>
      </c>
      <c r="N4" s="134"/>
      <c r="O4" s="134">
        <v>24</v>
      </c>
      <c r="P4" s="134">
        <v>24</v>
      </c>
      <c r="Q4" s="87">
        <v>0</v>
      </c>
      <c r="R4" s="88" t="s">
        <v>37</v>
      </c>
      <c r="T4" s="88" t="s">
        <v>46</v>
      </c>
      <c r="U4" s="88" t="s">
        <v>46</v>
      </c>
    </row>
    <row r="5" spans="1:21" s="88" customFormat="1" ht="14.25">
      <c r="A5" s="83">
        <v>2023</v>
      </c>
      <c r="B5" s="130" t="s">
        <v>274</v>
      </c>
      <c r="C5" s="131">
        <v>31344</v>
      </c>
      <c r="D5" s="132">
        <v>36</v>
      </c>
      <c r="E5" s="133">
        <v>45174</v>
      </c>
      <c r="F5" s="130" t="s">
        <v>41</v>
      </c>
      <c r="G5" s="132" t="s">
        <v>52</v>
      </c>
      <c r="H5" s="132" t="s">
        <v>56</v>
      </c>
      <c r="I5" s="132" t="s">
        <v>53</v>
      </c>
      <c r="J5" s="132" t="s">
        <v>33</v>
      </c>
      <c r="K5" s="130" t="s">
        <v>34</v>
      </c>
      <c r="L5" s="134" t="s">
        <v>35</v>
      </c>
      <c r="M5" s="130" t="s">
        <v>36</v>
      </c>
      <c r="N5" s="134"/>
      <c r="O5" s="134">
        <v>1</v>
      </c>
      <c r="P5" s="134">
        <v>1</v>
      </c>
      <c r="Q5" s="87">
        <v>0</v>
      </c>
      <c r="R5" s="88" t="s">
        <v>37</v>
      </c>
      <c r="T5" s="88" t="s">
        <v>67</v>
      </c>
      <c r="U5" s="88" t="s">
        <v>68</v>
      </c>
    </row>
    <row r="6" spans="1:21" s="88" customFormat="1" ht="14.25">
      <c r="A6" s="83">
        <v>2023</v>
      </c>
      <c r="B6" s="130" t="s">
        <v>275</v>
      </c>
      <c r="C6" s="131">
        <v>31345</v>
      </c>
      <c r="D6" s="132">
        <v>36</v>
      </c>
      <c r="E6" s="133">
        <v>45174</v>
      </c>
      <c r="F6" s="130" t="s">
        <v>41</v>
      </c>
      <c r="G6" s="132" t="s">
        <v>52</v>
      </c>
      <c r="H6" s="132" t="s">
        <v>69</v>
      </c>
      <c r="I6" s="132" t="s">
        <v>53</v>
      </c>
      <c r="J6" s="132" t="s">
        <v>33</v>
      </c>
      <c r="K6" s="130" t="s">
        <v>34</v>
      </c>
      <c r="L6" s="134" t="s">
        <v>35</v>
      </c>
      <c r="M6" s="130" t="s">
        <v>36</v>
      </c>
      <c r="N6" s="134"/>
      <c r="O6" s="134">
        <v>2</v>
      </c>
      <c r="P6" s="134">
        <v>2</v>
      </c>
      <c r="Q6" s="87">
        <v>0</v>
      </c>
      <c r="R6" s="88" t="s">
        <v>37</v>
      </c>
      <c r="T6" s="88" t="s">
        <v>67</v>
      </c>
      <c r="U6" s="88" t="s">
        <v>68</v>
      </c>
    </row>
    <row r="7" spans="1:21" s="88" customFormat="1" ht="14.25">
      <c r="A7" s="83">
        <v>2023</v>
      </c>
      <c r="B7" s="130" t="s">
        <v>276</v>
      </c>
      <c r="C7" s="131">
        <v>31346</v>
      </c>
      <c r="D7" s="132">
        <v>36</v>
      </c>
      <c r="E7" s="133">
        <v>45174</v>
      </c>
      <c r="F7" s="130" t="s">
        <v>41</v>
      </c>
      <c r="G7" s="132" t="s">
        <v>52</v>
      </c>
      <c r="H7" s="132" t="s">
        <v>57</v>
      </c>
      <c r="I7" s="132" t="s">
        <v>53</v>
      </c>
      <c r="J7" s="132" t="s">
        <v>58</v>
      </c>
      <c r="K7" s="130" t="s">
        <v>34</v>
      </c>
      <c r="L7" s="134" t="s">
        <v>43</v>
      </c>
      <c r="M7" s="130" t="s">
        <v>36</v>
      </c>
      <c r="N7" s="134">
        <v>7</v>
      </c>
      <c r="O7" s="134"/>
      <c r="P7" s="134">
        <v>7</v>
      </c>
      <c r="Q7" s="87">
        <v>0</v>
      </c>
      <c r="R7" s="88" t="s">
        <v>37</v>
      </c>
      <c r="T7" s="88" t="s">
        <v>54</v>
      </c>
      <c r="U7" s="88" t="s">
        <v>55</v>
      </c>
    </row>
    <row r="8" spans="1:21" s="88" customFormat="1" ht="14.25">
      <c r="A8" s="83">
        <v>2023</v>
      </c>
      <c r="B8" s="130" t="s">
        <v>277</v>
      </c>
      <c r="C8" s="131">
        <v>31347</v>
      </c>
      <c r="D8" s="132">
        <v>36</v>
      </c>
      <c r="E8" s="133">
        <v>45174</v>
      </c>
      <c r="F8" s="130" t="s">
        <v>41</v>
      </c>
      <c r="G8" s="132" t="s">
        <v>52</v>
      </c>
      <c r="H8" s="132" t="s">
        <v>60</v>
      </c>
      <c r="I8" s="132" t="s">
        <v>53</v>
      </c>
      <c r="J8" s="132" t="s">
        <v>58</v>
      </c>
      <c r="K8" s="130" t="s">
        <v>34</v>
      </c>
      <c r="L8" s="134" t="s">
        <v>43</v>
      </c>
      <c r="M8" s="130" t="s">
        <v>36</v>
      </c>
      <c r="N8" s="134">
        <v>7</v>
      </c>
      <c r="O8" s="134"/>
      <c r="P8" s="134">
        <v>7</v>
      </c>
      <c r="Q8" s="87">
        <v>0</v>
      </c>
      <c r="R8" s="88" t="s">
        <v>37</v>
      </c>
      <c r="T8" s="88" t="s">
        <v>54</v>
      </c>
      <c r="U8" s="88" t="s">
        <v>55</v>
      </c>
    </row>
    <row r="9" spans="1:21" s="88" customFormat="1" ht="14.25">
      <c r="A9" s="83">
        <v>2023</v>
      </c>
      <c r="B9" s="130" t="s">
        <v>278</v>
      </c>
      <c r="C9" s="131">
        <v>31348</v>
      </c>
      <c r="D9" s="132">
        <v>36</v>
      </c>
      <c r="E9" s="133">
        <v>45174</v>
      </c>
      <c r="F9" s="130" t="s">
        <v>41</v>
      </c>
      <c r="G9" s="132" t="s">
        <v>52</v>
      </c>
      <c r="H9" s="132" t="s">
        <v>61</v>
      </c>
      <c r="I9" s="132" t="s">
        <v>53</v>
      </c>
      <c r="J9" s="132" t="s">
        <v>33</v>
      </c>
      <c r="K9" s="130" t="s">
        <v>34</v>
      </c>
      <c r="L9" s="134" t="s">
        <v>35</v>
      </c>
      <c r="M9" s="130" t="s">
        <v>36</v>
      </c>
      <c r="N9" s="134"/>
      <c r="O9" s="134">
        <v>6</v>
      </c>
      <c r="P9" s="134">
        <v>6</v>
      </c>
      <c r="Q9" s="87">
        <v>0</v>
      </c>
      <c r="R9" s="88" t="s">
        <v>37</v>
      </c>
      <c r="T9" s="88" t="s">
        <v>67</v>
      </c>
      <c r="U9" s="88" t="s">
        <v>68</v>
      </c>
    </row>
    <row r="10" spans="1:21" s="88" customFormat="1" ht="14.25">
      <c r="A10" s="83">
        <v>2023</v>
      </c>
      <c r="B10" s="130" t="s">
        <v>279</v>
      </c>
      <c r="C10" s="131">
        <v>31349</v>
      </c>
      <c r="D10" s="132">
        <v>36</v>
      </c>
      <c r="E10" s="133">
        <v>45174</v>
      </c>
      <c r="F10" s="130" t="s">
        <v>41</v>
      </c>
      <c r="G10" s="132" t="s">
        <v>52</v>
      </c>
      <c r="H10" s="132" t="s">
        <v>61</v>
      </c>
      <c r="I10" s="132" t="s">
        <v>53</v>
      </c>
      <c r="J10" s="132" t="s">
        <v>33</v>
      </c>
      <c r="K10" s="130" t="s">
        <v>34</v>
      </c>
      <c r="L10" s="134" t="s">
        <v>43</v>
      </c>
      <c r="M10" s="130" t="s">
        <v>36</v>
      </c>
      <c r="N10" s="134"/>
      <c r="O10" s="134">
        <v>2</v>
      </c>
      <c r="P10" s="134">
        <v>2</v>
      </c>
      <c r="Q10" s="87">
        <v>0</v>
      </c>
      <c r="R10" s="88" t="s">
        <v>37</v>
      </c>
      <c r="T10" s="88" t="s">
        <v>54</v>
      </c>
      <c r="U10" s="88" t="s">
        <v>55</v>
      </c>
    </row>
    <row r="11" spans="1:21" s="88" customFormat="1" ht="14.25">
      <c r="A11" s="83">
        <v>2023</v>
      </c>
      <c r="B11" s="130" t="s">
        <v>280</v>
      </c>
      <c r="C11" s="131">
        <v>31350</v>
      </c>
      <c r="D11" s="132">
        <v>36</v>
      </c>
      <c r="E11" s="133">
        <v>45174</v>
      </c>
      <c r="F11" s="130" t="s">
        <v>41</v>
      </c>
      <c r="G11" s="132" t="s">
        <v>52</v>
      </c>
      <c r="H11" s="132" t="s">
        <v>59</v>
      </c>
      <c r="I11" s="132" t="s">
        <v>53</v>
      </c>
      <c r="J11" s="132" t="s">
        <v>33</v>
      </c>
      <c r="K11" s="130" t="s">
        <v>34</v>
      </c>
      <c r="L11" s="134" t="s">
        <v>35</v>
      </c>
      <c r="M11" s="130" t="s">
        <v>36</v>
      </c>
      <c r="N11" s="134"/>
      <c r="O11" s="134">
        <v>2</v>
      </c>
      <c r="P11" s="134">
        <v>2</v>
      </c>
      <c r="Q11" s="87">
        <v>0</v>
      </c>
      <c r="R11" s="88" t="s">
        <v>37</v>
      </c>
      <c r="T11" s="88" t="s">
        <v>67</v>
      </c>
      <c r="U11" s="88" t="s">
        <v>68</v>
      </c>
    </row>
    <row r="12" spans="1:21" s="88" customFormat="1" ht="14.25">
      <c r="A12" s="83">
        <v>2023</v>
      </c>
      <c r="B12" s="130" t="s">
        <v>281</v>
      </c>
      <c r="C12" s="131">
        <v>31351</v>
      </c>
      <c r="D12" s="132">
        <v>36</v>
      </c>
      <c r="E12" s="133">
        <v>45174</v>
      </c>
      <c r="F12" s="130" t="s">
        <v>41</v>
      </c>
      <c r="G12" s="132" t="s">
        <v>52</v>
      </c>
      <c r="H12" s="132" t="s">
        <v>59</v>
      </c>
      <c r="I12" s="132" t="s">
        <v>53</v>
      </c>
      <c r="J12" s="132" t="s">
        <v>33</v>
      </c>
      <c r="K12" s="130" t="s">
        <v>34</v>
      </c>
      <c r="L12" s="134" t="s">
        <v>43</v>
      </c>
      <c r="M12" s="130" t="s">
        <v>36</v>
      </c>
      <c r="N12" s="134"/>
      <c r="O12" s="134">
        <v>13</v>
      </c>
      <c r="P12" s="134">
        <v>13</v>
      </c>
      <c r="Q12" s="87">
        <v>0</v>
      </c>
      <c r="R12" s="88" t="s">
        <v>37</v>
      </c>
      <c r="T12" s="88" t="s">
        <v>54</v>
      </c>
      <c r="U12" s="88" t="s">
        <v>55</v>
      </c>
    </row>
    <row r="13" spans="1:21" s="88" customFormat="1" ht="14.25">
      <c r="A13" s="83">
        <v>2023</v>
      </c>
      <c r="B13" s="130" t="s">
        <v>282</v>
      </c>
      <c r="C13" s="131">
        <v>31352</v>
      </c>
      <c r="D13" s="132">
        <v>36</v>
      </c>
      <c r="E13" s="133">
        <v>45174</v>
      </c>
      <c r="F13" s="130" t="s">
        <v>41</v>
      </c>
      <c r="G13" s="132" t="s">
        <v>52</v>
      </c>
      <c r="H13" s="132" t="s">
        <v>62</v>
      </c>
      <c r="I13" s="132" t="s">
        <v>53</v>
      </c>
      <c r="J13" s="132" t="s">
        <v>58</v>
      </c>
      <c r="K13" s="130" t="s">
        <v>34</v>
      </c>
      <c r="L13" s="134" t="s">
        <v>43</v>
      </c>
      <c r="M13" s="130" t="s">
        <v>36</v>
      </c>
      <c r="N13" s="134">
        <v>7</v>
      </c>
      <c r="O13" s="134"/>
      <c r="P13" s="134">
        <v>7</v>
      </c>
      <c r="Q13" s="87">
        <v>0</v>
      </c>
      <c r="R13" s="88" t="s">
        <v>37</v>
      </c>
      <c r="T13" s="88" t="s">
        <v>54</v>
      </c>
      <c r="U13" s="88" t="s">
        <v>55</v>
      </c>
    </row>
    <row r="14" spans="1:21" s="88" customFormat="1" ht="14.25">
      <c r="A14" s="83">
        <v>2023</v>
      </c>
      <c r="B14" s="130" t="s">
        <v>283</v>
      </c>
      <c r="C14" s="131">
        <v>31353</v>
      </c>
      <c r="D14" s="132">
        <v>36</v>
      </c>
      <c r="E14" s="133">
        <v>45174</v>
      </c>
      <c r="F14" s="130" t="s">
        <v>41</v>
      </c>
      <c r="G14" s="132" t="s">
        <v>52</v>
      </c>
      <c r="H14" s="132" t="s">
        <v>63</v>
      </c>
      <c r="I14" s="132" t="s">
        <v>53</v>
      </c>
      <c r="J14" s="132" t="s">
        <v>33</v>
      </c>
      <c r="K14" s="130" t="s">
        <v>34</v>
      </c>
      <c r="L14" s="134" t="s">
        <v>35</v>
      </c>
      <c r="M14" s="130" t="s">
        <v>36</v>
      </c>
      <c r="N14" s="134"/>
      <c r="O14" s="134">
        <v>6</v>
      </c>
      <c r="P14" s="134">
        <v>6</v>
      </c>
      <c r="Q14" s="87">
        <v>0</v>
      </c>
      <c r="R14" s="88" t="s">
        <v>37</v>
      </c>
      <c r="T14" s="88" t="s">
        <v>67</v>
      </c>
      <c r="U14" s="88" t="s">
        <v>68</v>
      </c>
    </row>
    <row r="15" spans="1:21" s="88" customFormat="1" ht="14.25">
      <c r="A15" s="83">
        <v>2023</v>
      </c>
      <c r="B15" s="130" t="s">
        <v>284</v>
      </c>
      <c r="C15" s="131">
        <v>31354</v>
      </c>
      <c r="D15" s="132">
        <v>36</v>
      </c>
      <c r="E15" s="133">
        <v>45174</v>
      </c>
      <c r="F15" s="130" t="s">
        <v>41</v>
      </c>
      <c r="G15" s="132" t="s">
        <v>52</v>
      </c>
      <c r="H15" s="132" t="s">
        <v>63</v>
      </c>
      <c r="I15" s="132" t="s">
        <v>53</v>
      </c>
      <c r="J15" s="132" t="s">
        <v>33</v>
      </c>
      <c r="K15" s="130" t="s">
        <v>34</v>
      </c>
      <c r="L15" s="134" t="s">
        <v>43</v>
      </c>
      <c r="M15" s="130" t="s">
        <v>36</v>
      </c>
      <c r="N15" s="134"/>
      <c r="O15" s="134">
        <v>9</v>
      </c>
      <c r="P15" s="134">
        <v>9</v>
      </c>
      <c r="Q15" s="87">
        <v>0</v>
      </c>
      <c r="R15" s="88" t="s">
        <v>37</v>
      </c>
      <c r="T15" s="88" t="s">
        <v>54</v>
      </c>
      <c r="U15" s="88" t="s">
        <v>55</v>
      </c>
    </row>
    <row r="16" spans="1:21" s="88" customFormat="1" ht="14.25">
      <c r="A16" s="83">
        <v>2023</v>
      </c>
      <c r="B16" s="130" t="s">
        <v>285</v>
      </c>
      <c r="C16" s="131">
        <v>31355</v>
      </c>
      <c r="D16" s="132">
        <v>36</v>
      </c>
      <c r="E16" s="133">
        <v>45174</v>
      </c>
      <c r="F16" s="130" t="s">
        <v>41</v>
      </c>
      <c r="G16" s="132" t="s">
        <v>52</v>
      </c>
      <c r="H16" s="132" t="s">
        <v>64</v>
      </c>
      <c r="I16" s="132" t="s">
        <v>53</v>
      </c>
      <c r="J16" s="132" t="s">
        <v>58</v>
      </c>
      <c r="K16" s="130" t="s">
        <v>34</v>
      </c>
      <c r="L16" s="134" t="s">
        <v>43</v>
      </c>
      <c r="M16" s="130" t="s">
        <v>36</v>
      </c>
      <c r="N16" s="134">
        <v>3</v>
      </c>
      <c r="O16" s="134"/>
      <c r="P16" s="134">
        <v>3</v>
      </c>
      <c r="Q16" s="87">
        <v>0</v>
      </c>
      <c r="R16" s="88" t="s">
        <v>37</v>
      </c>
      <c r="T16" s="88" t="s">
        <v>54</v>
      </c>
      <c r="U16" s="88" t="s">
        <v>55</v>
      </c>
    </row>
    <row r="17" spans="1:21" s="88" customFormat="1" ht="14.25">
      <c r="A17" s="83">
        <v>2023</v>
      </c>
      <c r="B17" s="130" t="s">
        <v>286</v>
      </c>
      <c r="C17" s="131">
        <v>31356</v>
      </c>
      <c r="D17" s="132">
        <v>36</v>
      </c>
      <c r="E17" s="133">
        <v>45174</v>
      </c>
      <c r="F17" s="130" t="s">
        <v>41</v>
      </c>
      <c r="G17" s="132" t="s">
        <v>52</v>
      </c>
      <c r="H17" s="132" t="s">
        <v>65</v>
      </c>
      <c r="I17" s="132" t="s">
        <v>53</v>
      </c>
      <c r="J17" s="132" t="s">
        <v>33</v>
      </c>
      <c r="K17" s="130" t="s">
        <v>34</v>
      </c>
      <c r="L17" s="134" t="s">
        <v>43</v>
      </c>
      <c r="M17" s="130" t="s">
        <v>36</v>
      </c>
      <c r="N17" s="134"/>
      <c r="O17" s="134">
        <v>1</v>
      </c>
      <c r="P17" s="134">
        <v>1</v>
      </c>
      <c r="Q17" s="87">
        <v>0</v>
      </c>
      <c r="R17" s="88" t="s">
        <v>37</v>
      </c>
      <c r="T17" s="88" t="s">
        <v>54</v>
      </c>
      <c r="U17" s="88" t="s">
        <v>55</v>
      </c>
    </row>
    <row r="18" spans="1:21" s="88" customFormat="1" ht="14.25">
      <c r="A18" s="83">
        <v>2023</v>
      </c>
      <c r="B18" s="130" t="s">
        <v>287</v>
      </c>
      <c r="C18" s="131">
        <v>31357</v>
      </c>
      <c r="D18" s="132">
        <v>36</v>
      </c>
      <c r="E18" s="133">
        <v>45174</v>
      </c>
      <c r="F18" s="130" t="s">
        <v>41</v>
      </c>
      <c r="G18" s="132" t="s">
        <v>52</v>
      </c>
      <c r="H18" s="132" t="s">
        <v>66</v>
      </c>
      <c r="I18" s="132" t="s">
        <v>53</v>
      </c>
      <c r="J18" s="132" t="s">
        <v>33</v>
      </c>
      <c r="K18" s="130" t="s">
        <v>34</v>
      </c>
      <c r="L18" s="134" t="s">
        <v>35</v>
      </c>
      <c r="M18" s="130" t="s">
        <v>36</v>
      </c>
      <c r="N18" s="134"/>
      <c r="O18" s="134">
        <v>5</v>
      </c>
      <c r="P18" s="134">
        <v>5</v>
      </c>
      <c r="Q18" s="87">
        <v>0</v>
      </c>
      <c r="R18" s="88" t="s">
        <v>37</v>
      </c>
      <c r="T18" s="88" t="s">
        <v>67</v>
      </c>
      <c r="U18" s="88" t="s">
        <v>68</v>
      </c>
    </row>
    <row r="19" spans="1:21" s="88" customFormat="1" ht="14.25">
      <c r="A19" s="83">
        <v>2023</v>
      </c>
      <c r="B19" s="130" t="s">
        <v>288</v>
      </c>
      <c r="C19" s="131">
        <v>31358</v>
      </c>
      <c r="D19" s="132">
        <v>36</v>
      </c>
      <c r="E19" s="133">
        <v>45174</v>
      </c>
      <c r="F19" s="130" t="s">
        <v>41</v>
      </c>
      <c r="G19" s="132" t="s">
        <v>52</v>
      </c>
      <c r="H19" s="132" t="s">
        <v>66</v>
      </c>
      <c r="I19" s="132" t="s">
        <v>53</v>
      </c>
      <c r="J19" s="132" t="s">
        <v>33</v>
      </c>
      <c r="K19" s="130" t="s">
        <v>34</v>
      </c>
      <c r="L19" s="134" t="s">
        <v>43</v>
      </c>
      <c r="M19" s="130" t="s">
        <v>36</v>
      </c>
      <c r="N19" s="134"/>
      <c r="O19" s="134">
        <v>50</v>
      </c>
      <c r="P19" s="134">
        <v>50</v>
      </c>
      <c r="Q19" s="87">
        <v>0</v>
      </c>
      <c r="R19" s="88" t="s">
        <v>37</v>
      </c>
      <c r="T19" s="88" t="s">
        <v>54</v>
      </c>
      <c r="U19" s="88" t="s">
        <v>55</v>
      </c>
    </row>
    <row r="20" spans="1:21" s="88" customFormat="1" ht="14.25">
      <c r="A20" s="83">
        <v>2023</v>
      </c>
      <c r="B20" s="130" t="s">
        <v>289</v>
      </c>
      <c r="C20" s="131">
        <v>31359</v>
      </c>
      <c r="D20" s="132">
        <v>36</v>
      </c>
      <c r="E20" s="133">
        <v>45174</v>
      </c>
      <c r="F20" s="130" t="s">
        <v>41</v>
      </c>
      <c r="G20" s="132" t="s">
        <v>52</v>
      </c>
      <c r="H20" s="132" t="s">
        <v>66</v>
      </c>
      <c r="I20" s="132" t="s">
        <v>53</v>
      </c>
      <c r="J20" s="132" t="s">
        <v>33</v>
      </c>
      <c r="K20" s="130" t="s">
        <v>34</v>
      </c>
      <c r="L20" s="134" t="s">
        <v>43</v>
      </c>
      <c r="M20" s="130" t="s">
        <v>36</v>
      </c>
      <c r="N20" s="134"/>
      <c r="O20" s="134">
        <v>50</v>
      </c>
      <c r="P20" s="134">
        <v>50</v>
      </c>
      <c r="Q20" s="87">
        <v>0</v>
      </c>
      <c r="R20" s="88" t="s">
        <v>37</v>
      </c>
      <c r="T20" s="88" t="s">
        <v>54</v>
      </c>
      <c r="U20" s="88" t="s">
        <v>55</v>
      </c>
    </row>
    <row r="21" spans="1:21" s="88" customFormat="1" ht="14.25">
      <c r="A21" s="83">
        <v>2023</v>
      </c>
      <c r="B21" s="130" t="s">
        <v>290</v>
      </c>
      <c r="C21" s="131">
        <v>31360</v>
      </c>
      <c r="D21" s="132">
        <v>36</v>
      </c>
      <c r="E21" s="133">
        <v>45174</v>
      </c>
      <c r="F21" s="130" t="s">
        <v>41</v>
      </c>
      <c r="G21" s="132" t="s">
        <v>52</v>
      </c>
      <c r="H21" s="132" t="s">
        <v>66</v>
      </c>
      <c r="I21" s="132" t="s">
        <v>53</v>
      </c>
      <c r="J21" s="132" t="s">
        <v>33</v>
      </c>
      <c r="K21" s="130" t="s">
        <v>34</v>
      </c>
      <c r="L21" s="134" t="s">
        <v>43</v>
      </c>
      <c r="M21" s="130" t="s">
        <v>36</v>
      </c>
      <c r="N21" s="134"/>
      <c r="O21" s="134">
        <v>50</v>
      </c>
      <c r="P21" s="134">
        <v>50</v>
      </c>
      <c r="Q21" s="87">
        <v>0</v>
      </c>
      <c r="R21" s="88" t="s">
        <v>37</v>
      </c>
      <c r="T21" s="88" t="s">
        <v>54</v>
      </c>
      <c r="U21" s="88" t="s">
        <v>55</v>
      </c>
    </row>
    <row r="22" spans="1:21" s="88" customFormat="1" ht="14.25">
      <c r="A22" s="83">
        <v>2023</v>
      </c>
      <c r="B22" s="130" t="s">
        <v>291</v>
      </c>
      <c r="C22" s="131">
        <v>31361</v>
      </c>
      <c r="D22" s="132">
        <v>36</v>
      </c>
      <c r="E22" s="133">
        <v>45174</v>
      </c>
      <c r="F22" s="130" t="s">
        <v>41</v>
      </c>
      <c r="G22" s="132" t="s">
        <v>52</v>
      </c>
      <c r="H22" s="132" t="s">
        <v>66</v>
      </c>
      <c r="I22" s="132" t="s">
        <v>53</v>
      </c>
      <c r="J22" s="132" t="s">
        <v>33</v>
      </c>
      <c r="K22" s="130" t="s">
        <v>34</v>
      </c>
      <c r="L22" s="134" t="s">
        <v>43</v>
      </c>
      <c r="M22" s="130" t="s">
        <v>36</v>
      </c>
      <c r="N22" s="134"/>
      <c r="O22" s="134">
        <v>29</v>
      </c>
      <c r="P22" s="134">
        <v>29</v>
      </c>
      <c r="Q22" s="87">
        <v>0</v>
      </c>
      <c r="R22" s="88" t="s">
        <v>37</v>
      </c>
      <c r="T22" s="88" t="s">
        <v>54</v>
      </c>
      <c r="U22" s="88" t="s">
        <v>55</v>
      </c>
    </row>
    <row r="23" spans="1:21" s="88" customFormat="1" ht="14.25">
      <c r="A23" s="83">
        <v>2023</v>
      </c>
      <c r="B23" s="130" t="s">
        <v>292</v>
      </c>
      <c r="C23" s="131">
        <v>31362</v>
      </c>
      <c r="D23" s="132">
        <v>36</v>
      </c>
      <c r="E23" s="133">
        <v>45175</v>
      </c>
      <c r="F23" s="130" t="s">
        <v>41</v>
      </c>
      <c r="G23" s="132" t="s">
        <v>44</v>
      </c>
      <c r="H23" s="132" t="s">
        <v>48</v>
      </c>
      <c r="I23" s="132" t="s">
        <v>44</v>
      </c>
      <c r="J23" s="132" t="s">
        <v>33</v>
      </c>
      <c r="K23" s="130" t="s">
        <v>34</v>
      </c>
      <c r="L23" s="134" t="s">
        <v>35</v>
      </c>
      <c r="M23" s="130" t="s">
        <v>36</v>
      </c>
      <c r="N23" s="134"/>
      <c r="O23" s="134">
        <v>13</v>
      </c>
      <c r="P23" s="134">
        <v>13</v>
      </c>
      <c r="Q23" s="87">
        <v>0</v>
      </c>
      <c r="R23" s="88" t="s">
        <v>37</v>
      </c>
      <c r="T23" s="88" t="s">
        <v>50</v>
      </c>
      <c r="U23" s="88" t="s">
        <v>50</v>
      </c>
    </row>
    <row r="24" spans="1:21" s="88" customFormat="1" ht="14.25">
      <c r="A24" s="83">
        <v>2023</v>
      </c>
      <c r="B24" s="130" t="s">
        <v>293</v>
      </c>
      <c r="C24" s="131">
        <v>31363</v>
      </c>
      <c r="D24" s="132">
        <v>36</v>
      </c>
      <c r="E24" s="133">
        <v>45175</v>
      </c>
      <c r="F24" s="130" t="s">
        <v>41</v>
      </c>
      <c r="G24" s="132" t="s">
        <v>44</v>
      </c>
      <c r="H24" s="132" t="s">
        <v>48</v>
      </c>
      <c r="I24" s="132" t="s">
        <v>44</v>
      </c>
      <c r="J24" s="132" t="s">
        <v>33</v>
      </c>
      <c r="K24" s="130" t="s">
        <v>34</v>
      </c>
      <c r="L24" s="134" t="s">
        <v>43</v>
      </c>
      <c r="M24" s="130" t="s">
        <v>36</v>
      </c>
      <c r="N24" s="134"/>
      <c r="O24" s="134">
        <v>22</v>
      </c>
      <c r="P24" s="134">
        <v>22</v>
      </c>
      <c r="Q24" s="87">
        <v>0</v>
      </c>
      <c r="R24" s="88" t="s">
        <v>37</v>
      </c>
      <c r="T24" s="88" t="s">
        <v>46</v>
      </c>
      <c r="U24" s="88" t="s">
        <v>46</v>
      </c>
    </row>
    <row r="25" spans="1:21" s="88" customFormat="1" ht="14.25">
      <c r="A25" s="83">
        <v>2023</v>
      </c>
      <c r="B25" s="130" t="s">
        <v>294</v>
      </c>
      <c r="C25" s="131">
        <v>31364</v>
      </c>
      <c r="D25" s="132">
        <v>36</v>
      </c>
      <c r="E25" s="133">
        <v>45175</v>
      </c>
      <c r="F25" s="130" t="s">
        <v>41</v>
      </c>
      <c r="G25" s="132" t="s">
        <v>44</v>
      </c>
      <c r="H25" s="132" t="s">
        <v>51</v>
      </c>
      <c r="I25" s="132" t="s">
        <v>44</v>
      </c>
      <c r="J25" s="132" t="s">
        <v>33</v>
      </c>
      <c r="K25" s="130" t="s">
        <v>34</v>
      </c>
      <c r="L25" s="134" t="s">
        <v>35</v>
      </c>
      <c r="M25" s="130" t="s">
        <v>36</v>
      </c>
      <c r="N25" s="134"/>
      <c r="O25" s="134">
        <v>1</v>
      </c>
      <c r="P25" s="134">
        <v>1</v>
      </c>
      <c r="Q25" s="87">
        <v>0</v>
      </c>
      <c r="R25" s="88" t="s">
        <v>37</v>
      </c>
      <c r="T25" s="88" t="s">
        <v>50</v>
      </c>
      <c r="U25" s="88" t="s">
        <v>50</v>
      </c>
    </row>
    <row r="26" spans="1:21" s="88" customFormat="1" ht="14.25">
      <c r="A26" s="83">
        <v>2023</v>
      </c>
      <c r="B26" s="130" t="s">
        <v>295</v>
      </c>
      <c r="C26" s="131">
        <v>31365</v>
      </c>
      <c r="D26" s="132">
        <v>36</v>
      </c>
      <c r="E26" s="133">
        <v>45175</v>
      </c>
      <c r="F26" s="130" t="s">
        <v>41</v>
      </c>
      <c r="G26" s="132" t="s">
        <v>44</v>
      </c>
      <c r="H26" s="132" t="s">
        <v>51</v>
      </c>
      <c r="I26" s="132" t="s">
        <v>44</v>
      </c>
      <c r="J26" s="132" t="s">
        <v>33</v>
      </c>
      <c r="K26" s="130" t="s">
        <v>34</v>
      </c>
      <c r="L26" s="134" t="s">
        <v>43</v>
      </c>
      <c r="M26" s="130" t="s">
        <v>36</v>
      </c>
      <c r="N26" s="134"/>
      <c r="O26" s="134">
        <v>2</v>
      </c>
      <c r="P26" s="134">
        <v>2</v>
      </c>
      <c r="Q26" s="87">
        <v>0</v>
      </c>
      <c r="R26" s="88" t="s">
        <v>37</v>
      </c>
      <c r="T26" s="88" t="s">
        <v>46</v>
      </c>
      <c r="U26" s="88" t="s">
        <v>46</v>
      </c>
    </row>
    <row r="27" spans="1:21" s="88" customFormat="1" ht="14.25">
      <c r="A27" s="83">
        <v>2023</v>
      </c>
      <c r="B27" s="130" t="s">
        <v>296</v>
      </c>
      <c r="C27" s="131">
        <v>31366</v>
      </c>
      <c r="D27" s="132">
        <v>36</v>
      </c>
      <c r="E27" s="133">
        <v>45175</v>
      </c>
      <c r="F27" s="130" t="s">
        <v>41</v>
      </c>
      <c r="G27" s="132" t="s">
        <v>52</v>
      </c>
      <c r="H27" s="132" t="s">
        <v>103</v>
      </c>
      <c r="I27" s="132" t="s">
        <v>96</v>
      </c>
      <c r="J27" s="132" t="s">
        <v>33</v>
      </c>
      <c r="K27" s="130" t="s">
        <v>34</v>
      </c>
      <c r="L27" s="134" t="s">
        <v>35</v>
      </c>
      <c r="M27" s="130" t="s">
        <v>36</v>
      </c>
      <c r="N27" s="134"/>
      <c r="O27" s="134">
        <v>1</v>
      </c>
      <c r="P27" s="134">
        <v>1</v>
      </c>
      <c r="Q27" s="87">
        <v>0</v>
      </c>
      <c r="R27" s="88" t="s">
        <v>37</v>
      </c>
      <c r="T27" s="88" t="s">
        <v>67</v>
      </c>
      <c r="U27" s="88" t="s">
        <v>104</v>
      </c>
    </row>
    <row r="28" spans="1:21" s="88" customFormat="1" ht="14.25">
      <c r="A28" s="83">
        <v>2023</v>
      </c>
      <c r="B28" s="130" t="s">
        <v>297</v>
      </c>
      <c r="C28" s="131">
        <v>31367</v>
      </c>
      <c r="D28" s="132">
        <v>36</v>
      </c>
      <c r="E28" s="133">
        <v>45175</v>
      </c>
      <c r="F28" s="130" t="s">
        <v>41</v>
      </c>
      <c r="G28" s="132" t="s">
        <v>52</v>
      </c>
      <c r="H28" s="132" t="s">
        <v>103</v>
      </c>
      <c r="I28" s="132" t="s">
        <v>96</v>
      </c>
      <c r="J28" s="132" t="s">
        <v>33</v>
      </c>
      <c r="K28" s="130" t="s">
        <v>34</v>
      </c>
      <c r="L28" s="134" t="s">
        <v>43</v>
      </c>
      <c r="M28" s="130" t="s">
        <v>36</v>
      </c>
      <c r="N28" s="134"/>
      <c r="O28" s="134">
        <v>1</v>
      </c>
      <c r="P28" s="134">
        <v>1</v>
      </c>
      <c r="Q28" s="87">
        <v>0</v>
      </c>
      <c r="R28" s="88" t="s">
        <v>37</v>
      </c>
      <c r="T28" s="88" t="s">
        <v>54</v>
      </c>
      <c r="U28" s="88" t="s">
        <v>97</v>
      </c>
    </row>
    <row r="29" spans="1:21" s="88" customFormat="1" ht="14.25">
      <c r="A29" s="83">
        <v>2023</v>
      </c>
      <c r="B29" s="130" t="s">
        <v>298</v>
      </c>
      <c r="C29" s="131">
        <v>31368</v>
      </c>
      <c r="D29" s="132">
        <v>36</v>
      </c>
      <c r="E29" s="133">
        <v>45175</v>
      </c>
      <c r="F29" s="130" t="s">
        <v>41</v>
      </c>
      <c r="G29" s="132" t="s">
        <v>52</v>
      </c>
      <c r="H29" s="132" t="s">
        <v>101</v>
      </c>
      <c r="I29" s="132" t="s">
        <v>96</v>
      </c>
      <c r="J29" s="132" t="s">
        <v>33</v>
      </c>
      <c r="K29" s="130" t="s">
        <v>34</v>
      </c>
      <c r="L29" s="134" t="s">
        <v>35</v>
      </c>
      <c r="M29" s="130" t="s">
        <v>36</v>
      </c>
      <c r="N29" s="134"/>
      <c r="O29" s="134">
        <v>1</v>
      </c>
      <c r="P29" s="134">
        <v>1</v>
      </c>
      <c r="Q29" s="87">
        <v>0</v>
      </c>
      <c r="R29" s="88" t="s">
        <v>37</v>
      </c>
      <c r="T29" s="88" t="s">
        <v>67</v>
      </c>
      <c r="U29" s="88" t="s">
        <v>104</v>
      </c>
    </row>
    <row r="30" spans="1:21" s="88" customFormat="1" ht="14.25">
      <c r="A30" s="83">
        <v>2023</v>
      </c>
      <c r="B30" s="130" t="s">
        <v>299</v>
      </c>
      <c r="C30" s="131">
        <v>31369</v>
      </c>
      <c r="D30" s="132">
        <v>36</v>
      </c>
      <c r="E30" s="133">
        <v>45175</v>
      </c>
      <c r="F30" s="130" t="s">
        <v>41</v>
      </c>
      <c r="G30" s="132" t="s">
        <v>52</v>
      </c>
      <c r="H30" s="132" t="s">
        <v>102</v>
      </c>
      <c r="I30" s="132" t="s">
        <v>96</v>
      </c>
      <c r="J30" s="132" t="s">
        <v>33</v>
      </c>
      <c r="K30" s="130" t="s">
        <v>34</v>
      </c>
      <c r="L30" s="134" t="s">
        <v>43</v>
      </c>
      <c r="M30" s="130" t="s">
        <v>36</v>
      </c>
      <c r="N30" s="134"/>
      <c r="O30" s="134">
        <v>3</v>
      </c>
      <c r="P30" s="134">
        <v>3</v>
      </c>
      <c r="Q30" s="87">
        <v>0</v>
      </c>
      <c r="R30" s="88" t="s">
        <v>37</v>
      </c>
      <c r="T30" s="88" t="s">
        <v>54</v>
      </c>
      <c r="U30" s="88" t="s">
        <v>97</v>
      </c>
    </row>
    <row r="31" spans="1:21" s="80" customFormat="1" ht="14.25">
      <c r="A31" s="78">
        <v>2023</v>
      </c>
      <c r="B31" s="135" t="s">
        <v>300</v>
      </c>
      <c r="C31" s="136">
        <v>31370</v>
      </c>
      <c r="D31" s="92">
        <v>36</v>
      </c>
      <c r="E31" s="93">
        <v>45175</v>
      </c>
      <c r="F31" s="135" t="s">
        <v>41</v>
      </c>
      <c r="G31" s="92" t="s">
        <v>52</v>
      </c>
      <c r="H31" s="92" t="s">
        <v>92</v>
      </c>
      <c r="I31" s="92" t="s">
        <v>79</v>
      </c>
      <c r="J31" s="92" t="s">
        <v>58</v>
      </c>
      <c r="K31" s="135" t="s">
        <v>34</v>
      </c>
      <c r="L31" s="91" t="s">
        <v>43</v>
      </c>
      <c r="M31" s="135" t="s">
        <v>36</v>
      </c>
      <c r="N31" s="91">
        <v>5</v>
      </c>
      <c r="O31" s="91"/>
      <c r="P31" s="91">
        <v>5</v>
      </c>
      <c r="Q31" s="79">
        <v>1</v>
      </c>
      <c r="R31" s="80" t="s">
        <v>40</v>
      </c>
      <c r="T31" s="80" t="s">
        <v>54</v>
      </c>
      <c r="U31" s="80" t="s">
        <v>80</v>
      </c>
    </row>
    <row r="32" spans="1:21" s="88" customFormat="1" ht="14.25">
      <c r="A32" s="83">
        <v>2023</v>
      </c>
      <c r="B32" s="130" t="s">
        <v>301</v>
      </c>
      <c r="C32" s="131">
        <v>31371</v>
      </c>
      <c r="D32" s="132">
        <v>36</v>
      </c>
      <c r="E32" s="133">
        <v>45175</v>
      </c>
      <c r="F32" s="130" t="s">
        <v>41</v>
      </c>
      <c r="G32" s="132" t="s">
        <v>52</v>
      </c>
      <c r="H32" s="132" t="s">
        <v>91</v>
      </c>
      <c r="I32" s="132" t="s">
        <v>79</v>
      </c>
      <c r="J32" s="132" t="s">
        <v>33</v>
      </c>
      <c r="K32" s="130" t="s">
        <v>34</v>
      </c>
      <c r="L32" s="134" t="s">
        <v>35</v>
      </c>
      <c r="M32" s="130" t="s">
        <v>36</v>
      </c>
      <c r="N32" s="134"/>
      <c r="O32" s="134">
        <v>2</v>
      </c>
      <c r="P32" s="134">
        <v>2</v>
      </c>
      <c r="Q32" s="87">
        <v>0</v>
      </c>
      <c r="R32" s="88" t="s">
        <v>37</v>
      </c>
      <c r="T32" s="88" t="s">
        <v>67</v>
      </c>
      <c r="U32" s="88" t="s">
        <v>93</v>
      </c>
    </row>
    <row r="33" spans="1:21" s="88" customFormat="1" ht="14.25">
      <c r="A33" s="83">
        <v>2023</v>
      </c>
      <c r="B33" s="130" t="s">
        <v>302</v>
      </c>
      <c r="C33" s="131">
        <v>31372</v>
      </c>
      <c r="D33" s="132">
        <v>36</v>
      </c>
      <c r="E33" s="133">
        <v>45175</v>
      </c>
      <c r="F33" s="130" t="s">
        <v>41</v>
      </c>
      <c r="G33" s="132" t="s">
        <v>52</v>
      </c>
      <c r="H33" s="132" t="s">
        <v>91</v>
      </c>
      <c r="I33" s="132" t="s">
        <v>79</v>
      </c>
      <c r="J33" s="132" t="s">
        <v>33</v>
      </c>
      <c r="K33" s="130" t="s">
        <v>34</v>
      </c>
      <c r="L33" s="134" t="s">
        <v>43</v>
      </c>
      <c r="M33" s="130" t="s">
        <v>36</v>
      </c>
      <c r="N33" s="134"/>
      <c r="O33" s="134">
        <v>2</v>
      </c>
      <c r="P33" s="134">
        <v>2</v>
      </c>
      <c r="Q33" s="87">
        <v>0</v>
      </c>
      <c r="R33" s="88" t="s">
        <v>37</v>
      </c>
      <c r="T33" s="88" t="s">
        <v>54</v>
      </c>
      <c r="U33" s="88" t="s">
        <v>80</v>
      </c>
    </row>
    <row r="34" spans="1:21" s="88" customFormat="1" ht="14.25">
      <c r="A34" s="83">
        <v>2023</v>
      </c>
      <c r="B34" s="130" t="s">
        <v>303</v>
      </c>
      <c r="C34" s="131">
        <v>31373</v>
      </c>
      <c r="D34" s="132">
        <v>36</v>
      </c>
      <c r="E34" s="133">
        <v>45175</v>
      </c>
      <c r="F34" s="130" t="s">
        <v>41</v>
      </c>
      <c r="G34" s="132" t="s">
        <v>52</v>
      </c>
      <c r="H34" s="132" t="s">
        <v>98</v>
      </c>
      <c r="I34" s="132" t="s">
        <v>96</v>
      </c>
      <c r="J34" s="132" t="s">
        <v>33</v>
      </c>
      <c r="K34" s="130" t="s">
        <v>34</v>
      </c>
      <c r="L34" s="134" t="s">
        <v>35</v>
      </c>
      <c r="M34" s="130" t="s">
        <v>36</v>
      </c>
      <c r="N34" s="134"/>
      <c r="O34" s="134">
        <v>2</v>
      </c>
      <c r="P34" s="134">
        <v>2</v>
      </c>
      <c r="Q34" s="87">
        <v>0</v>
      </c>
      <c r="R34" s="88" t="s">
        <v>37</v>
      </c>
      <c r="T34" s="88" t="s">
        <v>67</v>
      </c>
      <c r="U34" s="88" t="s">
        <v>104</v>
      </c>
    </row>
    <row r="35" spans="1:21" s="88" customFormat="1" ht="14.25">
      <c r="A35" s="83">
        <v>2023</v>
      </c>
      <c r="B35" s="130" t="s">
        <v>304</v>
      </c>
      <c r="C35" s="131">
        <v>31374</v>
      </c>
      <c r="D35" s="132">
        <v>36</v>
      </c>
      <c r="E35" s="133">
        <v>45175</v>
      </c>
      <c r="F35" s="130" t="s">
        <v>41</v>
      </c>
      <c r="G35" s="132" t="s">
        <v>52</v>
      </c>
      <c r="H35" s="132" t="s">
        <v>98</v>
      </c>
      <c r="I35" s="132" t="s">
        <v>96</v>
      </c>
      <c r="J35" s="132" t="s">
        <v>33</v>
      </c>
      <c r="K35" s="130" t="s">
        <v>34</v>
      </c>
      <c r="L35" s="134" t="s">
        <v>43</v>
      </c>
      <c r="M35" s="130" t="s">
        <v>36</v>
      </c>
      <c r="N35" s="134"/>
      <c r="O35" s="134">
        <v>21</v>
      </c>
      <c r="P35" s="134">
        <v>21</v>
      </c>
      <c r="Q35" s="87">
        <v>0</v>
      </c>
      <c r="R35" s="88" t="s">
        <v>37</v>
      </c>
      <c r="T35" s="88" t="s">
        <v>54</v>
      </c>
      <c r="U35" s="88" t="s">
        <v>97</v>
      </c>
    </row>
    <row r="36" spans="1:21" s="88" customFormat="1" ht="14.25">
      <c r="A36" s="83">
        <v>2023</v>
      </c>
      <c r="B36" s="130" t="s">
        <v>305</v>
      </c>
      <c r="C36" s="131">
        <v>31375</v>
      </c>
      <c r="D36" s="132">
        <v>36</v>
      </c>
      <c r="E36" s="133">
        <v>45175</v>
      </c>
      <c r="F36" s="130" t="s">
        <v>41</v>
      </c>
      <c r="G36" s="132" t="s">
        <v>52</v>
      </c>
      <c r="H36" s="132" t="s">
        <v>90</v>
      </c>
      <c r="I36" s="132" t="s">
        <v>79</v>
      </c>
      <c r="J36" s="132" t="s">
        <v>33</v>
      </c>
      <c r="K36" s="130" t="s">
        <v>34</v>
      </c>
      <c r="L36" s="134" t="s">
        <v>35</v>
      </c>
      <c r="M36" s="130" t="s">
        <v>36</v>
      </c>
      <c r="N36" s="134"/>
      <c r="O36" s="134">
        <v>6</v>
      </c>
      <c r="P36" s="134">
        <v>6</v>
      </c>
      <c r="Q36" s="87">
        <v>0</v>
      </c>
      <c r="R36" s="88" t="s">
        <v>37</v>
      </c>
      <c r="T36" s="88" t="s">
        <v>67</v>
      </c>
      <c r="U36" s="88" t="s">
        <v>93</v>
      </c>
    </row>
    <row r="37" spans="1:21" s="88" customFormat="1" ht="14.25">
      <c r="A37" s="83">
        <v>2023</v>
      </c>
      <c r="B37" s="130" t="s">
        <v>306</v>
      </c>
      <c r="C37" s="131">
        <v>31376</v>
      </c>
      <c r="D37" s="132">
        <v>36</v>
      </c>
      <c r="E37" s="133">
        <v>45175</v>
      </c>
      <c r="F37" s="130" t="s">
        <v>41</v>
      </c>
      <c r="G37" s="132" t="s">
        <v>52</v>
      </c>
      <c r="H37" s="132" t="s">
        <v>90</v>
      </c>
      <c r="I37" s="132" t="s">
        <v>79</v>
      </c>
      <c r="J37" s="132" t="s">
        <v>33</v>
      </c>
      <c r="K37" s="130" t="s">
        <v>34</v>
      </c>
      <c r="L37" s="134" t="s">
        <v>43</v>
      </c>
      <c r="M37" s="130" t="s">
        <v>36</v>
      </c>
      <c r="N37" s="134"/>
      <c r="O37" s="134">
        <v>12</v>
      </c>
      <c r="P37" s="134">
        <v>12</v>
      </c>
      <c r="Q37" s="87">
        <v>0</v>
      </c>
      <c r="R37" s="88" t="s">
        <v>37</v>
      </c>
      <c r="T37" s="88" t="s">
        <v>54</v>
      </c>
      <c r="U37" s="88" t="s">
        <v>80</v>
      </c>
    </row>
    <row r="38" spans="1:21" s="88" customFormat="1" ht="14.25">
      <c r="A38" s="83">
        <v>2023</v>
      </c>
      <c r="B38" s="130" t="s">
        <v>307</v>
      </c>
      <c r="C38" s="131">
        <v>31377</v>
      </c>
      <c r="D38" s="132">
        <v>36</v>
      </c>
      <c r="E38" s="133">
        <v>45175</v>
      </c>
      <c r="F38" s="130" t="s">
        <v>41</v>
      </c>
      <c r="G38" s="132" t="s">
        <v>52</v>
      </c>
      <c r="H38" s="132" t="s">
        <v>100</v>
      </c>
      <c r="I38" s="132" t="s">
        <v>96</v>
      </c>
      <c r="J38" s="132" t="s">
        <v>58</v>
      </c>
      <c r="K38" s="130" t="s">
        <v>34</v>
      </c>
      <c r="L38" s="134" t="s">
        <v>43</v>
      </c>
      <c r="M38" s="130" t="s">
        <v>36</v>
      </c>
      <c r="N38" s="134">
        <v>1</v>
      </c>
      <c r="O38" s="134"/>
      <c r="P38" s="134">
        <v>1</v>
      </c>
      <c r="Q38" s="87">
        <v>0</v>
      </c>
      <c r="R38" s="88" t="s">
        <v>37</v>
      </c>
      <c r="T38" s="88" t="s">
        <v>54</v>
      </c>
      <c r="U38" s="88" t="s">
        <v>97</v>
      </c>
    </row>
    <row r="39" spans="1:21" s="88" customFormat="1" ht="14.25">
      <c r="A39" s="83">
        <v>2023</v>
      </c>
      <c r="B39" s="130" t="s">
        <v>308</v>
      </c>
      <c r="C39" s="131">
        <v>31378</v>
      </c>
      <c r="D39" s="132">
        <v>36</v>
      </c>
      <c r="E39" s="133">
        <v>45175</v>
      </c>
      <c r="F39" s="130" t="s">
        <v>41</v>
      </c>
      <c r="G39" s="132" t="s">
        <v>52</v>
      </c>
      <c r="H39" s="132" t="s">
        <v>99</v>
      </c>
      <c r="I39" s="132" t="s">
        <v>96</v>
      </c>
      <c r="J39" s="132" t="s">
        <v>33</v>
      </c>
      <c r="K39" s="130" t="s">
        <v>34</v>
      </c>
      <c r="L39" s="134" t="s">
        <v>35</v>
      </c>
      <c r="M39" s="130" t="s">
        <v>36</v>
      </c>
      <c r="N39" s="134"/>
      <c r="O39" s="134">
        <v>7</v>
      </c>
      <c r="P39" s="134">
        <v>7</v>
      </c>
      <c r="Q39" s="87">
        <v>0</v>
      </c>
      <c r="R39" s="88" t="s">
        <v>37</v>
      </c>
      <c r="T39" s="88" t="s">
        <v>67</v>
      </c>
      <c r="U39" s="88" t="s">
        <v>104</v>
      </c>
    </row>
    <row r="40" spans="1:21" s="88" customFormat="1" ht="14.25">
      <c r="A40" s="83">
        <v>2023</v>
      </c>
      <c r="B40" s="130" t="s">
        <v>309</v>
      </c>
      <c r="C40" s="131">
        <v>31379</v>
      </c>
      <c r="D40" s="132">
        <v>36</v>
      </c>
      <c r="E40" s="133">
        <v>45175</v>
      </c>
      <c r="F40" s="130" t="s">
        <v>41</v>
      </c>
      <c r="G40" s="132" t="s">
        <v>52</v>
      </c>
      <c r="H40" s="132" t="s">
        <v>99</v>
      </c>
      <c r="I40" s="132" t="s">
        <v>96</v>
      </c>
      <c r="J40" s="132" t="s">
        <v>33</v>
      </c>
      <c r="K40" s="130" t="s">
        <v>34</v>
      </c>
      <c r="L40" s="134" t="s">
        <v>43</v>
      </c>
      <c r="M40" s="130" t="s">
        <v>36</v>
      </c>
      <c r="N40" s="134"/>
      <c r="O40" s="134">
        <v>7</v>
      </c>
      <c r="P40" s="134">
        <v>7</v>
      </c>
      <c r="Q40" s="87">
        <v>0</v>
      </c>
      <c r="R40" s="88" t="s">
        <v>37</v>
      </c>
      <c r="T40" s="88" t="s">
        <v>54</v>
      </c>
      <c r="U40" s="88" t="s">
        <v>97</v>
      </c>
    </row>
    <row r="41" spans="1:21" s="88" customFormat="1" ht="14.25">
      <c r="A41" s="83">
        <v>2023</v>
      </c>
      <c r="B41" s="130" t="s">
        <v>310</v>
      </c>
      <c r="C41" s="131">
        <v>31380</v>
      </c>
      <c r="D41" s="132">
        <v>36</v>
      </c>
      <c r="E41" s="133">
        <v>45175</v>
      </c>
      <c r="F41" s="130" t="s">
        <v>41</v>
      </c>
      <c r="G41" s="132" t="s">
        <v>52</v>
      </c>
      <c r="H41" s="132" t="s">
        <v>105</v>
      </c>
      <c r="I41" s="132" t="s">
        <v>96</v>
      </c>
      <c r="J41" s="132" t="s">
        <v>33</v>
      </c>
      <c r="K41" s="130" t="s">
        <v>34</v>
      </c>
      <c r="L41" s="134" t="s">
        <v>35</v>
      </c>
      <c r="M41" s="130" t="s">
        <v>36</v>
      </c>
      <c r="N41" s="134"/>
      <c r="O41" s="134">
        <v>3</v>
      </c>
      <c r="P41" s="134">
        <v>3</v>
      </c>
      <c r="Q41" s="87">
        <v>0</v>
      </c>
      <c r="R41" s="88" t="s">
        <v>37</v>
      </c>
      <c r="T41" s="88" t="s">
        <v>67</v>
      </c>
      <c r="U41" s="88" t="s">
        <v>104</v>
      </c>
    </row>
    <row r="42" spans="1:21" s="80" customFormat="1" ht="14.25">
      <c r="A42" s="78">
        <v>2023</v>
      </c>
      <c r="B42" s="135" t="s">
        <v>311</v>
      </c>
      <c r="C42" s="136">
        <v>31381</v>
      </c>
      <c r="D42" s="92">
        <v>36</v>
      </c>
      <c r="E42" s="93">
        <v>45175</v>
      </c>
      <c r="F42" s="135" t="s">
        <v>41</v>
      </c>
      <c r="G42" s="92" t="s">
        <v>52</v>
      </c>
      <c r="H42" s="92" t="s">
        <v>105</v>
      </c>
      <c r="I42" s="92" t="s">
        <v>96</v>
      </c>
      <c r="J42" s="92" t="s">
        <v>33</v>
      </c>
      <c r="K42" s="135" t="s">
        <v>34</v>
      </c>
      <c r="L42" s="91" t="s">
        <v>43</v>
      </c>
      <c r="M42" s="135" t="s">
        <v>36</v>
      </c>
      <c r="N42" s="91"/>
      <c r="O42" s="91">
        <v>1</v>
      </c>
      <c r="P42" s="91">
        <v>1</v>
      </c>
      <c r="Q42" s="79">
        <v>1</v>
      </c>
      <c r="R42" s="80" t="s">
        <v>40</v>
      </c>
      <c r="T42" s="80" t="s">
        <v>54</v>
      </c>
      <c r="U42" s="80" t="s">
        <v>97</v>
      </c>
    </row>
    <row r="43" spans="1:21" s="88" customFormat="1" ht="14.25">
      <c r="A43" s="83">
        <v>2023</v>
      </c>
      <c r="B43" s="130" t="s">
        <v>312</v>
      </c>
      <c r="C43" s="131">
        <v>31382</v>
      </c>
      <c r="D43" s="132">
        <v>36</v>
      </c>
      <c r="E43" s="133">
        <v>45175</v>
      </c>
      <c r="F43" s="130" t="s">
        <v>41</v>
      </c>
      <c r="G43" s="132" t="s">
        <v>52</v>
      </c>
      <c r="H43" s="132" t="s">
        <v>86</v>
      </c>
      <c r="I43" s="132" t="s">
        <v>79</v>
      </c>
      <c r="J43" s="132" t="s">
        <v>33</v>
      </c>
      <c r="K43" s="130" t="s">
        <v>34</v>
      </c>
      <c r="L43" s="134" t="s">
        <v>35</v>
      </c>
      <c r="M43" s="130" t="s">
        <v>36</v>
      </c>
      <c r="N43" s="134"/>
      <c r="O43" s="134">
        <v>3</v>
      </c>
      <c r="P43" s="134">
        <v>3</v>
      </c>
      <c r="Q43" s="87">
        <v>0</v>
      </c>
      <c r="R43" s="88" t="s">
        <v>37</v>
      </c>
      <c r="T43" s="88" t="s">
        <v>67</v>
      </c>
      <c r="U43" s="88" t="s">
        <v>93</v>
      </c>
    </row>
    <row r="44" spans="1:21" s="88" customFormat="1" ht="14.25">
      <c r="A44" s="83">
        <v>2023</v>
      </c>
      <c r="B44" s="130" t="s">
        <v>313</v>
      </c>
      <c r="C44" s="131">
        <v>31383</v>
      </c>
      <c r="D44" s="132">
        <v>36</v>
      </c>
      <c r="E44" s="133">
        <v>45175</v>
      </c>
      <c r="F44" s="130" t="s">
        <v>41</v>
      </c>
      <c r="G44" s="132" t="s">
        <v>52</v>
      </c>
      <c r="H44" s="132" t="s">
        <v>86</v>
      </c>
      <c r="I44" s="132" t="s">
        <v>79</v>
      </c>
      <c r="J44" s="132" t="s">
        <v>33</v>
      </c>
      <c r="K44" s="130" t="s">
        <v>34</v>
      </c>
      <c r="L44" s="134" t="s">
        <v>43</v>
      </c>
      <c r="M44" s="130" t="s">
        <v>36</v>
      </c>
      <c r="N44" s="134"/>
      <c r="O44" s="134">
        <v>2</v>
      </c>
      <c r="P44" s="134">
        <v>2</v>
      </c>
      <c r="Q44" s="87">
        <v>0</v>
      </c>
      <c r="R44" s="88" t="s">
        <v>37</v>
      </c>
      <c r="T44" s="88" t="s">
        <v>54</v>
      </c>
      <c r="U44" s="88" t="s">
        <v>80</v>
      </c>
    </row>
    <row r="45" spans="1:21" s="88" customFormat="1" ht="14.25">
      <c r="A45" s="83">
        <v>2023</v>
      </c>
      <c r="B45" s="130" t="s">
        <v>314</v>
      </c>
      <c r="C45" s="131">
        <v>31384</v>
      </c>
      <c r="D45" s="132">
        <v>36</v>
      </c>
      <c r="E45" s="133">
        <v>45175</v>
      </c>
      <c r="F45" s="130" t="s">
        <v>41</v>
      </c>
      <c r="G45" s="132" t="s">
        <v>52</v>
      </c>
      <c r="H45" s="132" t="s">
        <v>84</v>
      </c>
      <c r="I45" s="132" t="s">
        <v>79</v>
      </c>
      <c r="J45" s="132" t="s">
        <v>33</v>
      </c>
      <c r="K45" s="130" t="s">
        <v>34</v>
      </c>
      <c r="L45" s="134" t="s">
        <v>35</v>
      </c>
      <c r="M45" s="130" t="s">
        <v>36</v>
      </c>
      <c r="N45" s="134"/>
      <c r="O45" s="134">
        <v>1</v>
      </c>
      <c r="P45" s="134">
        <v>1</v>
      </c>
      <c r="Q45" s="87">
        <v>0</v>
      </c>
      <c r="R45" s="88" t="s">
        <v>37</v>
      </c>
      <c r="T45" s="88" t="s">
        <v>67</v>
      </c>
      <c r="U45" s="88" t="s">
        <v>93</v>
      </c>
    </row>
    <row r="46" spans="1:21" s="88" customFormat="1" ht="14.25">
      <c r="A46" s="83">
        <v>2023</v>
      </c>
      <c r="B46" s="130" t="s">
        <v>315</v>
      </c>
      <c r="C46" s="131">
        <v>31385</v>
      </c>
      <c r="D46" s="132">
        <v>36</v>
      </c>
      <c r="E46" s="133">
        <v>45175</v>
      </c>
      <c r="F46" s="130" t="s">
        <v>41</v>
      </c>
      <c r="G46" s="132" t="s">
        <v>52</v>
      </c>
      <c r="H46" s="132" t="s">
        <v>84</v>
      </c>
      <c r="I46" s="132" t="s">
        <v>79</v>
      </c>
      <c r="J46" s="132" t="s">
        <v>33</v>
      </c>
      <c r="K46" s="130" t="s">
        <v>34</v>
      </c>
      <c r="L46" s="134" t="s">
        <v>43</v>
      </c>
      <c r="M46" s="130" t="s">
        <v>36</v>
      </c>
      <c r="N46" s="134"/>
      <c r="O46" s="134">
        <v>2</v>
      </c>
      <c r="P46" s="134">
        <v>2</v>
      </c>
      <c r="Q46" s="87">
        <v>0</v>
      </c>
      <c r="R46" s="88" t="s">
        <v>37</v>
      </c>
      <c r="T46" s="88" t="s">
        <v>54</v>
      </c>
      <c r="U46" s="88" t="s">
        <v>80</v>
      </c>
    </row>
    <row r="47" spans="1:21" s="88" customFormat="1" ht="14.25">
      <c r="A47" s="83">
        <v>2023</v>
      </c>
      <c r="B47" s="130" t="s">
        <v>316</v>
      </c>
      <c r="C47" s="131">
        <v>31386</v>
      </c>
      <c r="D47" s="132">
        <v>36</v>
      </c>
      <c r="E47" s="133">
        <v>45175</v>
      </c>
      <c r="F47" s="130" t="s">
        <v>41</v>
      </c>
      <c r="G47" s="132" t="s">
        <v>52</v>
      </c>
      <c r="H47" s="132" t="s">
        <v>87</v>
      </c>
      <c r="I47" s="132" t="s">
        <v>79</v>
      </c>
      <c r="J47" s="132" t="s">
        <v>33</v>
      </c>
      <c r="K47" s="130" t="s">
        <v>34</v>
      </c>
      <c r="L47" s="134" t="s">
        <v>43</v>
      </c>
      <c r="M47" s="130" t="s">
        <v>36</v>
      </c>
      <c r="N47" s="134"/>
      <c r="O47" s="134">
        <v>4</v>
      </c>
      <c r="P47" s="134">
        <v>4</v>
      </c>
      <c r="Q47" s="87">
        <v>0</v>
      </c>
      <c r="R47" s="88" t="s">
        <v>37</v>
      </c>
      <c r="T47" s="88" t="s">
        <v>54</v>
      </c>
      <c r="U47" s="88" t="s">
        <v>80</v>
      </c>
    </row>
    <row r="48" spans="1:21" s="88" customFormat="1" ht="14.25">
      <c r="A48" s="83">
        <v>2023</v>
      </c>
      <c r="B48" s="130" t="s">
        <v>317</v>
      </c>
      <c r="C48" s="131">
        <v>31387</v>
      </c>
      <c r="D48" s="132">
        <v>36</v>
      </c>
      <c r="E48" s="133">
        <v>45175</v>
      </c>
      <c r="F48" s="130" t="s">
        <v>41</v>
      </c>
      <c r="G48" s="132" t="s">
        <v>52</v>
      </c>
      <c r="H48" s="132" t="s">
        <v>89</v>
      </c>
      <c r="I48" s="132" t="s">
        <v>79</v>
      </c>
      <c r="J48" s="132" t="s">
        <v>33</v>
      </c>
      <c r="K48" s="130" t="s">
        <v>34</v>
      </c>
      <c r="L48" s="134" t="s">
        <v>35</v>
      </c>
      <c r="M48" s="130" t="s">
        <v>36</v>
      </c>
      <c r="N48" s="134"/>
      <c r="O48" s="134">
        <v>4</v>
      </c>
      <c r="P48" s="134">
        <v>4</v>
      </c>
      <c r="Q48" s="87">
        <v>0</v>
      </c>
      <c r="R48" s="88" t="s">
        <v>37</v>
      </c>
      <c r="T48" s="88" t="s">
        <v>67</v>
      </c>
      <c r="U48" s="88" t="s">
        <v>93</v>
      </c>
    </row>
    <row r="49" spans="1:21" s="88" customFormat="1" ht="14.25">
      <c r="A49" s="83">
        <v>2023</v>
      </c>
      <c r="B49" s="130" t="s">
        <v>318</v>
      </c>
      <c r="C49" s="131">
        <v>31388</v>
      </c>
      <c r="D49" s="132">
        <v>36</v>
      </c>
      <c r="E49" s="133">
        <v>45175</v>
      </c>
      <c r="F49" s="130" t="s">
        <v>41</v>
      </c>
      <c r="G49" s="132" t="s">
        <v>52</v>
      </c>
      <c r="H49" s="132" t="s">
        <v>89</v>
      </c>
      <c r="I49" s="132" t="s">
        <v>79</v>
      </c>
      <c r="J49" s="132" t="s">
        <v>33</v>
      </c>
      <c r="K49" s="130" t="s">
        <v>34</v>
      </c>
      <c r="L49" s="134" t="s">
        <v>43</v>
      </c>
      <c r="M49" s="130" t="s">
        <v>36</v>
      </c>
      <c r="N49" s="134"/>
      <c r="O49" s="134">
        <v>13</v>
      </c>
      <c r="P49" s="134">
        <v>13</v>
      </c>
      <c r="Q49" s="87">
        <v>0</v>
      </c>
      <c r="R49" s="88" t="s">
        <v>37</v>
      </c>
      <c r="T49" s="88" t="s">
        <v>54</v>
      </c>
      <c r="U49" s="88" t="s">
        <v>80</v>
      </c>
    </row>
    <row r="50" spans="1:21" s="88" customFormat="1" ht="14.25">
      <c r="A50" s="83">
        <v>2023</v>
      </c>
      <c r="B50" s="130" t="s">
        <v>319</v>
      </c>
      <c r="C50" s="131">
        <v>31389</v>
      </c>
      <c r="D50" s="132">
        <v>36</v>
      </c>
      <c r="E50" s="133">
        <v>45175</v>
      </c>
      <c r="F50" s="130" t="s">
        <v>41</v>
      </c>
      <c r="G50" s="132" t="s">
        <v>52</v>
      </c>
      <c r="H50" s="132" t="s">
        <v>95</v>
      </c>
      <c r="I50" s="132" t="s">
        <v>79</v>
      </c>
      <c r="J50" s="132" t="s">
        <v>33</v>
      </c>
      <c r="K50" s="130" t="s">
        <v>34</v>
      </c>
      <c r="L50" s="134" t="s">
        <v>35</v>
      </c>
      <c r="M50" s="130" t="s">
        <v>36</v>
      </c>
      <c r="N50" s="134"/>
      <c r="O50" s="134">
        <v>3</v>
      </c>
      <c r="P50" s="134">
        <v>3</v>
      </c>
      <c r="Q50" s="87">
        <v>0</v>
      </c>
      <c r="R50" s="88" t="s">
        <v>37</v>
      </c>
      <c r="T50" s="88" t="s">
        <v>67</v>
      </c>
      <c r="U50" s="88" t="s">
        <v>93</v>
      </c>
    </row>
    <row r="51" spans="1:21" s="88" customFormat="1" ht="14.25">
      <c r="A51" s="83">
        <v>2023</v>
      </c>
      <c r="B51" s="130" t="s">
        <v>320</v>
      </c>
      <c r="C51" s="131">
        <v>31390</v>
      </c>
      <c r="D51" s="132">
        <v>36</v>
      </c>
      <c r="E51" s="133">
        <v>45175</v>
      </c>
      <c r="F51" s="130" t="s">
        <v>41</v>
      </c>
      <c r="G51" s="132" t="s">
        <v>52</v>
      </c>
      <c r="H51" s="132" t="s">
        <v>95</v>
      </c>
      <c r="I51" s="132" t="s">
        <v>79</v>
      </c>
      <c r="J51" s="132" t="s">
        <v>33</v>
      </c>
      <c r="K51" s="130" t="s">
        <v>34</v>
      </c>
      <c r="L51" s="134" t="s">
        <v>43</v>
      </c>
      <c r="M51" s="130" t="s">
        <v>36</v>
      </c>
      <c r="N51" s="134"/>
      <c r="O51" s="134">
        <v>11</v>
      </c>
      <c r="P51" s="134">
        <v>11</v>
      </c>
      <c r="Q51" s="87">
        <v>0</v>
      </c>
      <c r="R51" s="88" t="s">
        <v>37</v>
      </c>
      <c r="T51" s="88" t="s">
        <v>54</v>
      </c>
      <c r="U51" s="88" t="s">
        <v>80</v>
      </c>
    </row>
    <row r="52" spans="1:21" s="88" customFormat="1" ht="14.25">
      <c r="A52" s="83">
        <v>2023</v>
      </c>
      <c r="B52" s="130" t="s">
        <v>321</v>
      </c>
      <c r="C52" s="131">
        <v>31391</v>
      </c>
      <c r="D52" s="132">
        <v>36</v>
      </c>
      <c r="E52" s="133">
        <v>45175</v>
      </c>
      <c r="F52" s="130" t="s">
        <v>41</v>
      </c>
      <c r="G52" s="132" t="s">
        <v>52</v>
      </c>
      <c r="H52" s="132" t="s">
        <v>94</v>
      </c>
      <c r="I52" s="132" t="s">
        <v>79</v>
      </c>
      <c r="J52" s="132" t="s">
        <v>33</v>
      </c>
      <c r="K52" s="130" t="s">
        <v>34</v>
      </c>
      <c r="L52" s="134" t="s">
        <v>35</v>
      </c>
      <c r="M52" s="130" t="s">
        <v>36</v>
      </c>
      <c r="N52" s="134"/>
      <c r="O52" s="134">
        <v>2</v>
      </c>
      <c r="P52" s="134">
        <v>2</v>
      </c>
      <c r="Q52" s="87">
        <v>0</v>
      </c>
      <c r="R52" s="88" t="s">
        <v>37</v>
      </c>
      <c r="T52" s="88" t="s">
        <v>67</v>
      </c>
      <c r="U52" s="88" t="s">
        <v>93</v>
      </c>
    </row>
    <row r="53" spans="1:21" s="88" customFormat="1" ht="14.25">
      <c r="A53" s="83">
        <v>2023</v>
      </c>
      <c r="B53" s="130" t="s">
        <v>322</v>
      </c>
      <c r="C53" s="131">
        <v>31392</v>
      </c>
      <c r="D53" s="132">
        <v>36</v>
      </c>
      <c r="E53" s="133">
        <v>45175</v>
      </c>
      <c r="F53" s="130" t="s">
        <v>41</v>
      </c>
      <c r="G53" s="132" t="s">
        <v>52</v>
      </c>
      <c r="H53" s="132" t="s">
        <v>81</v>
      </c>
      <c r="I53" s="132" t="s">
        <v>79</v>
      </c>
      <c r="J53" s="132" t="s">
        <v>33</v>
      </c>
      <c r="K53" s="130" t="s">
        <v>34</v>
      </c>
      <c r="L53" s="134" t="s">
        <v>35</v>
      </c>
      <c r="M53" s="130" t="s">
        <v>36</v>
      </c>
      <c r="N53" s="134"/>
      <c r="O53" s="134">
        <v>3</v>
      </c>
      <c r="P53" s="134">
        <v>3</v>
      </c>
      <c r="Q53" s="87">
        <v>0</v>
      </c>
      <c r="R53" s="88" t="s">
        <v>37</v>
      </c>
      <c r="T53" s="88" t="s">
        <v>67</v>
      </c>
      <c r="U53" s="88" t="s">
        <v>93</v>
      </c>
    </row>
    <row r="54" spans="1:21" s="88" customFormat="1" ht="14.25">
      <c r="A54" s="83">
        <v>2023</v>
      </c>
      <c r="B54" s="130" t="s">
        <v>323</v>
      </c>
      <c r="C54" s="131">
        <v>31393</v>
      </c>
      <c r="D54" s="132">
        <v>36</v>
      </c>
      <c r="E54" s="133">
        <v>45175</v>
      </c>
      <c r="F54" s="130" t="s">
        <v>41</v>
      </c>
      <c r="G54" s="132" t="s">
        <v>52</v>
      </c>
      <c r="H54" s="132" t="s">
        <v>81</v>
      </c>
      <c r="I54" s="132" t="s">
        <v>79</v>
      </c>
      <c r="J54" s="132" t="s">
        <v>33</v>
      </c>
      <c r="K54" s="130" t="s">
        <v>34</v>
      </c>
      <c r="L54" s="134" t="s">
        <v>43</v>
      </c>
      <c r="M54" s="130" t="s">
        <v>36</v>
      </c>
      <c r="N54" s="134"/>
      <c r="O54" s="134">
        <v>9</v>
      </c>
      <c r="P54" s="134">
        <v>9</v>
      </c>
      <c r="Q54" s="87">
        <v>0</v>
      </c>
      <c r="R54" s="88" t="s">
        <v>37</v>
      </c>
      <c r="T54" s="88" t="s">
        <v>54</v>
      </c>
      <c r="U54" s="88" t="s">
        <v>80</v>
      </c>
    </row>
    <row r="55" spans="1:21" s="88" customFormat="1" ht="14.25">
      <c r="A55" s="83">
        <v>2023</v>
      </c>
      <c r="B55" s="130" t="s">
        <v>324</v>
      </c>
      <c r="C55" s="131">
        <v>31394</v>
      </c>
      <c r="D55" s="132">
        <v>36</v>
      </c>
      <c r="E55" s="133">
        <v>45175</v>
      </c>
      <c r="F55" s="130" t="s">
        <v>41</v>
      </c>
      <c r="G55" s="132" t="s">
        <v>52</v>
      </c>
      <c r="H55" s="132" t="s">
        <v>85</v>
      </c>
      <c r="I55" s="132" t="s">
        <v>79</v>
      </c>
      <c r="J55" s="132" t="s">
        <v>33</v>
      </c>
      <c r="K55" s="130" t="s">
        <v>34</v>
      </c>
      <c r="L55" s="134" t="s">
        <v>35</v>
      </c>
      <c r="M55" s="130" t="s">
        <v>36</v>
      </c>
      <c r="N55" s="134"/>
      <c r="O55" s="134">
        <v>2</v>
      </c>
      <c r="P55" s="134">
        <v>2</v>
      </c>
      <c r="Q55" s="87">
        <v>0</v>
      </c>
      <c r="R55" s="88" t="s">
        <v>37</v>
      </c>
      <c r="T55" s="88" t="s">
        <v>67</v>
      </c>
      <c r="U55" s="88" t="s">
        <v>93</v>
      </c>
    </row>
    <row r="56" spans="1:21" s="88" customFormat="1" ht="14.25">
      <c r="A56" s="83">
        <v>2023</v>
      </c>
      <c r="B56" s="130" t="s">
        <v>325</v>
      </c>
      <c r="C56" s="131">
        <v>31395</v>
      </c>
      <c r="D56" s="132">
        <v>36</v>
      </c>
      <c r="E56" s="133">
        <v>45175</v>
      </c>
      <c r="F56" s="130" t="s">
        <v>41</v>
      </c>
      <c r="G56" s="132" t="s">
        <v>52</v>
      </c>
      <c r="H56" s="132" t="s">
        <v>85</v>
      </c>
      <c r="I56" s="132" t="s">
        <v>79</v>
      </c>
      <c r="J56" s="132" t="s">
        <v>33</v>
      </c>
      <c r="K56" s="130" t="s">
        <v>34</v>
      </c>
      <c r="L56" s="134" t="s">
        <v>43</v>
      </c>
      <c r="M56" s="130" t="s">
        <v>36</v>
      </c>
      <c r="N56" s="134"/>
      <c r="O56" s="134">
        <v>7</v>
      </c>
      <c r="P56" s="134">
        <v>7</v>
      </c>
      <c r="Q56" s="87">
        <v>0</v>
      </c>
      <c r="R56" s="88" t="s">
        <v>37</v>
      </c>
      <c r="T56" s="88" t="s">
        <v>54</v>
      </c>
      <c r="U56" s="88" t="s">
        <v>80</v>
      </c>
    </row>
    <row r="57" spans="1:21" s="88" customFormat="1" ht="14.25">
      <c r="A57" s="83">
        <v>2023</v>
      </c>
      <c r="B57" s="130" t="s">
        <v>326</v>
      </c>
      <c r="C57" s="131">
        <v>31396</v>
      </c>
      <c r="D57" s="132">
        <v>36</v>
      </c>
      <c r="E57" s="133">
        <v>45175</v>
      </c>
      <c r="F57" s="130" t="s">
        <v>41</v>
      </c>
      <c r="G57" s="132" t="s">
        <v>52</v>
      </c>
      <c r="H57" s="132" t="s">
        <v>83</v>
      </c>
      <c r="I57" s="132" t="s">
        <v>79</v>
      </c>
      <c r="J57" s="132" t="s">
        <v>58</v>
      </c>
      <c r="K57" s="130" t="s">
        <v>34</v>
      </c>
      <c r="L57" s="134" t="s">
        <v>43</v>
      </c>
      <c r="M57" s="130" t="s">
        <v>36</v>
      </c>
      <c r="N57" s="134">
        <v>21</v>
      </c>
      <c r="O57" s="134"/>
      <c r="P57" s="134">
        <v>21</v>
      </c>
      <c r="Q57" s="87">
        <v>0</v>
      </c>
      <c r="R57" s="88" t="s">
        <v>37</v>
      </c>
      <c r="T57" s="88" t="s">
        <v>54</v>
      </c>
      <c r="U57" s="88" t="s">
        <v>80</v>
      </c>
    </row>
    <row r="58" spans="1:21" s="88" customFormat="1" ht="14.25">
      <c r="A58" s="83">
        <v>2023</v>
      </c>
      <c r="B58" s="130" t="s">
        <v>327</v>
      </c>
      <c r="C58" s="131">
        <v>31397</v>
      </c>
      <c r="D58" s="132">
        <v>36</v>
      </c>
      <c r="E58" s="133">
        <v>45175</v>
      </c>
      <c r="F58" s="130" t="s">
        <v>41</v>
      </c>
      <c r="G58" s="132" t="s">
        <v>52</v>
      </c>
      <c r="H58" s="132" t="s">
        <v>82</v>
      </c>
      <c r="I58" s="132" t="s">
        <v>79</v>
      </c>
      <c r="J58" s="132" t="s">
        <v>58</v>
      </c>
      <c r="K58" s="130" t="s">
        <v>34</v>
      </c>
      <c r="L58" s="134" t="s">
        <v>43</v>
      </c>
      <c r="M58" s="130" t="s">
        <v>36</v>
      </c>
      <c r="N58" s="134">
        <v>26</v>
      </c>
      <c r="O58" s="134"/>
      <c r="P58" s="134">
        <v>26</v>
      </c>
      <c r="Q58" s="87">
        <v>0</v>
      </c>
      <c r="R58" s="88" t="s">
        <v>37</v>
      </c>
      <c r="T58" s="88" t="s">
        <v>54</v>
      </c>
      <c r="U58" s="88" t="s">
        <v>80</v>
      </c>
    </row>
    <row r="59" spans="1:21" s="88" customFormat="1" ht="14.25">
      <c r="A59" s="83">
        <v>2023</v>
      </c>
      <c r="B59" s="130" t="s">
        <v>328</v>
      </c>
      <c r="C59" s="131">
        <v>31398</v>
      </c>
      <c r="D59" s="132">
        <v>36</v>
      </c>
      <c r="E59" s="133">
        <v>45175</v>
      </c>
      <c r="F59" s="130" t="s">
        <v>41</v>
      </c>
      <c r="G59" s="132" t="s">
        <v>52</v>
      </c>
      <c r="H59" s="132" t="s">
        <v>88</v>
      </c>
      <c r="I59" s="132" t="s">
        <v>79</v>
      </c>
      <c r="J59" s="132" t="s">
        <v>33</v>
      </c>
      <c r="K59" s="130" t="s">
        <v>34</v>
      </c>
      <c r="L59" s="134" t="s">
        <v>35</v>
      </c>
      <c r="M59" s="130" t="s">
        <v>36</v>
      </c>
      <c r="N59" s="134"/>
      <c r="O59" s="134">
        <v>4</v>
      </c>
      <c r="P59" s="134">
        <v>4</v>
      </c>
      <c r="Q59" s="87">
        <v>0</v>
      </c>
      <c r="R59" s="88" t="s">
        <v>37</v>
      </c>
      <c r="T59" s="88" t="s">
        <v>67</v>
      </c>
      <c r="U59" s="88" t="s">
        <v>93</v>
      </c>
    </row>
    <row r="60" spans="1:21" s="88" customFormat="1" ht="14.25">
      <c r="A60" s="83">
        <v>2023</v>
      </c>
      <c r="B60" s="130" t="s">
        <v>329</v>
      </c>
      <c r="C60" s="131">
        <v>31399</v>
      </c>
      <c r="D60" s="132">
        <v>36</v>
      </c>
      <c r="E60" s="133">
        <v>45175</v>
      </c>
      <c r="F60" s="130" t="s">
        <v>41</v>
      </c>
      <c r="G60" s="132" t="s">
        <v>52</v>
      </c>
      <c r="H60" s="132" t="s">
        <v>88</v>
      </c>
      <c r="I60" s="132" t="s">
        <v>79</v>
      </c>
      <c r="J60" s="132" t="s">
        <v>33</v>
      </c>
      <c r="K60" s="130" t="s">
        <v>34</v>
      </c>
      <c r="L60" s="134" t="s">
        <v>43</v>
      </c>
      <c r="M60" s="130" t="s">
        <v>36</v>
      </c>
      <c r="N60" s="134"/>
      <c r="O60" s="134">
        <v>11</v>
      </c>
      <c r="P60" s="134">
        <v>11</v>
      </c>
      <c r="Q60" s="87">
        <v>0</v>
      </c>
      <c r="R60" s="88" t="s">
        <v>37</v>
      </c>
      <c r="T60" s="88" t="s">
        <v>54</v>
      </c>
      <c r="U60" s="88" t="s">
        <v>80</v>
      </c>
    </row>
    <row r="61" spans="1:21" s="88" customFormat="1" ht="14.25">
      <c r="A61" s="83">
        <v>2023</v>
      </c>
      <c r="B61" s="130" t="s">
        <v>330</v>
      </c>
      <c r="C61" s="131">
        <v>31400</v>
      </c>
      <c r="D61" s="132">
        <v>36</v>
      </c>
      <c r="E61" s="133">
        <v>45176</v>
      </c>
      <c r="F61" s="130" t="s">
        <v>41</v>
      </c>
      <c r="G61" s="132" t="s">
        <v>44</v>
      </c>
      <c r="H61" s="132" t="s">
        <v>49</v>
      </c>
      <c r="I61" s="132" t="s">
        <v>44</v>
      </c>
      <c r="J61" s="132" t="s">
        <v>33</v>
      </c>
      <c r="K61" s="130" t="s">
        <v>34</v>
      </c>
      <c r="L61" s="134" t="s">
        <v>35</v>
      </c>
      <c r="M61" s="130" t="s">
        <v>36</v>
      </c>
      <c r="N61" s="134"/>
      <c r="O61" s="134">
        <v>8</v>
      </c>
      <c r="P61" s="134">
        <v>8</v>
      </c>
      <c r="Q61" s="87">
        <v>0</v>
      </c>
      <c r="R61" s="88" t="s">
        <v>37</v>
      </c>
      <c r="T61" s="88" t="s">
        <v>50</v>
      </c>
      <c r="U61" s="88" t="s">
        <v>50</v>
      </c>
    </row>
    <row r="62" spans="1:21" s="88" customFormat="1" ht="14.25">
      <c r="A62" s="83">
        <v>2023</v>
      </c>
      <c r="B62" s="130" t="s">
        <v>331</v>
      </c>
      <c r="C62" s="131">
        <v>31401</v>
      </c>
      <c r="D62" s="132">
        <v>36</v>
      </c>
      <c r="E62" s="133">
        <v>45176</v>
      </c>
      <c r="F62" s="130" t="s">
        <v>41</v>
      </c>
      <c r="G62" s="132" t="s">
        <v>44</v>
      </c>
      <c r="H62" s="132" t="s">
        <v>49</v>
      </c>
      <c r="I62" s="132" t="s">
        <v>44</v>
      </c>
      <c r="J62" s="132" t="s">
        <v>33</v>
      </c>
      <c r="K62" s="130" t="s">
        <v>34</v>
      </c>
      <c r="L62" s="134" t="s">
        <v>43</v>
      </c>
      <c r="M62" s="130" t="s">
        <v>36</v>
      </c>
      <c r="N62" s="134"/>
      <c r="O62" s="134">
        <v>7</v>
      </c>
      <c r="P62" s="134">
        <v>7</v>
      </c>
      <c r="Q62" s="87">
        <v>0</v>
      </c>
      <c r="R62" s="88" t="s">
        <v>37</v>
      </c>
      <c r="T62" s="88" t="s">
        <v>46</v>
      </c>
      <c r="U62" s="88" t="s">
        <v>46</v>
      </c>
    </row>
    <row r="63" spans="1:21" s="88" customFormat="1" ht="14.25">
      <c r="A63" s="83">
        <v>2023</v>
      </c>
      <c r="B63" s="130" t="s">
        <v>332</v>
      </c>
      <c r="C63" s="131">
        <v>31402</v>
      </c>
      <c r="D63" s="132">
        <v>36</v>
      </c>
      <c r="E63" s="133">
        <v>45176</v>
      </c>
      <c r="F63" s="130" t="s">
        <v>41</v>
      </c>
      <c r="G63" s="132" t="s">
        <v>52</v>
      </c>
      <c r="H63" s="132" t="s">
        <v>77</v>
      </c>
      <c r="I63" s="132" t="s">
        <v>70</v>
      </c>
      <c r="J63" s="132" t="s">
        <v>33</v>
      </c>
      <c r="K63" s="130" t="s">
        <v>34</v>
      </c>
      <c r="L63" s="134" t="s">
        <v>43</v>
      </c>
      <c r="M63" s="130" t="s">
        <v>36</v>
      </c>
      <c r="N63" s="134"/>
      <c r="O63" s="134">
        <v>1</v>
      </c>
      <c r="P63" s="134">
        <v>1</v>
      </c>
      <c r="Q63" s="87">
        <v>0</v>
      </c>
      <c r="R63" s="88" t="s">
        <v>37</v>
      </c>
      <c r="T63" s="88" t="s">
        <v>54</v>
      </c>
      <c r="U63" s="88" t="s">
        <v>71</v>
      </c>
    </row>
    <row r="64" spans="1:21" s="88" customFormat="1" ht="14.25">
      <c r="A64" s="83">
        <v>2023</v>
      </c>
      <c r="B64" s="130" t="s">
        <v>333</v>
      </c>
      <c r="C64" s="131">
        <v>31403</v>
      </c>
      <c r="D64" s="132">
        <v>36</v>
      </c>
      <c r="E64" s="133">
        <v>45176</v>
      </c>
      <c r="F64" s="130" t="s">
        <v>41</v>
      </c>
      <c r="G64" s="132" t="s">
        <v>52</v>
      </c>
      <c r="H64" s="132" t="s">
        <v>72</v>
      </c>
      <c r="I64" s="132" t="s">
        <v>70</v>
      </c>
      <c r="J64" s="132" t="s">
        <v>33</v>
      </c>
      <c r="K64" s="130" t="s">
        <v>34</v>
      </c>
      <c r="L64" s="134" t="s">
        <v>35</v>
      </c>
      <c r="M64" s="130" t="s">
        <v>36</v>
      </c>
      <c r="N64" s="134"/>
      <c r="O64" s="134">
        <v>2</v>
      </c>
      <c r="P64" s="134">
        <v>2</v>
      </c>
      <c r="Q64" s="87">
        <v>0</v>
      </c>
      <c r="R64" s="88" t="s">
        <v>37</v>
      </c>
      <c r="T64" s="88" t="s">
        <v>67</v>
      </c>
      <c r="U64" s="88" t="s">
        <v>78</v>
      </c>
    </row>
    <row r="65" spans="1:21" s="88" customFormat="1" ht="14.25">
      <c r="A65" s="83">
        <v>2023</v>
      </c>
      <c r="B65" s="130" t="s">
        <v>334</v>
      </c>
      <c r="C65" s="131">
        <v>31404</v>
      </c>
      <c r="D65" s="132">
        <v>36</v>
      </c>
      <c r="E65" s="133">
        <v>45176</v>
      </c>
      <c r="F65" s="130" t="s">
        <v>41</v>
      </c>
      <c r="G65" s="132" t="s">
        <v>52</v>
      </c>
      <c r="H65" s="132" t="s">
        <v>72</v>
      </c>
      <c r="I65" s="132" t="s">
        <v>70</v>
      </c>
      <c r="J65" s="132" t="s">
        <v>33</v>
      </c>
      <c r="K65" s="130" t="s">
        <v>34</v>
      </c>
      <c r="L65" s="134" t="s">
        <v>43</v>
      </c>
      <c r="M65" s="130" t="s">
        <v>36</v>
      </c>
      <c r="N65" s="134"/>
      <c r="O65" s="134">
        <v>1</v>
      </c>
      <c r="P65" s="134">
        <v>1</v>
      </c>
      <c r="Q65" s="87">
        <v>0</v>
      </c>
      <c r="R65" s="88" t="s">
        <v>37</v>
      </c>
      <c r="T65" s="88" t="s">
        <v>54</v>
      </c>
      <c r="U65" s="88" t="s">
        <v>71</v>
      </c>
    </row>
    <row r="66" spans="1:21" s="88" customFormat="1" ht="14.25">
      <c r="A66" s="83">
        <v>2023</v>
      </c>
      <c r="B66" s="130" t="s">
        <v>335</v>
      </c>
      <c r="C66" s="131">
        <v>31405</v>
      </c>
      <c r="D66" s="132">
        <v>36</v>
      </c>
      <c r="E66" s="133">
        <v>45176</v>
      </c>
      <c r="F66" s="130" t="s">
        <v>41</v>
      </c>
      <c r="G66" s="132" t="s">
        <v>52</v>
      </c>
      <c r="H66" s="132" t="s">
        <v>73</v>
      </c>
      <c r="I66" s="132" t="s">
        <v>70</v>
      </c>
      <c r="J66" s="132" t="s">
        <v>33</v>
      </c>
      <c r="K66" s="130" t="s">
        <v>34</v>
      </c>
      <c r="L66" s="134" t="s">
        <v>43</v>
      </c>
      <c r="M66" s="130" t="s">
        <v>36</v>
      </c>
      <c r="N66" s="134"/>
      <c r="O66" s="134">
        <v>2</v>
      </c>
      <c r="P66" s="134">
        <v>2</v>
      </c>
      <c r="Q66" s="87">
        <v>0</v>
      </c>
      <c r="R66" s="88" t="s">
        <v>37</v>
      </c>
      <c r="T66" s="88" t="s">
        <v>54</v>
      </c>
      <c r="U66" s="88" t="s">
        <v>71</v>
      </c>
    </row>
    <row r="67" spans="1:21" s="88" customFormat="1" ht="14.25">
      <c r="A67" s="83">
        <v>2023</v>
      </c>
      <c r="B67" s="130" t="s">
        <v>336</v>
      </c>
      <c r="C67" s="131">
        <v>31406</v>
      </c>
      <c r="D67" s="132">
        <v>36</v>
      </c>
      <c r="E67" s="133">
        <v>45176</v>
      </c>
      <c r="F67" s="130" t="s">
        <v>41</v>
      </c>
      <c r="G67" s="132" t="s">
        <v>52</v>
      </c>
      <c r="H67" s="132" t="s">
        <v>75</v>
      </c>
      <c r="I67" s="132" t="s">
        <v>70</v>
      </c>
      <c r="J67" s="132" t="s">
        <v>58</v>
      </c>
      <c r="K67" s="130" t="s">
        <v>34</v>
      </c>
      <c r="L67" s="134" t="s">
        <v>43</v>
      </c>
      <c r="M67" s="130" t="s">
        <v>36</v>
      </c>
      <c r="N67" s="134">
        <v>9</v>
      </c>
      <c r="O67" s="134"/>
      <c r="P67" s="134">
        <v>9</v>
      </c>
      <c r="Q67" s="87">
        <v>0</v>
      </c>
      <c r="R67" s="88" t="s">
        <v>37</v>
      </c>
      <c r="T67" s="88" t="s">
        <v>54</v>
      </c>
      <c r="U67" s="88" t="s">
        <v>71</v>
      </c>
    </row>
    <row r="68" spans="1:21" s="88" customFormat="1" ht="14.25">
      <c r="A68" s="83">
        <v>2023</v>
      </c>
      <c r="B68" s="130" t="s">
        <v>337</v>
      </c>
      <c r="C68" s="131">
        <v>31407</v>
      </c>
      <c r="D68" s="132">
        <v>36</v>
      </c>
      <c r="E68" s="133">
        <v>45176</v>
      </c>
      <c r="F68" s="130" t="s">
        <v>41</v>
      </c>
      <c r="G68" s="132" t="s">
        <v>52</v>
      </c>
      <c r="H68" s="132" t="s">
        <v>74</v>
      </c>
      <c r="I68" s="132" t="s">
        <v>70</v>
      </c>
      <c r="J68" s="132" t="s">
        <v>33</v>
      </c>
      <c r="K68" s="130" t="s">
        <v>34</v>
      </c>
      <c r="L68" s="134" t="s">
        <v>35</v>
      </c>
      <c r="M68" s="130" t="s">
        <v>36</v>
      </c>
      <c r="N68" s="134"/>
      <c r="O68" s="134">
        <v>3</v>
      </c>
      <c r="P68" s="134">
        <v>3</v>
      </c>
      <c r="Q68" s="87">
        <v>0</v>
      </c>
      <c r="R68" s="88" t="s">
        <v>37</v>
      </c>
      <c r="T68" s="88" t="s">
        <v>67</v>
      </c>
      <c r="U68" s="88" t="s">
        <v>78</v>
      </c>
    </row>
    <row r="69" spans="1:21" s="80" customFormat="1" ht="14.25">
      <c r="A69" s="78">
        <v>2023</v>
      </c>
      <c r="B69" s="135" t="s">
        <v>338</v>
      </c>
      <c r="C69" s="136">
        <v>31408</v>
      </c>
      <c r="D69" s="92">
        <v>36</v>
      </c>
      <c r="E69" s="93">
        <v>45176</v>
      </c>
      <c r="F69" s="135" t="s">
        <v>41</v>
      </c>
      <c r="G69" s="92" t="s">
        <v>52</v>
      </c>
      <c r="H69" s="92" t="s">
        <v>76</v>
      </c>
      <c r="I69" s="92" t="s">
        <v>70</v>
      </c>
      <c r="J69" s="92" t="s">
        <v>58</v>
      </c>
      <c r="K69" s="135" t="s">
        <v>34</v>
      </c>
      <c r="L69" s="91" t="s">
        <v>43</v>
      </c>
      <c r="M69" s="135" t="s">
        <v>36</v>
      </c>
      <c r="N69" s="91">
        <v>36</v>
      </c>
      <c r="O69" s="91"/>
      <c r="P69" s="91">
        <v>36</v>
      </c>
      <c r="Q69" s="79">
        <v>1</v>
      </c>
      <c r="R69" s="80" t="s">
        <v>40</v>
      </c>
      <c r="T69" s="80" t="s">
        <v>54</v>
      </c>
      <c r="U69" s="80" t="s">
        <v>71</v>
      </c>
    </row>
    <row r="70" spans="1:21" s="88" customFormat="1" ht="14.25">
      <c r="A70" s="83">
        <v>2023</v>
      </c>
      <c r="B70" s="130" t="s">
        <v>339</v>
      </c>
      <c r="C70" s="132" t="s">
        <v>31</v>
      </c>
      <c r="D70" s="132">
        <v>36</v>
      </c>
      <c r="E70" s="133">
        <v>45174</v>
      </c>
      <c r="F70" s="130" t="s">
        <v>32</v>
      </c>
      <c r="G70" s="132" t="s">
        <v>32</v>
      </c>
      <c r="H70" s="132" t="s">
        <v>340</v>
      </c>
      <c r="I70" s="132" t="s">
        <v>32</v>
      </c>
      <c r="J70" s="132" t="s">
        <v>33</v>
      </c>
      <c r="K70" s="130" t="s">
        <v>34</v>
      </c>
      <c r="L70" s="134" t="s">
        <v>35</v>
      </c>
      <c r="M70" s="130" t="s">
        <v>36</v>
      </c>
      <c r="N70" s="134">
        <v>0</v>
      </c>
      <c r="O70" s="134">
        <v>2</v>
      </c>
      <c r="P70" s="134">
        <v>2</v>
      </c>
      <c r="Q70" s="87">
        <v>0</v>
      </c>
      <c r="R70" s="88" t="s">
        <v>37</v>
      </c>
      <c r="T70" s="88" t="s">
        <v>38</v>
      </c>
      <c r="U70" s="88" t="s">
        <v>38</v>
      </c>
    </row>
    <row r="71" spans="1:21" s="88" customFormat="1" ht="14.25">
      <c r="A71" s="83">
        <v>2023</v>
      </c>
      <c r="B71" s="130" t="s">
        <v>341</v>
      </c>
      <c r="C71" s="132" t="s">
        <v>31</v>
      </c>
      <c r="D71" s="132">
        <v>36</v>
      </c>
      <c r="E71" s="133">
        <v>45174</v>
      </c>
      <c r="F71" s="130" t="s">
        <v>32</v>
      </c>
      <c r="G71" s="132" t="s">
        <v>32</v>
      </c>
      <c r="H71" s="132" t="s">
        <v>39</v>
      </c>
      <c r="I71" s="132" t="s">
        <v>32</v>
      </c>
      <c r="J71" s="132" t="s">
        <v>33</v>
      </c>
      <c r="K71" s="130" t="s">
        <v>34</v>
      </c>
      <c r="L71" s="134" t="s">
        <v>35</v>
      </c>
      <c r="M71" s="130" t="s">
        <v>36</v>
      </c>
      <c r="N71" s="134">
        <v>0</v>
      </c>
      <c r="O71" s="134">
        <v>1</v>
      </c>
      <c r="P71" s="134">
        <v>1</v>
      </c>
      <c r="Q71" s="87">
        <v>0</v>
      </c>
      <c r="R71" s="88" t="s">
        <v>37</v>
      </c>
      <c r="T71" s="88" t="s">
        <v>38</v>
      </c>
      <c r="U71" s="88" t="s">
        <v>38</v>
      </c>
    </row>
    <row r="72" spans="1:21" s="88" customFormat="1" ht="14.25">
      <c r="A72" s="83">
        <v>2023</v>
      </c>
      <c r="B72" s="130" t="s">
        <v>342</v>
      </c>
      <c r="C72" s="132" t="s">
        <v>31</v>
      </c>
      <c r="D72" s="132">
        <v>36</v>
      </c>
      <c r="E72" s="133">
        <v>45174</v>
      </c>
      <c r="F72" s="130" t="s">
        <v>32</v>
      </c>
      <c r="G72" s="132" t="s">
        <v>32</v>
      </c>
      <c r="H72" s="132" t="s">
        <v>269</v>
      </c>
      <c r="I72" s="132" t="s">
        <v>32</v>
      </c>
      <c r="J72" s="132" t="s">
        <v>33</v>
      </c>
      <c r="K72" s="130" t="s">
        <v>34</v>
      </c>
      <c r="L72" s="134" t="s">
        <v>35</v>
      </c>
      <c r="M72" s="130" t="s">
        <v>36</v>
      </c>
      <c r="N72" s="134">
        <v>0</v>
      </c>
      <c r="O72" s="134">
        <v>5</v>
      </c>
      <c r="P72" s="134">
        <v>5</v>
      </c>
      <c r="Q72" s="87">
        <v>0</v>
      </c>
      <c r="R72" s="88" t="s">
        <v>37</v>
      </c>
      <c r="T72" s="88" t="s">
        <v>38</v>
      </c>
      <c r="U72" s="88" t="s">
        <v>38</v>
      </c>
    </row>
    <row r="73" spans="1:21" s="88" customFormat="1" ht="14.25">
      <c r="A73" s="83">
        <v>2023</v>
      </c>
      <c r="B73" s="130" t="s">
        <v>343</v>
      </c>
      <c r="C73" s="132" t="s">
        <v>31</v>
      </c>
      <c r="D73" s="132">
        <v>36</v>
      </c>
      <c r="E73" s="133">
        <v>45174</v>
      </c>
      <c r="F73" s="130" t="s">
        <v>32</v>
      </c>
      <c r="G73" s="132" t="s">
        <v>32</v>
      </c>
      <c r="H73" s="132" t="s">
        <v>270</v>
      </c>
      <c r="I73" s="132" t="s">
        <v>32</v>
      </c>
      <c r="J73" s="132" t="s">
        <v>33</v>
      </c>
      <c r="K73" s="130" t="s">
        <v>34</v>
      </c>
      <c r="L73" s="134" t="s">
        <v>35</v>
      </c>
      <c r="M73" s="130" t="s">
        <v>36</v>
      </c>
      <c r="N73" s="134">
        <v>0</v>
      </c>
      <c r="O73" s="134">
        <v>3</v>
      </c>
      <c r="P73" s="134">
        <v>3</v>
      </c>
      <c r="Q73" s="87">
        <v>0</v>
      </c>
      <c r="R73" s="88" t="s">
        <v>37</v>
      </c>
      <c r="T73" s="88" t="s">
        <v>38</v>
      </c>
      <c r="U73" s="88" t="s">
        <v>38</v>
      </c>
    </row>
    <row r="74" spans="1:21" s="88" customFormat="1" ht="14.25">
      <c r="A74" s="83">
        <v>2023</v>
      </c>
      <c r="B74" s="130" t="s">
        <v>344</v>
      </c>
      <c r="C74" s="132" t="s">
        <v>31</v>
      </c>
      <c r="D74" s="132">
        <v>36</v>
      </c>
      <c r="E74" s="133">
        <v>45174</v>
      </c>
      <c r="F74" s="130" t="s">
        <v>32</v>
      </c>
      <c r="G74" s="132" t="s">
        <v>32</v>
      </c>
      <c r="H74" s="132" t="s">
        <v>345</v>
      </c>
      <c r="I74" s="132" t="s">
        <v>32</v>
      </c>
      <c r="J74" s="132" t="s">
        <v>33</v>
      </c>
      <c r="K74" s="130" t="s">
        <v>34</v>
      </c>
      <c r="L74" s="134" t="s">
        <v>35</v>
      </c>
      <c r="M74" s="130" t="s">
        <v>36</v>
      </c>
      <c r="N74" s="134">
        <v>0</v>
      </c>
      <c r="O74" s="134">
        <v>2</v>
      </c>
      <c r="P74" s="134">
        <v>2</v>
      </c>
      <c r="Q74" s="87">
        <v>0</v>
      </c>
      <c r="R74" s="88" t="s">
        <v>37</v>
      </c>
      <c r="T74" s="88" t="s">
        <v>38</v>
      </c>
      <c r="U74" s="88" t="s">
        <v>38</v>
      </c>
    </row>
    <row r="75" spans="1:21" s="88" customFormat="1" ht="14.25">
      <c r="A75" s="83"/>
      <c r="B75" s="130"/>
      <c r="C75" s="134"/>
      <c r="D75" s="132"/>
      <c r="E75" s="133"/>
      <c r="F75" s="130"/>
      <c r="G75" s="132"/>
      <c r="H75" s="132"/>
      <c r="I75" s="132"/>
      <c r="J75" s="132"/>
      <c r="K75" s="130"/>
      <c r="L75" s="134"/>
      <c r="M75" s="130"/>
      <c r="N75" s="134"/>
      <c r="O75" s="134"/>
      <c r="P75" s="134"/>
      <c r="Q75" s="87"/>
    </row>
    <row r="76" spans="1:21" s="88" customFormat="1" ht="14.25">
      <c r="A76" s="83"/>
      <c r="B76" s="130"/>
      <c r="C76" s="134"/>
      <c r="D76" s="132"/>
      <c r="E76" s="133"/>
      <c r="F76" s="130"/>
      <c r="G76" s="132"/>
      <c r="H76" s="132"/>
      <c r="I76" s="132"/>
      <c r="J76" s="132"/>
      <c r="K76" s="130"/>
      <c r="L76" s="134"/>
      <c r="M76" s="130"/>
      <c r="N76" s="134"/>
      <c r="O76" s="134"/>
      <c r="P76" s="134"/>
      <c r="Q76" s="87"/>
    </row>
    <row r="77" spans="1:21" s="88" customFormat="1" ht="14.25">
      <c r="A77" s="83"/>
      <c r="B77" s="130"/>
      <c r="C77" s="134"/>
      <c r="D77" s="132"/>
      <c r="E77" s="133"/>
      <c r="F77" s="130"/>
      <c r="G77" s="132"/>
      <c r="H77" s="132"/>
      <c r="I77" s="132"/>
      <c r="J77" s="132"/>
      <c r="K77" s="130"/>
      <c r="L77" s="134"/>
      <c r="M77" s="130"/>
      <c r="N77" s="134"/>
      <c r="O77" s="134"/>
      <c r="P77" s="134"/>
      <c r="Q77" s="87"/>
    </row>
    <row r="78" spans="1:21" s="88" customFormat="1" ht="14.25">
      <c r="A78" s="83"/>
      <c r="B78" s="130"/>
      <c r="C78" s="134"/>
      <c r="D78" s="132"/>
      <c r="E78" s="133"/>
      <c r="F78" s="130"/>
      <c r="G78" s="132"/>
      <c r="H78" s="132"/>
      <c r="I78" s="132"/>
      <c r="J78" s="132"/>
      <c r="K78" s="130"/>
      <c r="L78" s="134"/>
      <c r="M78" s="130"/>
      <c r="N78" s="134"/>
      <c r="O78" s="134"/>
      <c r="P78" s="134"/>
      <c r="Q78" s="87"/>
    </row>
    <row r="79" spans="1:21" s="88" customFormat="1" ht="14.25">
      <c r="A79" s="83"/>
      <c r="B79" s="130"/>
      <c r="C79" s="134"/>
      <c r="D79" s="132"/>
      <c r="E79" s="133"/>
      <c r="F79" s="130"/>
      <c r="G79" s="132"/>
      <c r="H79" s="132"/>
      <c r="I79" s="132"/>
      <c r="J79" s="132"/>
      <c r="K79" s="130"/>
      <c r="L79" s="134"/>
      <c r="M79" s="130"/>
      <c r="N79" s="134"/>
      <c r="O79" s="134"/>
      <c r="P79" s="134"/>
      <c r="Q79" s="87"/>
    </row>
    <row r="80" spans="1:21" s="88" customFormat="1" ht="14.25">
      <c r="A80" s="83"/>
      <c r="B80" s="130"/>
      <c r="C80" s="134"/>
      <c r="D80" s="132"/>
      <c r="E80" s="133"/>
      <c r="F80" s="130"/>
      <c r="G80" s="132"/>
      <c r="H80" s="132"/>
      <c r="I80" s="132"/>
      <c r="J80" s="132"/>
      <c r="K80" s="130"/>
      <c r="L80" s="134"/>
      <c r="M80" s="130"/>
      <c r="N80" s="134"/>
      <c r="O80" s="134"/>
      <c r="P80" s="134"/>
      <c r="Q80" s="87"/>
    </row>
    <row r="81" spans="1:17" s="88" customFormat="1" ht="14.25">
      <c r="A81" s="83"/>
      <c r="B81" s="130"/>
      <c r="C81" s="134"/>
      <c r="D81" s="132"/>
      <c r="E81" s="133"/>
      <c r="F81" s="130"/>
      <c r="G81" s="132"/>
      <c r="H81" s="132"/>
      <c r="I81" s="132"/>
      <c r="J81" s="132"/>
      <c r="K81" s="130"/>
      <c r="L81" s="134"/>
      <c r="M81" s="130"/>
      <c r="N81" s="134"/>
      <c r="O81" s="134"/>
      <c r="P81" s="134"/>
      <c r="Q81" s="87"/>
    </row>
    <row r="82" spans="1:17" s="88" customFormat="1" ht="14.25">
      <c r="A82" s="83"/>
      <c r="B82" s="130"/>
      <c r="C82" s="134"/>
      <c r="D82" s="132"/>
      <c r="E82" s="133"/>
      <c r="F82" s="130"/>
      <c r="G82" s="132"/>
      <c r="H82" s="132"/>
      <c r="I82" s="132"/>
      <c r="J82" s="132"/>
      <c r="K82" s="130"/>
      <c r="L82" s="134"/>
      <c r="M82" s="130"/>
      <c r="N82" s="134"/>
      <c r="O82" s="134"/>
      <c r="P82" s="134"/>
      <c r="Q82" s="87"/>
    </row>
    <row r="83" spans="1:17" s="88" customFormat="1" ht="14.25">
      <c r="A83" s="83"/>
      <c r="B83" s="130"/>
      <c r="C83" s="134"/>
      <c r="D83" s="132"/>
      <c r="E83" s="133"/>
      <c r="F83" s="130"/>
      <c r="G83" s="132"/>
      <c r="H83" s="132"/>
      <c r="I83" s="132"/>
      <c r="J83" s="132"/>
      <c r="K83" s="130"/>
      <c r="L83" s="134"/>
      <c r="M83" s="130"/>
      <c r="N83" s="134"/>
      <c r="O83" s="134"/>
      <c r="P83" s="134"/>
      <c r="Q83" s="87"/>
    </row>
    <row r="84" spans="1:17" s="88" customFormat="1" ht="14.25">
      <c r="A84" s="83"/>
      <c r="B84" s="130"/>
      <c r="C84" s="134"/>
      <c r="D84" s="132"/>
      <c r="E84" s="133"/>
      <c r="F84" s="130"/>
      <c r="G84" s="132"/>
      <c r="H84" s="132"/>
      <c r="I84" s="132"/>
      <c r="J84" s="132"/>
      <c r="K84" s="130"/>
      <c r="L84" s="134"/>
      <c r="M84" s="130"/>
      <c r="N84" s="134"/>
      <c r="O84" s="134"/>
      <c r="P84" s="134"/>
      <c r="Q84" s="87"/>
    </row>
    <row r="85" spans="1:17" s="88" customFormat="1" ht="14.25">
      <c r="A85" s="83"/>
      <c r="B85" s="130"/>
      <c r="C85" s="134"/>
      <c r="D85" s="132"/>
      <c r="E85" s="133"/>
      <c r="F85" s="130"/>
      <c r="G85" s="132"/>
      <c r="H85" s="132"/>
      <c r="I85" s="132"/>
      <c r="J85" s="132"/>
      <c r="K85" s="130"/>
      <c r="L85" s="134"/>
      <c r="M85" s="130"/>
      <c r="N85" s="134"/>
      <c r="O85" s="134"/>
      <c r="P85" s="134"/>
      <c r="Q85" s="87"/>
    </row>
    <row r="86" spans="1:17" s="88" customFormat="1" ht="14.25">
      <c r="A86" s="83"/>
      <c r="B86" s="130"/>
      <c r="C86" s="134"/>
      <c r="D86" s="132"/>
      <c r="E86" s="133"/>
      <c r="F86" s="130"/>
      <c r="G86" s="132"/>
      <c r="H86" s="132"/>
      <c r="I86" s="132"/>
      <c r="J86" s="132"/>
      <c r="K86" s="130"/>
      <c r="L86" s="134"/>
      <c r="M86" s="130"/>
      <c r="N86" s="134"/>
      <c r="O86" s="134"/>
      <c r="P86" s="134"/>
      <c r="Q86" s="87"/>
    </row>
    <row r="87" spans="1:17" s="88" customFormat="1" ht="14.25">
      <c r="A87" s="83"/>
      <c r="B87" s="130"/>
      <c r="C87" s="134"/>
      <c r="D87" s="132"/>
      <c r="E87" s="133"/>
      <c r="F87" s="130"/>
      <c r="G87" s="132"/>
      <c r="H87" s="132"/>
      <c r="I87" s="132"/>
      <c r="J87" s="132"/>
      <c r="K87" s="130"/>
      <c r="L87" s="134"/>
      <c r="M87" s="130"/>
      <c r="N87" s="134"/>
      <c r="O87" s="134"/>
      <c r="P87" s="134"/>
      <c r="Q87" s="87"/>
    </row>
    <row r="88" spans="1:17" s="88" customFormat="1" ht="14.25">
      <c r="A88" s="83"/>
      <c r="B88" s="130"/>
      <c r="C88" s="134"/>
      <c r="D88" s="132"/>
      <c r="E88" s="133"/>
      <c r="F88" s="130"/>
      <c r="G88" s="132"/>
      <c r="H88" s="132"/>
      <c r="I88" s="132"/>
      <c r="J88" s="132"/>
      <c r="K88" s="130"/>
      <c r="L88" s="134"/>
      <c r="M88" s="130"/>
      <c r="N88" s="134"/>
      <c r="O88" s="134"/>
      <c r="P88" s="134"/>
      <c r="Q88" s="87"/>
    </row>
    <row r="89" spans="1:17" s="88" customFormat="1" ht="14.25">
      <c r="A89" s="83"/>
      <c r="B89" s="130"/>
      <c r="C89" s="134"/>
      <c r="D89" s="132"/>
      <c r="E89" s="133"/>
      <c r="F89" s="130"/>
      <c r="G89" s="132"/>
      <c r="H89" s="132"/>
      <c r="I89" s="132"/>
      <c r="J89" s="132"/>
      <c r="K89" s="130"/>
      <c r="L89" s="134"/>
      <c r="M89" s="130"/>
      <c r="N89" s="134"/>
      <c r="O89" s="134"/>
      <c r="P89" s="134"/>
      <c r="Q89" s="87"/>
    </row>
    <row r="90" spans="1:17" s="88" customFormat="1" ht="14.25">
      <c r="A90" s="83"/>
      <c r="B90" s="130"/>
      <c r="C90" s="134"/>
      <c r="D90" s="132"/>
      <c r="E90" s="133"/>
      <c r="F90" s="130"/>
      <c r="G90" s="132"/>
      <c r="H90" s="132"/>
      <c r="I90" s="132"/>
      <c r="J90" s="132"/>
      <c r="K90" s="130"/>
      <c r="L90" s="134"/>
      <c r="M90" s="130"/>
      <c r="N90" s="134"/>
      <c r="O90" s="134"/>
      <c r="P90" s="134"/>
      <c r="Q90" s="87"/>
    </row>
    <row r="91" spans="1:17" s="88" customFormat="1" ht="14.25">
      <c r="A91" s="83"/>
      <c r="B91" s="130"/>
      <c r="C91" s="134"/>
      <c r="D91" s="132"/>
      <c r="E91" s="133"/>
      <c r="F91" s="130"/>
      <c r="G91" s="132"/>
      <c r="H91" s="132"/>
      <c r="I91" s="132"/>
      <c r="J91" s="132"/>
      <c r="K91" s="130"/>
      <c r="L91" s="134"/>
      <c r="M91" s="130"/>
      <c r="N91" s="134"/>
      <c r="O91" s="134"/>
      <c r="P91" s="134"/>
      <c r="Q91" s="87"/>
    </row>
    <row r="92" spans="1:17" s="88" customFormat="1" ht="14.25">
      <c r="A92" s="83"/>
      <c r="B92" s="130"/>
      <c r="C92" s="134"/>
      <c r="D92" s="132"/>
      <c r="E92" s="133"/>
      <c r="F92" s="130"/>
      <c r="G92" s="132"/>
      <c r="H92" s="132"/>
      <c r="I92" s="132"/>
      <c r="J92" s="132"/>
      <c r="K92" s="130"/>
      <c r="L92" s="134"/>
      <c r="M92" s="130"/>
      <c r="N92" s="134"/>
      <c r="O92" s="134"/>
      <c r="P92" s="134"/>
      <c r="Q92" s="87"/>
    </row>
    <row r="93" spans="1:17" s="88" customFormat="1" ht="14.25">
      <c r="A93" s="83"/>
      <c r="B93" s="130"/>
      <c r="C93" s="134"/>
      <c r="D93" s="132"/>
      <c r="E93" s="133"/>
      <c r="F93" s="130"/>
      <c r="G93" s="132"/>
      <c r="H93" s="132"/>
      <c r="I93" s="132"/>
      <c r="J93" s="132"/>
      <c r="K93" s="130"/>
      <c r="L93" s="134"/>
      <c r="M93" s="130"/>
      <c r="N93" s="134"/>
      <c r="O93" s="134"/>
      <c r="P93" s="134"/>
      <c r="Q93" s="87"/>
    </row>
    <row r="94" spans="1:17" s="88" customFormat="1" ht="14.25">
      <c r="A94" s="83"/>
      <c r="B94" s="130"/>
      <c r="C94" s="134"/>
      <c r="D94" s="132"/>
      <c r="E94" s="133"/>
      <c r="F94" s="130"/>
      <c r="G94" s="132"/>
      <c r="H94" s="132"/>
      <c r="I94" s="132"/>
      <c r="J94" s="132"/>
      <c r="K94" s="130"/>
      <c r="L94" s="134"/>
      <c r="M94" s="130"/>
      <c r="N94" s="134"/>
      <c r="O94" s="134"/>
      <c r="P94" s="134"/>
      <c r="Q94" s="87"/>
    </row>
    <row r="95" spans="1:17" s="88" customFormat="1" ht="14.25">
      <c r="A95" s="83"/>
      <c r="B95" s="130"/>
      <c r="C95" s="134"/>
      <c r="D95" s="132"/>
      <c r="E95" s="133"/>
      <c r="F95" s="130"/>
      <c r="G95" s="132"/>
      <c r="H95" s="132"/>
      <c r="I95" s="132"/>
      <c r="J95" s="132"/>
      <c r="K95" s="130"/>
      <c r="L95" s="134"/>
      <c r="M95" s="130"/>
      <c r="N95" s="134"/>
      <c r="O95" s="134"/>
      <c r="P95" s="134"/>
      <c r="Q95" s="87"/>
    </row>
    <row r="96" spans="1:17" s="88" customFormat="1" ht="14.25">
      <c r="A96" s="83"/>
      <c r="B96" s="130"/>
      <c r="C96" s="134"/>
      <c r="D96" s="132"/>
      <c r="E96" s="133"/>
      <c r="F96" s="130"/>
      <c r="G96" s="132"/>
      <c r="H96" s="132"/>
      <c r="I96" s="132"/>
      <c r="J96" s="132"/>
      <c r="K96" s="130"/>
      <c r="L96" s="134"/>
      <c r="M96" s="130"/>
      <c r="N96" s="134"/>
      <c r="O96" s="134"/>
      <c r="P96" s="134"/>
      <c r="Q96" s="87"/>
    </row>
    <row r="97" spans="1:17" s="88" customFormat="1" ht="14.25">
      <c r="A97" s="83"/>
      <c r="B97" s="130"/>
      <c r="C97" s="134"/>
      <c r="D97" s="132"/>
      <c r="E97" s="133"/>
      <c r="F97" s="130"/>
      <c r="G97" s="132"/>
      <c r="H97" s="132"/>
      <c r="I97" s="132"/>
      <c r="J97" s="132"/>
      <c r="K97" s="130"/>
      <c r="L97" s="134"/>
      <c r="M97" s="130"/>
      <c r="N97" s="134"/>
      <c r="O97" s="134"/>
      <c r="P97" s="134"/>
      <c r="Q97" s="87"/>
    </row>
    <row r="98" spans="1:17" s="88" customFormat="1" ht="14.25">
      <c r="A98" s="83"/>
      <c r="B98" s="130"/>
      <c r="C98" s="134"/>
      <c r="D98" s="132"/>
      <c r="E98" s="133"/>
      <c r="F98" s="130"/>
      <c r="G98" s="132"/>
      <c r="H98" s="132"/>
      <c r="I98" s="132"/>
      <c r="J98" s="132"/>
      <c r="K98" s="130"/>
      <c r="L98" s="134"/>
      <c r="M98" s="130"/>
      <c r="N98" s="134"/>
      <c r="O98" s="134"/>
      <c r="P98" s="134"/>
      <c r="Q98" s="87"/>
    </row>
    <row r="99" spans="1:17" s="88" customFormat="1" ht="14.25">
      <c r="A99" s="83"/>
      <c r="B99" s="130"/>
      <c r="C99" s="134"/>
      <c r="D99" s="132"/>
      <c r="E99" s="133"/>
      <c r="F99" s="130"/>
      <c r="G99" s="132"/>
      <c r="H99" s="132"/>
      <c r="I99" s="132"/>
      <c r="J99" s="132"/>
      <c r="K99" s="130"/>
      <c r="L99" s="134"/>
      <c r="M99" s="130"/>
      <c r="N99" s="134"/>
      <c r="O99" s="134"/>
      <c r="P99" s="134"/>
      <c r="Q99" s="87"/>
    </row>
    <row r="100" spans="1:17" s="88" customFormat="1" ht="14.25">
      <c r="A100" s="83"/>
      <c r="B100" s="130"/>
      <c r="C100" s="134"/>
      <c r="D100" s="132"/>
      <c r="E100" s="133"/>
      <c r="F100" s="130"/>
      <c r="G100" s="132"/>
      <c r="H100" s="132"/>
      <c r="I100" s="132"/>
      <c r="J100" s="132"/>
      <c r="K100" s="130"/>
      <c r="L100" s="134"/>
      <c r="M100" s="130"/>
      <c r="N100" s="134"/>
      <c r="O100" s="134"/>
      <c r="P100" s="134"/>
      <c r="Q100" s="87"/>
    </row>
    <row r="101" spans="1:17" s="88" customFormat="1" ht="14.25">
      <c r="A101" s="83"/>
      <c r="B101" s="130"/>
      <c r="C101" s="134"/>
      <c r="D101" s="132"/>
      <c r="E101" s="133"/>
      <c r="F101" s="130"/>
      <c r="G101" s="132"/>
      <c r="H101" s="132"/>
      <c r="I101" s="132"/>
      <c r="J101" s="132"/>
      <c r="K101" s="130"/>
      <c r="L101" s="134"/>
      <c r="M101" s="130"/>
      <c r="N101" s="134"/>
      <c r="O101" s="134"/>
      <c r="P101" s="134"/>
      <c r="Q101" s="87"/>
    </row>
    <row r="102" spans="1:17" s="88" customFormat="1" ht="14.25">
      <c r="A102" s="83"/>
      <c r="B102" s="130"/>
      <c r="C102" s="134"/>
      <c r="D102" s="132"/>
      <c r="E102" s="133"/>
      <c r="F102" s="130"/>
      <c r="G102" s="132"/>
      <c r="H102" s="132"/>
      <c r="I102" s="132"/>
      <c r="J102" s="132"/>
      <c r="K102" s="130"/>
      <c r="L102" s="134"/>
      <c r="M102" s="130"/>
      <c r="N102" s="134"/>
      <c r="O102" s="134"/>
      <c r="P102" s="134"/>
      <c r="Q102" s="87"/>
    </row>
    <row r="103" spans="1:17" s="88" customFormat="1" ht="14.25">
      <c r="A103" s="83"/>
      <c r="B103" s="130"/>
      <c r="C103" s="134"/>
      <c r="D103" s="132"/>
      <c r="E103" s="133"/>
      <c r="F103" s="130"/>
      <c r="G103" s="132"/>
      <c r="H103" s="132"/>
      <c r="I103" s="132"/>
      <c r="J103" s="132"/>
      <c r="K103" s="130"/>
      <c r="L103" s="134"/>
      <c r="M103" s="130"/>
      <c r="N103" s="134"/>
      <c r="O103" s="134"/>
      <c r="P103" s="134"/>
      <c r="Q103" s="87"/>
    </row>
    <row r="104" spans="1:17" s="88" customFormat="1" ht="14.25">
      <c r="A104" s="83"/>
      <c r="B104" s="130"/>
      <c r="C104" s="134"/>
      <c r="D104" s="132"/>
      <c r="E104" s="133"/>
      <c r="F104" s="130"/>
      <c r="G104" s="132"/>
      <c r="H104" s="132"/>
      <c r="I104" s="132"/>
      <c r="J104" s="132"/>
      <c r="K104" s="130"/>
      <c r="L104" s="134"/>
      <c r="M104" s="130"/>
      <c r="N104" s="134"/>
      <c r="O104" s="134"/>
      <c r="P104" s="134"/>
      <c r="Q104" s="87"/>
    </row>
    <row r="105" spans="1:17" s="88" customFormat="1" ht="14.25">
      <c r="A105" s="83"/>
      <c r="B105" s="130"/>
      <c r="C105" s="134"/>
      <c r="D105" s="132"/>
      <c r="E105" s="133"/>
      <c r="F105" s="130"/>
      <c r="G105" s="132"/>
      <c r="H105" s="132"/>
      <c r="I105" s="132"/>
      <c r="J105" s="132"/>
      <c r="K105" s="130"/>
      <c r="L105" s="134"/>
      <c r="M105" s="130"/>
      <c r="N105" s="134"/>
      <c r="O105" s="134"/>
      <c r="P105" s="134"/>
      <c r="Q105" s="87"/>
    </row>
    <row r="106" spans="1:17" s="88" customFormat="1" ht="14.25">
      <c r="A106" s="83"/>
      <c r="B106" s="130"/>
      <c r="C106" s="134"/>
      <c r="D106" s="132"/>
      <c r="E106" s="133"/>
      <c r="F106" s="130"/>
      <c r="G106" s="132"/>
      <c r="H106" s="132"/>
      <c r="I106" s="132"/>
      <c r="J106" s="132"/>
      <c r="K106" s="130"/>
      <c r="L106" s="134"/>
      <c r="M106" s="130"/>
      <c r="N106" s="134"/>
      <c r="O106" s="134"/>
      <c r="P106" s="134"/>
      <c r="Q106" s="87"/>
    </row>
    <row r="107" spans="1:17" s="88" customFormat="1" ht="14.25">
      <c r="A107" s="83"/>
      <c r="B107" s="130"/>
      <c r="C107" s="134"/>
      <c r="D107" s="132"/>
      <c r="E107" s="133"/>
      <c r="F107" s="130"/>
      <c r="G107" s="132"/>
      <c r="H107" s="132"/>
      <c r="I107" s="132"/>
      <c r="J107" s="132"/>
      <c r="K107" s="130"/>
      <c r="L107" s="134"/>
      <c r="M107" s="130"/>
      <c r="N107" s="134"/>
      <c r="O107" s="134"/>
      <c r="P107" s="134"/>
      <c r="Q107" s="87"/>
    </row>
    <row r="108" spans="1:17" s="88" customFormat="1" ht="14.25">
      <c r="A108" s="83"/>
      <c r="B108" s="130"/>
      <c r="C108" s="134"/>
      <c r="D108" s="132"/>
      <c r="E108" s="133"/>
      <c r="F108" s="130"/>
      <c r="G108" s="132"/>
      <c r="H108" s="132"/>
      <c r="I108" s="132"/>
      <c r="J108" s="132"/>
      <c r="K108" s="130"/>
      <c r="L108" s="134"/>
      <c r="M108" s="130"/>
      <c r="N108" s="134"/>
      <c r="O108" s="134"/>
      <c r="P108" s="134"/>
      <c r="Q108" s="87"/>
    </row>
    <row r="109" spans="1:17" s="88" customFormat="1" ht="14.25">
      <c r="A109" s="83"/>
      <c r="B109" s="130"/>
      <c r="C109" s="134"/>
      <c r="D109" s="132"/>
      <c r="E109" s="133"/>
      <c r="F109" s="130"/>
      <c r="G109" s="132"/>
      <c r="H109" s="132"/>
      <c r="I109" s="132"/>
      <c r="J109" s="132"/>
      <c r="K109" s="130"/>
      <c r="L109" s="134"/>
      <c r="M109" s="130"/>
      <c r="N109" s="134"/>
      <c r="O109" s="134"/>
      <c r="P109" s="134"/>
      <c r="Q109" s="87"/>
    </row>
    <row r="110" spans="1:17" s="88" customFormat="1" ht="14.25">
      <c r="A110" s="83"/>
      <c r="B110" s="130"/>
      <c r="C110" s="134"/>
      <c r="D110" s="132"/>
      <c r="E110" s="133"/>
      <c r="F110" s="130"/>
      <c r="G110" s="132"/>
      <c r="H110" s="132"/>
      <c r="I110" s="132"/>
      <c r="J110" s="132"/>
      <c r="K110" s="130"/>
      <c r="L110" s="134"/>
      <c r="M110" s="130"/>
      <c r="N110" s="134"/>
      <c r="O110" s="134"/>
      <c r="P110" s="134"/>
      <c r="Q110" s="87"/>
    </row>
    <row r="111" spans="1:17" s="88" customFormat="1" ht="14.25">
      <c r="A111" s="83"/>
      <c r="B111" s="130"/>
      <c r="C111" s="134"/>
      <c r="D111" s="132"/>
      <c r="E111" s="133"/>
      <c r="F111" s="130"/>
      <c r="G111" s="132"/>
      <c r="H111" s="132"/>
      <c r="I111" s="132"/>
      <c r="J111" s="132"/>
      <c r="K111" s="130"/>
      <c r="L111" s="134"/>
      <c r="M111" s="130"/>
      <c r="N111" s="134"/>
      <c r="O111" s="134"/>
      <c r="P111" s="134"/>
      <c r="Q111" s="87"/>
    </row>
    <row r="112" spans="1:17" s="88" customFormat="1" ht="14.25">
      <c r="A112" s="83"/>
      <c r="B112" s="130"/>
      <c r="C112" s="134"/>
      <c r="D112" s="132"/>
      <c r="E112" s="133"/>
      <c r="F112" s="130"/>
      <c r="G112" s="132"/>
      <c r="H112" s="132"/>
      <c r="I112" s="132"/>
      <c r="J112" s="132"/>
      <c r="K112" s="130"/>
      <c r="L112" s="134"/>
      <c r="M112" s="130"/>
      <c r="N112" s="134"/>
      <c r="O112" s="134"/>
      <c r="P112" s="134"/>
      <c r="Q112" s="87"/>
    </row>
    <row r="113" spans="1:17" s="88" customFormat="1" ht="14.25">
      <c r="A113" s="83"/>
      <c r="B113" s="130"/>
      <c r="C113" s="134"/>
      <c r="D113" s="132"/>
      <c r="E113" s="133"/>
      <c r="F113" s="130"/>
      <c r="G113" s="132"/>
      <c r="H113" s="132"/>
      <c r="I113" s="132"/>
      <c r="J113" s="132"/>
      <c r="K113" s="130"/>
      <c r="L113" s="134"/>
      <c r="M113" s="130"/>
      <c r="N113" s="134"/>
      <c r="O113" s="134"/>
      <c r="P113" s="134"/>
      <c r="Q113" s="87"/>
    </row>
    <row r="114" spans="1:17" s="88" customFormat="1" ht="14.25">
      <c r="A114" s="83"/>
      <c r="B114" s="130"/>
      <c r="C114" s="134"/>
      <c r="D114" s="132"/>
      <c r="E114" s="133"/>
      <c r="F114" s="130"/>
      <c r="G114" s="132"/>
      <c r="H114" s="132"/>
      <c r="I114" s="132"/>
      <c r="J114" s="132"/>
      <c r="K114" s="130"/>
      <c r="L114" s="134"/>
      <c r="M114" s="130"/>
      <c r="N114" s="134"/>
      <c r="O114" s="134"/>
      <c r="P114" s="134"/>
      <c r="Q114" s="87"/>
    </row>
    <row r="115" spans="1:17" s="88" customFormat="1">
      <c r="A115" s="83"/>
      <c r="B115" s="83"/>
      <c r="C115" s="86"/>
      <c r="D115" s="84"/>
      <c r="E115" s="85"/>
      <c r="F115" s="83"/>
      <c r="G115" s="84"/>
      <c r="H115" s="84"/>
      <c r="I115" s="84"/>
      <c r="J115" s="84"/>
      <c r="K115" s="83"/>
      <c r="L115" s="86"/>
      <c r="M115" s="83"/>
      <c r="N115" s="86"/>
      <c r="O115" s="86"/>
      <c r="P115" s="86"/>
      <c r="Q115" s="87"/>
    </row>
    <row r="116" spans="1:17" s="88" customFormat="1">
      <c r="A116" s="83"/>
      <c r="B116" s="83"/>
      <c r="C116" s="86"/>
      <c r="D116" s="84"/>
      <c r="E116" s="85"/>
      <c r="F116" s="83"/>
      <c r="G116" s="84"/>
      <c r="H116" s="84"/>
      <c r="I116" s="84"/>
      <c r="J116" s="84"/>
      <c r="K116" s="83"/>
      <c r="L116" s="86"/>
      <c r="M116" s="83"/>
      <c r="N116" s="86"/>
      <c r="O116" s="86"/>
      <c r="P116" s="86"/>
      <c r="Q116" s="87"/>
    </row>
    <row r="117" spans="1:17" s="88" customFormat="1">
      <c r="A117" s="83"/>
      <c r="B117" s="83"/>
      <c r="C117" s="86"/>
      <c r="D117" s="84"/>
      <c r="E117" s="85"/>
      <c r="F117" s="83"/>
      <c r="G117" s="84"/>
      <c r="H117" s="84"/>
      <c r="I117" s="84"/>
      <c r="J117" s="84"/>
      <c r="K117" s="83"/>
      <c r="L117" s="86"/>
      <c r="M117" s="83"/>
      <c r="N117" s="86"/>
      <c r="O117" s="86"/>
      <c r="P117" s="86"/>
      <c r="Q117" s="87"/>
    </row>
    <row r="118" spans="1:17" s="88" customFormat="1">
      <c r="A118" s="83"/>
      <c r="B118" s="83"/>
      <c r="C118" s="86"/>
      <c r="D118" s="84"/>
      <c r="E118" s="85"/>
      <c r="F118" s="83"/>
      <c r="G118" s="84"/>
      <c r="H118" s="84"/>
      <c r="I118" s="84"/>
      <c r="J118" s="84"/>
      <c r="K118" s="83"/>
      <c r="L118" s="86"/>
      <c r="M118" s="83"/>
      <c r="N118" s="86"/>
      <c r="O118" s="86"/>
      <c r="P118" s="86"/>
      <c r="Q118" s="87"/>
    </row>
    <row r="119" spans="1:17" s="88" customFormat="1">
      <c r="A119" s="83"/>
      <c r="B119" s="83"/>
      <c r="C119" s="86"/>
      <c r="D119" s="84"/>
      <c r="E119" s="85"/>
      <c r="F119" s="83"/>
      <c r="G119" s="84"/>
      <c r="H119" s="84"/>
      <c r="I119" s="84"/>
      <c r="J119" s="84"/>
      <c r="K119" s="83"/>
      <c r="L119" s="86"/>
      <c r="M119" s="83"/>
      <c r="N119" s="86"/>
      <c r="O119" s="86"/>
      <c r="P119" s="86"/>
      <c r="Q119" s="87"/>
    </row>
    <row r="120" spans="1:17" s="88" customFormat="1">
      <c r="A120" s="83"/>
      <c r="B120" s="83"/>
      <c r="C120" s="86"/>
      <c r="D120" s="84"/>
      <c r="E120" s="85"/>
      <c r="F120" s="83"/>
      <c r="G120" s="84"/>
      <c r="H120" s="84"/>
      <c r="I120" s="84"/>
      <c r="J120" s="84"/>
      <c r="K120" s="83"/>
      <c r="L120" s="86"/>
      <c r="M120" s="83"/>
      <c r="N120" s="86"/>
      <c r="O120" s="86"/>
      <c r="P120" s="86"/>
      <c r="Q120" s="87"/>
    </row>
    <row r="121" spans="1:17" s="88" customFormat="1">
      <c r="A121" s="83"/>
      <c r="B121" s="83"/>
      <c r="C121" s="86"/>
      <c r="D121" s="84"/>
      <c r="E121" s="85"/>
      <c r="F121" s="83"/>
      <c r="G121" s="84"/>
      <c r="H121" s="84"/>
      <c r="I121" s="84"/>
      <c r="J121" s="84"/>
      <c r="K121" s="83"/>
      <c r="L121" s="86"/>
      <c r="M121" s="83"/>
      <c r="N121" s="86"/>
      <c r="O121" s="86"/>
      <c r="P121" s="86"/>
      <c r="Q121" s="87"/>
    </row>
    <row r="122" spans="1:17" s="88" customFormat="1">
      <c r="A122" s="83"/>
      <c r="B122" s="83"/>
      <c r="C122" s="86"/>
      <c r="D122" s="84"/>
      <c r="E122" s="85"/>
      <c r="F122" s="83"/>
      <c r="G122" s="84"/>
      <c r="H122" s="84"/>
      <c r="I122" s="84"/>
      <c r="J122" s="84"/>
      <c r="K122" s="83"/>
      <c r="L122" s="86"/>
      <c r="M122" s="83"/>
      <c r="N122" s="86"/>
      <c r="O122" s="86"/>
      <c r="P122" s="86"/>
      <c r="Q122" s="87"/>
    </row>
    <row r="123" spans="1:17" s="88" customFormat="1">
      <c r="A123" s="83"/>
      <c r="B123" s="83"/>
      <c r="C123" s="86"/>
      <c r="D123" s="84"/>
      <c r="E123" s="85"/>
      <c r="F123" s="83"/>
      <c r="G123" s="84"/>
      <c r="H123" s="84"/>
      <c r="I123" s="84"/>
      <c r="J123" s="84"/>
      <c r="K123" s="83"/>
      <c r="L123" s="86"/>
      <c r="M123" s="83"/>
      <c r="N123" s="86"/>
      <c r="O123" s="86"/>
      <c r="P123" s="86"/>
      <c r="Q123" s="87"/>
    </row>
    <row r="124" spans="1:17" s="88" customFormat="1">
      <c r="A124" s="83"/>
      <c r="B124" s="83"/>
      <c r="C124" s="86"/>
      <c r="D124" s="84"/>
      <c r="E124" s="85"/>
      <c r="F124" s="83"/>
      <c r="G124" s="84"/>
      <c r="H124" s="84"/>
      <c r="I124" s="84"/>
      <c r="J124" s="84"/>
      <c r="K124" s="83"/>
      <c r="L124" s="86"/>
      <c r="M124" s="83"/>
      <c r="N124" s="86"/>
      <c r="O124" s="86"/>
      <c r="P124" s="86"/>
      <c r="Q124" s="87"/>
    </row>
    <row r="125" spans="1:17" s="88" customFormat="1">
      <c r="A125" s="83"/>
      <c r="B125" s="83"/>
      <c r="C125" s="86"/>
      <c r="D125" s="84"/>
      <c r="E125" s="85"/>
      <c r="F125" s="83"/>
      <c r="G125" s="84"/>
      <c r="H125" s="84"/>
      <c r="I125" s="84"/>
      <c r="J125" s="84"/>
      <c r="K125" s="83"/>
      <c r="L125" s="86"/>
      <c r="M125" s="83"/>
      <c r="N125" s="86"/>
      <c r="O125" s="86"/>
      <c r="P125" s="86"/>
      <c r="Q125" s="87"/>
    </row>
    <row r="126" spans="1:17" s="88" customFormat="1">
      <c r="A126" s="83"/>
      <c r="B126" s="83"/>
      <c r="C126" s="86"/>
      <c r="D126" s="84"/>
      <c r="E126" s="85"/>
      <c r="F126" s="83"/>
      <c r="G126" s="84"/>
      <c r="H126" s="84"/>
      <c r="I126" s="84"/>
      <c r="J126" s="84"/>
      <c r="K126" s="83"/>
      <c r="L126" s="86"/>
      <c r="M126" s="83"/>
      <c r="N126" s="86"/>
      <c r="O126" s="86"/>
      <c r="P126" s="86"/>
      <c r="Q126" s="87"/>
    </row>
    <row r="127" spans="1:17" s="88" customFormat="1">
      <c r="A127" s="83"/>
      <c r="B127" s="83"/>
      <c r="C127" s="86"/>
      <c r="D127" s="84"/>
      <c r="E127" s="85"/>
      <c r="F127" s="83"/>
      <c r="G127" s="84"/>
      <c r="H127" s="84"/>
      <c r="I127" s="84"/>
      <c r="J127" s="84"/>
      <c r="K127" s="83"/>
      <c r="L127" s="86"/>
      <c r="M127" s="83"/>
      <c r="N127" s="86"/>
      <c r="O127" s="86"/>
      <c r="P127" s="86"/>
      <c r="Q127" s="87"/>
    </row>
    <row r="128" spans="1:17" s="88" customFormat="1">
      <c r="A128" s="83"/>
      <c r="B128" s="83"/>
      <c r="C128" s="86"/>
      <c r="D128" s="84"/>
      <c r="E128" s="85"/>
      <c r="F128" s="83"/>
      <c r="G128" s="84"/>
      <c r="H128" s="84"/>
      <c r="I128" s="84"/>
      <c r="J128" s="84"/>
      <c r="K128" s="83"/>
      <c r="L128" s="86"/>
      <c r="M128" s="83"/>
      <c r="N128" s="86"/>
      <c r="O128" s="86"/>
      <c r="P128" s="86"/>
      <c r="Q128" s="87"/>
    </row>
    <row r="129" spans="1:17" s="88" customFormat="1">
      <c r="A129" s="83"/>
      <c r="B129" s="83"/>
      <c r="C129" s="86"/>
      <c r="D129" s="84"/>
      <c r="E129" s="85"/>
      <c r="F129" s="83"/>
      <c r="G129" s="84"/>
      <c r="H129" s="84"/>
      <c r="I129" s="84"/>
      <c r="J129" s="84"/>
      <c r="K129" s="83"/>
      <c r="L129" s="86"/>
      <c r="M129" s="83"/>
      <c r="N129" s="86"/>
      <c r="O129" s="86"/>
      <c r="P129" s="86"/>
      <c r="Q129" s="87"/>
    </row>
    <row r="130" spans="1:17" s="88" customFormat="1">
      <c r="A130" s="83"/>
      <c r="B130" s="83"/>
      <c r="C130" s="86"/>
      <c r="D130" s="84"/>
      <c r="E130" s="85"/>
      <c r="F130" s="83"/>
      <c r="G130" s="84"/>
      <c r="H130" s="84"/>
      <c r="I130" s="84"/>
      <c r="J130" s="84"/>
      <c r="K130" s="83"/>
      <c r="L130" s="86"/>
      <c r="M130" s="83"/>
      <c r="N130" s="86"/>
      <c r="O130" s="86"/>
      <c r="P130" s="86"/>
      <c r="Q130" s="87"/>
    </row>
    <row r="131" spans="1:17" s="88" customFormat="1">
      <c r="A131" s="83"/>
      <c r="B131" s="83"/>
      <c r="C131" s="86"/>
      <c r="D131" s="84"/>
      <c r="E131" s="85"/>
      <c r="F131" s="83"/>
      <c r="G131" s="84"/>
      <c r="H131" s="84"/>
      <c r="I131" s="84"/>
      <c r="J131" s="84"/>
      <c r="K131" s="83"/>
      <c r="L131" s="86"/>
      <c r="M131" s="83"/>
      <c r="N131" s="86"/>
      <c r="O131" s="86"/>
      <c r="P131" s="86"/>
      <c r="Q131" s="87"/>
    </row>
    <row r="132" spans="1:17" s="88" customFormat="1">
      <c r="A132" s="83"/>
      <c r="B132" s="83"/>
      <c r="C132" s="86"/>
      <c r="D132" s="84"/>
      <c r="E132" s="85"/>
      <c r="F132" s="83"/>
      <c r="G132" s="84"/>
      <c r="H132" s="84"/>
      <c r="I132" s="84"/>
      <c r="J132" s="84"/>
      <c r="K132" s="83"/>
      <c r="L132" s="86"/>
      <c r="M132" s="83"/>
      <c r="N132" s="86"/>
      <c r="O132" s="86"/>
      <c r="P132" s="86"/>
      <c r="Q132" s="87"/>
    </row>
    <row r="133" spans="1:17" s="88" customFormat="1">
      <c r="A133" s="83"/>
      <c r="B133" s="83"/>
      <c r="C133" s="86"/>
      <c r="D133" s="84"/>
      <c r="E133" s="85"/>
      <c r="F133" s="83"/>
      <c r="G133" s="84"/>
      <c r="H133" s="84"/>
      <c r="I133" s="84"/>
      <c r="J133" s="84"/>
      <c r="K133" s="83"/>
      <c r="L133" s="86"/>
      <c r="M133" s="83"/>
      <c r="N133" s="86"/>
      <c r="O133" s="86"/>
      <c r="P133" s="86"/>
      <c r="Q133" s="87"/>
    </row>
    <row r="134" spans="1:17" s="88" customFormat="1">
      <c r="A134" s="83"/>
      <c r="B134" s="83"/>
      <c r="C134" s="86"/>
      <c r="D134" s="84"/>
      <c r="E134" s="85"/>
      <c r="F134" s="83"/>
      <c r="G134" s="84"/>
      <c r="H134" s="84"/>
      <c r="I134" s="84"/>
      <c r="J134" s="84"/>
      <c r="K134" s="83"/>
      <c r="L134" s="86"/>
      <c r="M134" s="83"/>
      <c r="N134" s="86"/>
      <c r="O134" s="86"/>
      <c r="P134" s="86"/>
      <c r="Q134" s="87"/>
    </row>
    <row r="135" spans="1:17" s="88" customFormat="1">
      <c r="A135" s="83"/>
      <c r="B135" s="83"/>
      <c r="C135" s="86"/>
      <c r="D135" s="84"/>
      <c r="E135" s="85"/>
      <c r="F135" s="83"/>
      <c r="G135" s="84"/>
      <c r="H135" s="84"/>
      <c r="I135" s="84"/>
      <c r="J135" s="84"/>
      <c r="K135" s="83"/>
      <c r="L135" s="86"/>
      <c r="M135" s="83"/>
      <c r="N135" s="86"/>
      <c r="O135" s="86"/>
      <c r="P135" s="86"/>
      <c r="Q135" s="87"/>
    </row>
    <row r="136" spans="1:17" s="88" customFormat="1">
      <c r="A136" s="83"/>
      <c r="B136" s="83"/>
      <c r="C136" s="86"/>
      <c r="D136" s="84"/>
      <c r="E136" s="85"/>
      <c r="F136" s="83"/>
      <c r="G136" s="84"/>
      <c r="H136" s="84"/>
      <c r="I136" s="84"/>
      <c r="J136" s="84"/>
      <c r="K136" s="83"/>
      <c r="L136" s="86"/>
      <c r="M136" s="83"/>
      <c r="N136" s="86"/>
      <c r="O136" s="86"/>
      <c r="P136" s="86"/>
      <c r="Q136" s="87"/>
    </row>
    <row r="137" spans="1:17" s="88" customFormat="1">
      <c r="A137" s="83"/>
      <c r="B137" s="83"/>
      <c r="C137" s="86"/>
      <c r="D137" s="84"/>
      <c r="E137" s="85"/>
      <c r="F137" s="83"/>
      <c r="G137" s="84"/>
      <c r="H137" s="84"/>
      <c r="I137" s="84"/>
      <c r="J137" s="84"/>
      <c r="K137" s="83"/>
      <c r="L137" s="86"/>
      <c r="M137" s="83"/>
      <c r="N137" s="86"/>
      <c r="O137" s="86"/>
      <c r="P137" s="86"/>
      <c r="Q137" s="87"/>
    </row>
    <row r="138" spans="1:17" s="88" customFormat="1">
      <c r="A138" s="83"/>
      <c r="B138" s="83"/>
      <c r="C138" s="86"/>
      <c r="D138" s="84"/>
      <c r="E138" s="85"/>
      <c r="F138" s="83"/>
      <c r="G138" s="84"/>
      <c r="H138" s="84"/>
      <c r="I138" s="84"/>
      <c r="J138" s="84"/>
      <c r="K138" s="83"/>
      <c r="L138" s="86"/>
      <c r="M138" s="83"/>
      <c r="N138" s="86"/>
      <c r="O138" s="86"/>
      <c r="P138" s="86"/>
      <c r="Q138" s="87"/>
    </row>
    <row r="139" spans="1:17" s="88" customFormat="1">
      <c r="A139" s="83"/>
      <c r="B139" s="83"/>
      <c r="C139" s="86"/>
      <c r="D139" s="84"/>
      <c r="E139" s="85"/>
      <c r="F139" s="83"/>
      <c r="G139" s="84"/>
      <c r="H139" s="84"/>
      <c r="I139" s="84"/>
      <c r="J139" s="84"/>
      <c r="K139" s="83"/>
      <c r="L139" s="86"/>
      <c r="M139" s="83"/>
      <c r="N139" s="86"/>
      <c r="O139" s="86"/>
      <c r="P139" s="86"/>
      <c r="Q139" s="87"/>
    </row>
    <row r="140" spans="1:17" s="88" customFormat="1">
      <c r="A140" s="83"/>
      <c r="B140" s="83"/>
      <c r="C140" s="86"/>
      <c r="D140" s="84"/>
      <c r="E140" s="85"/>
      <c r="F140" s="83"/>
      <c r="G140" s="84"/>
      <c r="H140" s="84"/>
      <c r="I140" s="84"/>
      <c r="J140" s="84"/>
      <c r="K140" s="83"/>
      <c r="L140" s="86"/>
      <c r="M140" s="83"/>
      <c r="N140" s="86"/>
      <c r="O140" s="86"/>
      <c r="P140" s="86"/>
      <c r="Q140" s="87"/>
    </row>
    <row r="141" spans="1:17" s="88" customFormat="1">
      <c r="A141" s="83"/>
      <c r="B141" s="83"/>
      <c r="C141" s="86"/>
      <c r="D141" s="84"/>
      <c r="E141" s="85"/>
      <c r="F141" s="83"/>
      <c r="G141" s="84"/>
      <c r="H141" s="84"/>
      <c r="I141" s="84"/>
      <c r="J141" s="84"/>
      <c r="K141" s="83"/>
      <c r="L141" s="86"/>
      <c r="M141" s="83"/>
      <c r="N141" s="86"/>
      <c r="O141" s="86"/>
      <c r="P141" s="86"/>
      <c r="Q141" s="87"/>
    </row>
    <row r="142" spans="1:17" s="88" customFormat="1">
      <c r="A142" s="83"/>
      <c r="B142" s="83"/>
      <c r="C142" s="86"/>
      <c r="D142" s="84"/>
      <c r="E142" s="85"/>
      <c r="F142" s="83"/>
      <c r="G142" s="84"/>
      <c r="H142" s="84"/>
      <c r="I142" s="84"/>
      <c r="J142" s="84"/>
      <c r="K142" s="83"/>
      <c r="L142" s="86"/>
      <c r="M142" s="83"/>
      <c r="N142" s="86"/>
      <c r="O142" s="86"/>
      <c r="P142" s="86"/>
      <c r="Q142" s="87"/>
    </row>
    <row r="143" spans="1:17" s="88" customFormat="1">
      <c r="A143" s="83"/>
      <c r="B143" s="83"/>
      <c r="C143" s="86"/>
      <c r="D143" s="84"/>
      <c r="E143" s="85"/>
      <c r="F143" s="83"/>
      <c r="G143" s="84"/>
      <c r="H143" s="84"/>
      <c r="I143" s="84"/>
      <c r="J143" s="84"/>
      <c r="K143" s="83"/>
      <c r="L143" s="86"/>
      <c r="M143" s="83"/>
      <c r="N143" s="86"/>
      <c r="O143" s="86"/>
      <c r="P143" s="86"/>
      <c r="Q143" s="87"/>
    </row>
    <row r="144" spans="1:17">
      <c r="A144" s="71"/>
      <c r="B144" s="71"/>
      <c r="C144" s="72"/>
      <c r="D144" s="73"/>
      <c r="E144" s="74"/>
      <c r="F144" s="71"/>
      <c r="G144" s="73"/>
      <c r="H144" s="73"/>
      <c r="I144" s="73"/>
      <c r="J144" s="73"/>
      <c r="K144" s="71"/>
      <c r="L144" s="72"/>
      <c r="M144" s="71"/>
      <c r="N144" s="72"/>
      <c r="O144" s="72"/>
      <c r="P144" s="72"/>
      <c r="Q144" s="53"/>
    </row>
    <row r="145" spans="1:17">
      <c r="A145" s="71"/>
      <c r="B145" s="71"/>
      <c r="C145" s="72"/>
      <c r="D145" s="73"/>
      <c r="E145" s="74"/>
      <c r="F145" s="71"/>
      <c r="G145" s="73"/>
      <c r="H145" s="73"/>
      <c r="I145" s="73"/>
      <c r="J145" s="73"/>
      <c r="K145" s="71"/>
      <c r="L145" s="72"/>
      <c r="M145" s="71"/>
      <c r="N145" s="72"/>
      <c r="O145" s="72"/>
      <c r="P145" s="72"/>
      <c r="Q145" s="53"/>
    </row>
    <row r="146" spans="1:17">
      <c r="A146" s="71"/>
      <c r="B146" s="71"/>
      <c r="C146" s="72"/>
      <c r="D146" s="73"/>
      <c r="E146" s="74"/>
      <c r="F146" s="71"/>
      <c r="G146" s="73"/>
      <c r="H146" s="73"/>
      <c r="I146" s="73"/>
      <c r="J146" s="73"/>
      <c r="K146" s="71"/>
      <c r="L146" s="72"/>
      <c r="M146" s="71"/>
      <c r="N146" s="72"/>
      <c r="O146" s="72"/>
      <c r="P146" s="72"/>
      <c r="Q146" s="53"/>
    </row>
    <row r="147" spans="1:17">
      <c r="A147" s="71"/>
      <c r="B147" s="71"/>
      <c r="C147" s="72"/>
      <c r="D147" s="73"/>
      <c r="E147" s="74"/>
      <c r="F147" s="71"/>
      <c r="G147" s="73"/>
      <c r="H147" s="73"/>
      <c r="I147" s="73"/>
      <c r="J147" s="73"/>
      <c r="K147" s="71"/>
      <c r="L147" s="72"/>
      <c r="M147" s="71"/>
      <c r="N147" s="72"/>
      <c r="O147" s="72"/>
      <c r="P147" s="72"/>
      <c r="Q147" s="53"/>
    </row>
    <row r="148" spans="1:17">
      <c r="A148" s="71"/>
      <c r="B148" s="71"/>
      <c r="C148" s="72"/>
      <c r="D148" s="73"/>
      <c r="E148" s="74"/>
      <c r="F148" s="71"/>
      <c r="G148" s="73"/>
      <c r="H148" s="73"/>
      <c r="I148" s="73"/>
      <c r="J148" s="73"/>
      <c r="K148" s="71"/>
      <c r="L148" s="72"/>
      <c r="M148" s="71"/>
      <c r="N148" s="72"/>
      <c r="O148" s="72"/>
      <c r="P148" s="72"/>
      <c r="Q148" s="53"/>
    </row>
    <row r="149" spans="1:17">
      <c r="A149" s="71"/>
      <c r="B149" s="71"/>
      <c r="C149" s="72"/>
      <c r="D149" s="73"/>
      <c r="E149" s="74"/>
      <c r="F149" s="71"/>
      <c r="G149" s="73"/>
      <c r="H149" s="73"/>
      <c r="I149" s="73"/>
      <c r="J149" s="73"/>
      <c r="K149" s="71"/>
      <c r="L149" s="72"/>
      <c r="M149" s="71"/>
      <c r="N149" s="72"/>
      <c r="O149" s="72"/>
      <c r="P149" s="72"/>
      <c r="Q149" s="53"/>
    </row>
    <row r="150" spans="1:17">
      <c r="A150" s="71"/>
      <c r="B150" s="71"/>
      <c r="C150" s="72"/>
      <c r="D150" s="73"/>
      <c r="E150" s="74"/>
      <c r="F150" s="71"/>
      <c r="G150" s="73"/>
      <c r="H150" s="73"/>
      <c r="I150" s="73"/>
      <c r="J150" s="73"/>
      <c r="K150" s="71"/>
      <c r="L150" s="72"/>
      <c r="M150" s="71"/>
      <c r="N150" s="72"/>
      <c r="O150" s="72"/>
      <c r="P150" s="72"/>
      <c r="Q150" s="53"/>
    </row>
    <row r="151" spans="1:17">
      <c r="A151" s="71"/>
      <c r="B151" s="71"/>
      <c r="C151" s="72"/>
      <c r="D151" s="73"/>
      <c r="E151" s="74"/>
      <c r="F151" s="71"/>
      <c r="G151" s="73"/>
      <c r="H151" s="73"/>
      <c r="I151" s="73"/>
      <c r="J151" s="73"/>
      <c r="K151" s="71"/>
      <c r="L151" s="72"/>
      <c r="M151" s="71"/>
      <c r="N151" s="72"/>
      <c r="O151" s="72"/>
      <c r="P151" s="72"/>
      <c r="Q151" s="53"/>
    </row>
    <row r="152" spans="1:17">
      <c r="A152" s="71"/>
      <c r="B152" s="71"/>
      <c r="C152" s="72"/>
      <c r="D152" s="73"/>
      <c r="E152" s="74"/>
      <c r="F152" s="71"/>
      <c r="G152" s="73"/>
      <c r="H152" s="73"/>
      <c r="I152" s="73"/>
      <c r="J152" s="73"/>
      <c r="K152" s="71"/>
      <c r="L152" s="72"/>
      <c r="M152" s="71"/>
      <c r="N152" s="72"/>
      <c r="O152" s="72"/>
      <c r="P152" s="72"/>
      <c r="Q152" s="53"/>
    </row>
    <row r="153" spans="1:17">
      <c r="A153" s="71"/>
      <c r="B153" s="71"/>
      <c r="C153" s="72"/>
      <c r="D153" s="73"/>
      <c r="E153" s="74"/>
      <c r="F153" s="71"/>
      <c r="G153" s="73"/>
      <c r="H153" s="73"/>
      <c r="I153" s="73"/>
      <c r="J153" s="73"/>
      <c r="K153" s="71"/>
      <c r="L153" s="72"/>
      <c r="M153" s="71"/>
      <c r="N153" s="72"/>
      <c r="O153" s="72"/>
      <c r="P153" s="72"/>
      <c r="Q153" s="53"/>
    </row>
    <row r="154" spans="1:17">
      <c r="A154" s="71"/>
      <c r="B154" s="71"/>
      <c r="C154" s="72"/>
      <c r="D154" s="73"/>
      <c r="E154" s="74"/>
      <c r="F154" s="71"/>
      <c r="G154" s="73"/>
      <c r="H154" s="73"/>
      <c r="I154" s="73"/>
      <c r="J154" s="73"/>
      <c r="K154" s="71"/>
      <c r="L154" s="72"/>
      <c r="M154" s="71"/>
      <c r="N154" s="72"/>
      <c r="O154" s="72"/>
      <c r="P154" s="72"/>
      <c r="Q154" s="53"/>
    </row>
    <row r="155" spans="1:17">
      <c r="A155" s="71"/>
      <c r="B155" s="71"/>
      <c r="C155" s="72"/>
      <c r="D155" s="73"/>
      <c r="E155" s="74"/>
      <c r="F155" s="71"/>
      <c r="G155" s="73"/>
      <c r="H155" s="73"/>
      <c r="I155" s="73"/>
      <c r="J155" s="73"/>
      <c r="K155" s="71"/>
      <c r="L155" s="72"/>
      <c r="M155" s="71"/>
      <c r="N155" s="72"/>
      <c r="O155" s="72"/>
      <c r="P155" s="72"/>
      <c r="Q155" s="53"/>
    </row>
    <row r="156" spans="1:17">
      <c r="A156" s="71"/>
      <c r="B156" s="71"/>
      <c r="C156" s="72"/>
      <c r="D156" s="73"/>
      <c r="E156" s="74"/>
      <c r="F156" s="71"/>
      <c r="G156" s="73"/>
      <c r="H156" s="73"/>
      <c r="I156" s="73"/>
      <c r="J156" s="73"/>
      <c r="K156" s="71"/>
      <c r="L156" s="72"/>
      <c r="M156" s="71"/>
      <c r="N156" s="72"/>
      <c r="O156" s="72"/>
      <c r="P156" s="72"/>
      <c r="Q156" s="53"/>
    </row>
    <row r="157" spans="1:17">
      <c r="A157" s="71"/>
      <c r="B157" s="71"/>
      <c r="C157" s="72"/>
      <c r="D157" s="73"/>
      <c r="E157" s="74"/>
      <c r="F157" s="71"/>
      <c r="G157" s="73"/>
      <c r="H157" s="73"/>
      <c r="I157" s="73"/>
      <c r="J157" s="73"/>
      <c r="K157" s="71"/>
      <c r="L157" s="72"/>
      <c r="M157" s="71"/>
      <c r="N157" s="72"/>
      <c r="O157" s="72"/>
      <c r="P157" s="72"/>
      <c r="Q157" s="53"/>
    </row>
    <row r="158" spans="1:17">
      <c r="A158" s="71"/>
      <c r="B158" s="71"/>
      <c r="C158" s="72"/>
      <c r="D158" s="73"/>
      <c r="E158" s="74"/>
      <c r="F158" s="71"/>
      <c r="G158" s="73"/>
      <c r="H158" s="73"/>
      <c r="I158" s="73"/>
      <c r="J158" s="73"/>
      <c r="K158" s="71"/>
      <c r="L158" s="72"/>
      <c r="M158" s="71"/>
      <c r="N158" s="72"/>
      <c r="O158" s="72"/>
      <c r="P158" s="72"/>
      <c r="Q158" s="53"/>
    </row>
    <row r="159" spans="1:17">
      <c r="A159" s="71"/>
      <c r="B159" s="71"/>
      <c r="C159" s="72"/>
      <c r="D159" s="73"/>
      <c r="E159" s="74"/>
      <c r="F159" s="71"/>
      <c r="G159" s="73"/>
      <c r="H159" s="73"/>
      <c r="I159" s="73"/>
      <c r="J159" s="73"/>
      <c r="K159" s="71"/>
      <c r="L159" s="72"/>
      <c r="M159" s="71"/>
      <c r="N159" s="72"/>
      <c r="O159" s="72"/>
      <c r="P159" s="72"/>
      <c r="Q159" s="53"/>
    </row>
    <row r="160" spans="1:17">
      <c r="A160" s="71"/>
      <c r="B160" s="71"/>
      <c r="C160" s="72"/>
      <c r="D160" s="73"/>
      <c r="E160" s="74"/>
      <c r="F160" s="71"/>
      <c r="G160" s="73"/>
      <c r="H160" s="73"/>
      <c r="I160" s="73"/>
      <c r="J160" s="73"/>
      <c r="K160" s="71"/>
      <c r="L160" s="72"/>
      <c r="M160" s="71"/>
      <c r="N160" s="72"/>
      <c r="O160" s="72"/>
      <c r="P160" s="72"/>
      <c r="Q160" s="53"/>
    </row>
    <row r="161" spans="1:17">
      <c r="A161" s="71"/>
      <c r="B161" s="71"/>
      <c r="C161" s="72"/>
      <c r="D161" s="73"/>
      <c r="E161" s="74"/>
      <c r="F161" s="71"/>
      <c r="G161" s="73"/>
      <c r="H161" s="73"/>
      <c r="I161" s="73"/>
      <c r="J161" s="73"/>
      <c r="K161" s="71"/>
      <c r="L161" s="72"/>
      <c r="M161" s="71"/>
      <c r="N161" s="72"/>
      <c r="O161" s="72"/>
      <c r="P161" s="72"/>
      <c r="Q161" s="53"/>
    </row>
    <row r="162" spans="1:17">
      <c r="A162" s="71"/>
      <c r="B162" s="71"/>
      <c r="C162" s="72"/>
      <c r="D162" s="73"/>
      <c r="E162" s="74"/>
      <c r="F162" s="71"/>
      <c r="G162" s="73"/>
      <c r="H162" s="73"/>
      <c r="I162" s="73"/>
      <c r="J162" s="73"/>
      <c r="K162" s="71"/>
      <c r="L162" s="72"/>
      <c r="M162" s="71"/>
      <c r="N162" s="72"/>
      <c r="O162" s="72"/>
      <c r="P162" s="72"/>
      <c r="Q162" s="53"/>
    </row>
    <row r="163" spans="1:17">
      <c r="A163" s="71"/>
      <c r="B163" s="71"/>
      <c r="C163" s="72"/>
      <c r="D163" s="73"/>
      <c r="E163" s="74"/>
      <c r="F163" s="71"/>
      <c r="G163" s="73"/>
      <c r="H163" s="73"/>
      <c r="I163" s="73"/>
      <c r="J163" s="73"/>
      <c r="K163" s="71"/>
      <c r="L163" s="72"/>
      <c r="M163" s="71"/>
      <c r="N163" s="72"/>
      <c r="O163" s="72"/>
      <c r="P163" s="72"/>
      <c r="Q163" s="53"/>
    </row>
    <row r="164" spans="1:17">
      <c r="A164" s="71"/>
      <c r="B164" s="71"/>
      <c r="C164" s="72"/>
      <c r="D164" s="73"/>
      <c r="E164" s="74"/>
      <c r="F164" s="71"/>
      <c r="G164" s="73"/>
      <c r="H164" s="73"/>
      <c r="I164" s="73"/>
      <c r="J164" s="73"/>
      <c r="K164" s="71"/>
      <c r="L164" s="72"/>
      <c r="M164" s="71"/>
      <c r="N164" s="72"/>
      <c r="O164" s="72"/>
      <c r="P164" s="72"/>
      <c r="Q164" s="53"/>
    </row>
    <row r="165" spans="1:17">
      <c r="A165" s="71"/>
      <c r="B165" s="71"/>
      <c r="C165" s="72"/>
      <c r="D165" s="73"/>
      <c r="E165" s="74"/>
      <c r="F165" s="71"/>
      <c r="G165" s="73"/>
      <c r="H165" s="73"/>
      <c r="I165" s="73"/>
      <c r="J165" s="73"/>
      <c r="K165" s="71"/>
      <c r="L165" s="72"/>
      <c r="M165" s="71"/>
      <c r="N165" s="72"/>
      <c r="O165" s="72"/>
      <c r="P165" s="72"/>
      <c r="Q165" s="53"/>
    </row>
    <row r="166" spans="1:17">
      <c r="A166" s="71"/>
      <c r="B166" s="71"/>
      <c r="C166" s="72"/>
      <c r="D166" s="73"/>
      <c r="E166" s="74"/>
      <c r="F166" s="71"/>
      <c r="G166" s="73"/>
      <c r="H166" s="73"/>
      <c r="I166" s="73"/>
      <c r="J166" s="73"/>
      <c r="K166" s="71"/>
      <c r="L166" s="72"/>
      <c r="M166" s="71"/>
      <c r="N166" s="72"/>
      <c r="O166" s="72"/>
      <c r="P166" s="72"/>
      <c r="Q166" s="53"/>
    </row>
    <row r="167" spans="1:17">
      <c r="A167" s="71"/>
      <c r="B167" s="71"/>
      <c r="C167" s="72"/>
      <c r="D167" s="73"/>
      <c r="E167" s="74"/>
      <c r="F167" s="71"/>
      <c r="G167" s="73"/>
      <c r="H167" s="73"/>
      <c r="I167" s="73"/>
      <c r="J167" s="73"/>
      <c r="K167" s="71"/>
      <c r="L167" s="72"/>
      <c r="M167" s="71"/>
      <c r="N167" s="72"/>
      <c r="O167" s="72"/>
      <c r="P167" s="72"/>
      <c r="Q167" s="53"/>
    </row>
    <row r="168" spans="1:17">
      <c r="A168" s="71"/>
      <c r="B168" s="71"/>
      <c r="C168" s="72"/>
      <c r="D168" s="73"/>
      <c r="E168" s="74"/>
      <c r="F168" s="71"/>
      <c r="G168" s="73"/>
      <c r="H168" s="73"/>
      <c r="I168" s="73"/>
      <c r="J168" s="73"/>
      <c r="K168" s="71"/>
      <c r="L168" s="72"/>
      <c r="M168" s="71"/>
      <c r="N168" s="72"/>
      <c r="O168" s="72"/>
      <c r="P168" s="72"/>
      <c r="Q168" s="53"/>
    </row>
    <row r="169" spans="1:17">
      <c r="A169" s="71"/>
      <c r="B169" s="71"/>
      <c r="C169" s="72"/>
      <c r="D169" s="73"/>
      <c r="E169" s="74"/>
      <c r="F169" s="71"/>
      <c r="G169" s="73"/>
      <c r="H169" s="73"/>
      <c r="I169" s="73"/>
      <c r="J169" s="73"/>
      <c r="K169" s="71"/>
      <c r="L169" s="72"/>
      <c r="M169" s="71"/>
      <c r="N169" s="72"/>
      <c r="O169" s="72"/>
      <c r="P169" s="72"/>
      <c r="Q169" s="53"/>
    </row>
    <row r="170" spans="1:17">
      <c r="A170" s="71"/>
      <c r="B170" s="71"/>
      <c r="C170" s="72"/>
      <c r="D170" s="73"/>
      <c r="E170" s="74"/>
      <c r="F170" s="71"/>
      <c r="G170" s="73"/>
      <c r="H170" s="73"/>
      <c r="I170" s="73"/>
      <c r="J170" s="73"/>
      <c r="K170" s="71"/>
      <c r="L170" s="72"/>
      <c r="M170" s="71"/>
      <c r="N170" s="72"/>
      <c r="O170" s="72"/>
      <c r="P170" s="72"/>
      <c r="Q170" s="53"/>
    </row>
    <row r="171" spans="1:17">
      <c r="A171" s="71"/>
      <c r="B171" s="71"/>
      <c r="C171" s="72"/>
      <c r="D171" s="73"/>
      <c r="E171" s="74"/>
      <c r="F171" s="71"/>
      <c r="G171" s="73"/>
      <c r="H171" s="73"/>
      <c r="I171" s="73"/>
      <c r="J171" s="73"/>
      <c r="K171" s="71"/>
      <c r="L171" s="72"/>
      <c r="M171" s="71"/>
      <c r="N171" s="72"/>
      <c r="O171" s="72"/>
      <c r="P171" s="72"/>
      <c r="Q171" s="53"/>
    </row>
    <row r="172" spans="1:17">
      <c r="A172" s="71"/>
      <c r="B172" s="71"/>
      <c r="C172" s="72"/>
      <c r="D172" s="73"/>
      <c r="E172" s="74"/>
      <c r="F172" s="71"/>
      <c r="G172" s="73"/>
      <c r="H172" s="73"/>
      <c r="I172" s="73"/>
      <c r="J172" s="73"/>
      <c r="K172" s="71"/>
      <c r="L172" s="72"/>
      <c r="M172" s="71"/>
      <c r="N172" s="72"/>
      <c r="O172" s="72"/>
      <c r="P172" s="72"/>
      <c r="Q172" s="53"/>
    </row>
    <row r="173" spans="1:17">
      <c r="A173" s="71"/>
      <c r="B173" s="71"/>
      <c r="C173" s="72"/>
      <c r="D173" s="73"/>
      <c r="E173" s="74"/>
      <c r="F173" s="71"/>
      <c r="G173" s="73"/>
      <c r="H173" s="73"/>
      <c r="I173" s="73"/>
      <c r="J173" s="73"/>
      <c r="K173" s="71"/>
      <c r="L173" s="72"/>
      <c r="M173" s="71"/>
      <c r="N173" s="72"/>
      <c r="O173" s="72"/>
      <c r="P173" s="72"/>
      <c r="Q173" s="53"/>
    </row>
    <row r="174" spans="1:17">
      <c r="A174" s="71"/>
      <c r="B174" s="71"/>
      <c r="C174" s="72"/>
      <c r="D174" s="73"/>
      <c r="E174" s="74"/>
      <c r="F174" s="71"/>
      <c r="G174" s="73"/>
      <c r="H174" s="73"/>
      <c r="I174" s="73"/>
      <c r="J174" s="73"/>
      <c r="K174" s="71"/>
      <c r="L174" s="72"/>
      <c r="M174" s="71"/>
      <c r="N174" s="72"/>
      <c r="O174" s="72"/>
      <c r="P174" s="72"/>
      <c r="Q174" s="53"/>
    </row>
    <row r="175" spans="1:17">
      <c r="A175" s="71"/>
      <c r="B175" s="71"/>
      <c r="C175" s="72"/>
      <c r="D175" s="73"/>
      <c r="E175" s="74"/>
      <c r="F175" s="71"/>
      <c r="G175" s="73"/>
      <c r="H175" s="73"/>
      <c r="I175" s="73"/>
      <c r="J175" s="73"/>
      <c r="K175" s="71"/>
      <c r="L175" s="72"/>
      <c r="M175" s="71"/>
      <c r="N175" s="72"/>
      <c r="O175" s="72"/>
      <c r="P175" s="72"/>
      <c r="Q175" s="53"/>
    </row>
    <row r="176" spans="1:17">
      <c r="A176" s="71"/>
      <c r="B176" s="71"/>
      <c r="C176" s="72"/>
      <c r="D176" s="73"/>
      <c r="E176" s="74"/>
      <c r="F176" s="71"/>
      <c r="G176" s="73"/>
      <c r="H176" s="73"/>
      <c r="I176" s="73"/>
      <c r="J176" s="73"/>
      <c r="K176" s="71"/>
      <c r="L176" s="72"/>
      <c r="M176" s="71"/>
      <c r="N176" s="72"/>
      <c r="O176" s="72"/>
      <c r="P176" s="72"/>
      <c r="Q176" s="53"/>
    </row>
    <row r="177" spans="1:17">
      <c r="A177" s="71"/>
      <c r="B177" s="71"/>
      <c r="C177" s="72"/>
      <c r="D177" s="73"/>
      <c r="E177" s="74"/>
      <c r="F177" s="71"/>
      <c r="G177" s="73"/>
      <c r="H177" s="73"/>
      <c r="I177" s="73"/>
      <c r="J177" s="73"/>
      <c r="K177" s="71"/>
      <c r="L177" s="72"/>
      <c r="M177" s="71"/>
      <c r="N177" s="72"/>
      <c r="O177" s="72"/>
      <c r="P177" s="72"/>
      <c r="Q177" s="53"/>
    </row>
    <row r="178" spans="1:17">
      <c r="A178" s="71"/>
      <c r="B178" s="71"/>
      <c r="C178" s="72"/>
      <c r="D178" s="73"/>
      <c r="E178" s="74"/>
      <c r="F178" s="71"/>
      <c r="G178" s="73"/>
      <c r="H178" s="73"/>
      <c r="I178" s="73"/>
      <c r="J178" s="73"/>
      <c r="K178" s="71"/>
      <c r="L178" s="72"/>
      <c r="M178" s="71"/>
      <c r="N178" s="72"/>
      <c r="O178" s="72"/>
      <c r="P178" s="72"/>
      <c r="Q178" s="53"/>
    </row>
    <row r="179" spans="1:17">
      <c r="A179" s="71"/>
      <c r="B179" s="71"/>
      <c r="C179" s="72"/>
      <c r="D179" s="73"/>
      <c r="E179" s="74"/>
      <c r="F179" s="71"/>
      <c r="G179" s="73"/>
      <c r="H179" s="73"/>
      <c r="I179" s="73"/>
      <c r="J179" s="73"/>
      <c r="K179" s="71"/>
      <c r="L179" s="72"/>
      <c r="M179" s="71"/>
      <c r="N179" s="72"/>
      <c r="O179" s="72"/>
      <c r="P179" s="72"/>
      <c r="Q179" s="53"/>
    </row>
    <row r="180" spans="1:17">
      <c r="A180" s="71"/>
      <c r="B180" s="71"/>
      <c r="C180" s="72"/>
      <c r="D180" s="73"/>
      <c r="E180" s="74"/>
      <c r="F180" s="71"/>
      <c r="G180" s="73"/>
      <c r="H180" s="73"/>
      <c r="I180" s="73"/>
      <c r="J180" s="73"/>
      <c r="K180" s="71"/>
      <c r="L180" s="72"/>
      <c r="M180" s="71"/>
      <c r="N180" s="72"/>
      <c r="O180" s="72"/>
      <c r="P180" s="72"/>
      <c r="Q180" s="53"/>
    </row>
    <row r="181" spans="1:17">
      <c r="A181" s="71"/>
      <c r="B181" s="71"/>
      <c r="C181" s="72"/>
      <c r="D181" s="73"/>
      <c r="E181" s="74"/>
      <c r="F181" s="71"/>
      <c r="G181" s="73"/>
      <c r="H181" s="73"/>
      <c r="I181" s="73"/>
      <c r="J181" s="73"/>
      <c r="K181" s="71"/>
      <c r="L181" s="72"/>
      <c r="M181" s="71"/>
      <c r="N181" s="72"/>
      <c r="O181" s="72"/>
      <c r="P181" s="72"/>
      <c r="Q181" s="53"/>
    </row>
    <row r="182" spans="1:17">
      <c r="A182" s="71"/>
      <c r="B182" s="71"/>
      <c r="C182" s="72"/>
      <c r="D182" s="73"/>
      <c r="E182" s="74"/>
      <c r="F182" s="71"/>
      <c r="G182" s="73"/>
      <c r="H182" s="73"/>
      <c r="I182" s="73"/>
      <c r="J182" s="73"/>
      <c r="K182" s="71"/>
      <c r="L182" s="72"/>
      <c r="M182" s="71"/>
      <c r="N182" s="72"/>
      <c r="O182" s="72"/>
      <c r="P182" s="72"/>
      <c r="Q182" s="53"/>
    </row>
    <row r="183" spans="1:17">
      <c r="A183" s="71"/>
      <c r="B183" s="71"/>
      <c r="C183" s="72"/>
      <c r="D183" s="73"/>
      <c r="E183" s="74"/>
      <c r="F183" s="71"/>
      <c r="G183" s="73"/>
      <c r="H183" s="73"/>
      <c r="I183" s="73"/>
      <c r="J183" s="73"/>
      <c r="K183" s="71"/>
      <c r="L183" s="72"/>
      <c r="M183" s="71"/>
      <c r="N183" s="72"/>
      <c r="O183" s="72"/>
      <c r="P183" s="72"/>
      <c r="Q183" s="53"/>
    </row>
    <row r="184" spans="1:17">
      <c r="A184" s="71"/>
      <c r="B184" s="71"/>
      <c r="C184" s="72"/>
      <c r="D184" s="73"/>
      <c r="E184" s="74"/>
      <c r="F184" s="71"/>
      <c r="G184" s="73"/>
      <c r="H184" s="73"/>
      <c r="I184" s="73"/>
      <c r="J184" s="73"/>
      <c r="K184" s="71"/>
      <c r="L184" s="72"/>
      <c r="M184" s="71"/>
      <c r="N184" s="72"/>
      <c r="O184" s="72"/>
      <c r="P184" s="72"/>
      <c r="Q184" s="53"/>
    </row>
    <row r="185" spans="1:17">
      <c r="A185" s="71"/>
      <c r="B185" s="71"/>
      <c r="C185" s="72"/>
      <c r="D185" s="73"/>
      <c r="E185" s="74"/>
      <c r="F185" s="71"/>
      <c r="G185" s="73"/>
      <c r="H185" s="73"/>
      <c r="I185" s="73"/>
      <c r="J185" s="73"/>
      <c r="K185" s="71"/>
      <c r="L185" s="72"/>
      <c r="M185" s="71"/>
      <c r="N185" s="72"/>
      <c r="O185" s="72"/>
      <c r="P185" s="72"/>
      <c r="Q185" s="53"/>
    </row>
    <row r="186" spans="1:17">
      <c r="A186" s="71"/>
      <c r="B186" s="71"/>
      <c r="C186" s="72"/>
      <c r="D186" s="73"/>
      <c r="E186" s="74"/>
      <c r="F186" s="71"/>
      <c r="G186" s="73"/>
      <c r="H186" s="73"/>
      <c r="I186" s="73"/>
      <c r="J186" s="73"/>
      <c r="K186" s="71"/>
      <c r="L186" s="72"/>
      <c r="M186" s="71"/>
      <c r="N186" s="72"/>
      <c r="O186" s="72"/>
      <c r="P186" s="72"/>
      <c r="Q186" s="53"/>
    </row>
    <row r="187" spans="1:17">
      <c r="A187" s="71"/>
      <c r="B187" s="71"/>
      <c r="C187" s="72"/>
      <c r="D187" s="73"/>
      <c r="E187" s="74"/>
      <c r="F187" s="71"/>
      <c r="G187" s="73"/>
      <c r="H187" s="73"/>
      <c r="I187" s="73"/>
      <c r="J187" s="73"/>
      <c r="K187" s="71"/>
      <c r="L187" s="72"/>
      <c r="M187" s="71"/>
      <c r="N187" s="72"/>
      <c r="O187" s="72"/>
      <c r="P187" s="72"/>
      <c r="Q187" s="53"/>
    </row>
    <row r="188" spans="1:17">
      <c r="A188" s="71"/>
      <c r="B188" s="71"/>
      <c r="C188" s="72"/>
      <c r="D188" s="73"/>
      <c r="E188" s="74"/>
      <c r="F188" s="71"/>
      <c r="G188" s="73"/>
      <c r="H188" s="73"/>
      <c r="I188" s="73"/>
      <c r="J188" s="73"/>
      <c r="K188" s="71"/>
      <c r="L188" s="72"/>
      <c r="M188" s="71"/>
      <c r="N188" s="72"/>
      <c r="O188" s="72"/>
      <c r="P188" s="72"/>
      <c r="Q188" s="53"/>
    </row>
    <row r="189" spans="1:17">
      <c r="A189" s="71"/>
      <c r="B189" s="71"/>
      <c r="C189" s="72"/>
      <c r="D189" s="73"/>
      <c r="E189" s="74"/>
      <c r="F189" s="71"/>
      <c r="G189" s="73"/>
      <c r="H189" s="73"/>
      <c r="I189" s="73"/>
      <c r="J189" s="73"/>
      <c r="K189" s="71"/>
      <c r="L189" s="72"/>
      <c r="M189" s="71"/>
      <c r="N189" s="72"/>
      <c r="O189" s="72"/>
      <c r="P189" s="72"/>
      <c r="Q189" s="53"/>
    </row>
    <row r="190" spans="1:17">
      <c r="A190" s="71"/>
      <c r="B190" s="71"/>
      <c r="C190" s="72"/>
      <c r="D190" s="73"/>
      <c r="E190" s="74"/>
      <c r="F190" s="71"/>
      <c r="G190" s="73"/>
      <c r="H190" s="73"/>
      <c r="I190" s="73"/>
      <c r="J190" s="73"/>
      <c r="K190" s="71"/>
      <c r="L190" s="72"/>
      <c r="M190" s="71"/>
      <c r="N190" s="72"/>
      <c r="O190" s="72"/>
      <c r="P190" s="72"/>
      <c r="Q190" s="53"/>
    </row>
    <row r="191" spans="1:17">
      <c r="A191" s="71"/>
      <c r="B191" s="71"/>
      <c r="C191" s="72"/>
      <c r="D191" s="73"/>
      <c r="E191" s="74"/>
      <c r="F191" s="71"/>
      <c r="G191" s="73"/>
      <c r="H191" s="73"/>
      <c r="I191" s="73"/>
      <c r="J191" s="73"/>
      <c r="K191" s="71"/>
      <c r="L191" s="72"/>
      <c r="M191" s="71"/>
      <c r="N191" s="72"/>
      <c r="O191" s="72"/>
      <c r="P191" s="72"/>
      <c r="Q191" s="53"/>
    </row>
    <row r="192" spans="1:17">
      <c r="A192" s="71"/>
      <c r="B192" s="71"/>
      <c r="C192" s="72"/>
      <c r="D192" s="73"/>
      <c r="E192" s="74"/>
      <c r="F192" s="71"/>
      <c r="G192" s="73"/>
      <c r="H192" s="73"/>
      <c r="I192" s="73"/>
      <c r="J192" s="73"/>
      <c r="K192" s="71"/>
      <c r="L192" s="72"/>
      <c r="M192" s="71"/>
      <c r="N192" s="72"/>
      <c r="O192" s="72"/>
      <c r="P192" s="72"/>
      <c r="Q192" s="53"/>
    </row>
    <row r="193" spans="1:17">
      <c r="A193" s="71"/>
      <c r="B193" s="71"/>
      <c r="C193" s="72"/>
      <c r="D193" s="73"/>
      <c r="E193" s="74"/>
      <c r="F193" s="71"/>
      <c r="G193" s="73"/>
      <c r="H193" s="73"/>
      <c r="I193" s="73"/>
      <c r="J193" s="73"/>
      <c r="K193" s="71"/>
      <c r="L193" s="72"/>
      <c r="M193" s="71"/>
      <c r="N193" s="72"/>
      <c r="O193" s="72"/>
      <c r="P193" s="72"/>
      <c r="Q193" s="53"/>
    </row>
    <row r="194" spans="1:17">
      <c r="A194" s="71"/>
      <c r="B194" s="71"/>
      <c r="C194" s="72"/>
      <c r="D194" s="73"/>
      <c r="E194" s="74"/>
      <c r="F194" s="71"/>
      <c r="G194" s="73"/>
      <c r="H194" s="73"/>
      <c r="I194" s="73"/>
      <c r="J194" s="73"/>
      <c r="K194" s="71"/>
      <c r="L194" s="72"/>
      <c r="M194" s="71"/>
      <c r="N194" s="72"/>
      <c r="O194" s="72"/>
      <c r="P194" s="72"/>
      <c r="Q194" s="53"/>
    </row>
    <row r="195" spans="1:17">
      <c r="A195" s="71"/>
      <c r="B195" s="71"/>
      <c r="C195" s="72"/>
      <c r="D195" s="73"/>
      <c r="E195" s="74"/>
      <c r="F195" s="71"/>
      <c r="G195" s="73"/>
      <c r="H195" s="73"/>
      <c r="I195" s="73"/>
      <c r="J195" s="73"/>
      <c r="K195" s="71"/>
      <c r="L195" s="72"/>
      <c r="M195" s="71"/>
      <c r="N195" s="72"/>
      <c r="O195" s="72"/>
      <c r="P195" s="72"/>
      <c r="Q195" s="53"/>
    </row>
    <row r="196" spans="1:17">
      <c r="A196" s="71"/>
      <c r="B196" s="71"/>
      <c r="C196" s="72"/>
      <c r="D196" s="73"/>
      <c r="E196" s="74"/>
      <c r="F196" s="71"/>
      <c r="G196" s="73"/>
      <c r="H196" s="73"/>
      <c r="I196" s="73"/>
      <c r="J196" s="73"/>
      <c r="K196" s="71"/>
      <c r="L196" s="72"/>
      <c r="M196" s="71"/>
      <c r="N196" s="72"/>
      <c r="O196" s="72"/>
      <c r="P196" s="72"/>
      <c r="Q196" s="53"/>
    </row>
    <row r="197" spans="1:17">
      <c r="A197" s="71"/>
      <c r="B197" s="71"/>
      <c r="C197" s="72"/>
      <c r="D197" s="73"/>
      <c r="E197" s="74"/>
      <c r="F197" s="71"/>
      <c r="G197" s="73"/>
      <c r="H197" s="73"/>
      <c r="I197" s="73"/>
      <c r="J197" s="73"/>
      <c r="K197" s="71"/>
      <c r="L197" s="72"/>
      <c r="M197" s="71"/>
      <c r="N197" s="72"/>
      <c r="O197" s="72"/>
      <c r="P197" s="72"/>
      <c r="Q197" s="53"/>
    </row>
    <row r="198" spans="1:17">
      <c r="A198" s="71"/>
      <c r="B198" s="71"/>
      <c r="C198" s="72"/>
      <c r="D198" s="73"/>
      <c r="E198" s="74"/>
      <c r="F198" s="71"/>
      <c r="G198" s="73"/>
      <c r="H198" s="73"/>
      <c r="I198" s="73"/>
      <c r="J198" s="73"/>
      <c r="K198" s="71"/>
      <c r="L198" s="72"/>
      <c r="M198" s="71"/>
      <c r="N198" s="72"/>
      <c r="O198" s="72"/>
      <c r="P198" s="72"/>
      <c r="Q198" s="53"/>
    </row>
    <row r="199" spans="1:17">
      <c r="A199" s="71"/>
      <c r="B199" s="71"/>
      <c r="C199" s="72"/>
      <c r="D199" s="73"/>
      <c r="E199" s="74"/>
      <c r="F199" s="71"/>
      <c r="G199" s="73"/>
      <c r="H199" s="73"/>
      <c r="I199" s="73"/>
      <c r="J199" s="73"/>
      <c r="K199" s="71"/>
      <c r="L199" s="72"/>
      <c r="M199" s="71"/>
      <c r="N199" s="72"/>
      <c r="O199" s="72"/>
      <c r="P199" s="72"/>
      <c r="Q199" s="53"/>
    </row>
    <row r="200" spans="1:17">
      <c r="A200" s="71"/>
      <c r="B200" s="71"/>
      <c r="C200" s="72"/>
      <c r="D200" s="73"/>
      <c r="E200" s="74"/>
      <c r="F200" s="71"/>
      <c r="G200" s="73"/>
      <c r="H200" s="73"/>
      <c r="I200" s="73"/>
      <c r="J200" s="73"/>
      <c r="K200" s="71"/>
      <c r="L200" s="72"/>
      <c r="M200" s="71"/>
      <c r="N200" s="72"/>
      <c r="O200" s="72"/>
      <c r="P200" s="72"/>
      <c r="Q200" s="53"/>
    </row>
    <row r="201" spans="1:17">
      <c r="A201" s="71"/>
      <c r="B201" s="71"/>
      <c r="C201" s="72"/>
      <c r="D201" s="73"/>
      <c r="E201" s="74"/>
      <c r="F201" s="71"/>
      <c r="G201" s="73"/>
      <c r="H201" s="73"/>
      <c r="I201" s="73"/>
      <c r="J201" s="73"/>
      <c r="K201" s="71"/>
      <c r="L201" s="72"/>
      <c r="M201" s="71"/>
      <c r="N201" s="72"/>
      <c r="O201" s="72"/>
      <c r="P201" s="72"/>
      <c r="Q201" s="53"/>
    </row>
    <row r="202" spans="1:17">
      <c r="A202" s="71"/>
      <c r="B202" s="71"/>
      <c r="C202" s="72"/>
      <c r="D202" s="73"/>
      <c r="E202" s="74"/>
      <c r="F202" s="71"/>
      <c r="G202" s="73"/>
      <c r="H202" s="73"/>
      <c r="I202" s="73"/>
      <c r="J202" s="73"/>
      <c r="K202" s="71"/>
      <c r="L202" s="72"/>
      <c r="M202" s="71"/>
      <c r="N202" s="72"/>
      <c r="O202" s="72"/>
      <c r="P202" s="72"/>
      <c r="Q202" s="53"/>
    </row>
    <row r="203" spans="1:17">
      <c r="A203" s="71"/>
      <c r="B203" s="71"/>
      <c r="C203" s="72"/>
      <c r="D203" s="73"/>
      <c r="E203" s="74"/>
      <c r="F203" s="71"/>
      <c r="G203" s="73"/>
      <c r="H203" s="73"/>
      <c r="I203" s="73"/>
      <c r="J203" s="73"/>
      <c r="K203" s="71"/>
      <c r="L203" s="72"/>
      <c r="M203" s="71"/>
      <c r="N203" s="72"/>
      <c r="O203" s="72"/>
      <c r="P203" s="72"/>
      <c r="Q203" s="53"/>
    </row>
    <row r="204" spans="1:17">
      <c r="A204" s="71"/>
      <c r="B204" s="71"/>
      <c r="C204" s="72"/>
      <c r="D204" s="73"/>
      <c r="E204" s="74"/>
      <c r="F204" s="71"/>
      <c r="G204" s="73"/>
      <c r="H204" s="73"/>
      <c r="I204" s="73"/>
      <c r="J204" s="73"/>
      <c r="K204" s="71"/>
      <c r="L204" s="72"/>
      <c r="M204" s="71"/>
      <c r="N204" s="72"/>
      <c r="O204" s="72"/>
      <c r="P204" s="72"/>
      <c r="Q204" s="53"/>
    </row>
    <row r="205" spans="1:17">
      <c r="A205" s="71"/>
      <c r="B205" s="71"/>
      <c r="C205" s="72"/>
      <c r="D205" s="73"/>
      <c r="E205" s="74"/>
      <c r="F205" s="71"/>
      <c r="G205" s="73"/>
      <c r="H205" s="73"/>
      <c r="I205" s="73"/>
      <c r="J205" s="73"/>
      <c r="K205" s="71"/>
      <c r="L205" s="72"/>
      <c r="M205" s="71"/>
      <c r="N205" s="72"/>
      <c r="O205" s="72"/>
      <c r="P205" s="72"/>
      <c r="Q205" s="53"/>
    </row>
    <row r="206" spans="1:17">
      <c r="A206" s="71"/>
      <c r="B206" s="71"/>
      <c r="C206" s="72"/>
      <c r="D206" s="73"/>
      <c r="E206" s="74"/>
      <c r="F206" s="71"/>
      <c r="G206" s="73"/>
      <c r="H206" s="73"/>
      <c r="I206" s="73"/>
      <c r="J206" s="73"/>
      <c r="K206" s="71"/>
      <c r="L206" s="72"/>
      <c r="M206" s="71"/>
      <c r="N206" s="72"/>
      <c r="O206" s="72"/>
      <c r="P206" s="72"/>
      <c r="Q206" s="53"/>
    </row>
    <row r="207" spans="1:17">
      <c r="A207" s="71"/>
      <c r="B207" s="71"/>
      <c r="C207" s="72"/>
      <c r="D207" s="73"/>
      <c r="E207" s="74"/>
      <c r="F207" s="71"/>
      <c r="G207" s="73"/>
      <c r="H207" s="73"/>
      <c r="I207" s="73"/>
      <c r="J207" s="73"/>
      <c r="K207" s="71"/>
      <c r="L207" s="72"/>
      <c r="M207" s="71"/>
      <c r="N207" s="72"/>
      <c r="O207" s="72"/>
      <c r="P207" s="72"/>
      <c r="Q207" s="53"/>
    </row>
    <row r="208" spans="1:17">
      <c r="A208" s="71"/>
      <c r="B208" s="71"/>
      <c r="C208" s="72"/>
      <c r="D208" s="73"/>
      <c r="E208" s="74"/>
      <c r="F208" s="71"/>
      <c r="G208" s="73"/>
      <c r="H208" s="73"/>
      <c r="I208" s="73"/>
      <c r="J208" s="73"/>
      <c r="K208" s="71"/>
      <c r="L208" s="72"/>
      <c r="M208" s="71"/>
      <c r="N208" s="72"/>
      <c r="O208" s="72"/>
      <c r="P208" s="72"/>
      <c r="Q208" s="53"/>
    </row>
    <row r="209" spans="1:17">
      <c r="A209" s="71"/>
      <c r="B209" s="71"/>
      <c r="C209" s="72"/>
      <c r="D209" s="73"/>
      <c r="E209" s="74"/>
      <c r="F209" s="71"/>
      <c r="G209" s="73"/>
      <c r="H209" s="73"/>
      <c r="I209" s="73"/>
      <c r="J209" s="73"/>
      <c r="K209" s="71"/>
      <c r="L209" s="72"/>
      <c r="M209" s="71"/>
      <c r="N209" s="72"/>
      <c r="O209" s="72"/>
      <c r="P209" s="72"/>
      <c r="Q209" s="53"/>
    </row>
    <row r="210" spans="1:17">
      <c r="A210" s="71"/>
      <c r="B210" s="71"/>
      <c r="C210" s="72"/>
      <c r="D210" s="73"/>
      <c r="E210" s="74"/>
      <c r="F210" s="71"/>
      <c r="G210" s="73"/>
      <c r="H210" s="73"/>
      <c r="I210" s="73"/>
      <c r="J210" s="73"/>
      <c r="K210" s="71"/>
      <c r="L210" s="72"/>
      <c r="M210" s="71"/>
      <c r="N210" s="72"/>
      <c r="O210" s="72"/>
      <c r="P210" s="72"/>
      <c r="Q210" s="53"/>
    </row>
    <row r="211" spans="1:17">
      <c r="A211" s="71"/>
      <c r="B211" s="71"/>
      <c r="C211" s="72"/>
      <c r="D211" s="73"/>
      <c r="E211" s="74"/>
      <c r="F211" s="71"/>
      <c r="G211" s="73"/>
      <c r="H211" s="73"/>
      <c r="I211" s="73"/>
      <c r="J211" s="73"/>
      <c r="K211" s="71"/>
      <c r="L211" s="72"/>
      <c r="M211" s="71"/>
      <c r="N211" s="72"/>
      <c r="O211" s="72"/>
      <c r="P211" s="72"/>
      <c r="Q211" s="53"/>
    </row>
    <row r="212" spans="1:17">
      <c r="A212" s="71"/>
      <c r="B212" s="71"/>
      <c r="C212" s="72"/>
      <c r="D212" s="73"/>
      <c r="E212" s="74"/>
      <c r="F212" s="71"/>
      <c r="G212" s="73"/>
      <c r="H212" s="73"/>
      <c r="I212" s="73"/>
      <c r="J212" s="73"/>
      <c r="K212" s="71"/>
      <c r="L212" s="72"/>
      <c r="M212" s="71"/>
      <c r="N212" s="72"/>
      <c r="O212" s="72"/>
      <c r="P212" s="72"/>
      <c r="Q212" s="53"/>
    </row>
    <row r="213" spans="1:17">
      <c r="A213" s="71"/>
      <c r="B213" s="71"/>
      <c r="C213" s="72"/>
      <c r="D213" s="73"/>
      <c r="E213" s="74"/>
      <c r="F213" s="71"/>
      <c r="G213" s="73"/>
      <c r="H213" s="73"/>
      <c r="I213" s="73"/>
      <c r="J213" s="73"/>
      <c r="K213" s="71"/>
      <c r="L213" s="72"/>
      <c r="M213" s="71"/>
      <c r="N213" s="72"/>
      <c r="O213" s="72"/>
      <c r="P213" s="72"/>
      <c r="Q213" s="53"/>
    </row>
    <row r="214" spans="1:17">
      <c r="A214" s="71"/>
      <c r="B214" s="71"/>
      <c r="C214" s="72"/>
      <c r="D214" s="73"/>
      <c r="E214" s="74"/>
      <c r="F214" s="71"/>
      <c r="G214" s="73"/>
      <c r="H214" s="73"/>
      <c r="I214" s="73"/>
      <c r="J214" s="73"/>
      <c r="K214" s="71"/>
      <c r="L214" s="72"/>
      <c r="M214" s="71"/>
      <c r="N214" s="72"/>
      <c r="O214" s="72"/>
      <c r="P214" s="72"/>
      <c r="Q214" s="53"/>
    </row>
    <row r="215" spans="1:17">
      <c r="A215" s="71"/>
      <c r="B215" s="71"/>
      <c r="C215" s="72"/>
      <c r="D215" s="73"/>
      <c r="E215" s="74"/>
      <c r="F215" s="71"/>
      <c r="G215" s="73"/>
      <c r="H215" s="73"/>
      <c r="I215" s="73"/>
      <c r="J215" s="73"/>
      <c r="K215" s="71"/>
      <c r="L215" s="72"/>
      <c r="M215" s="71"/>
      <c r="N215" s="72"/>
      <c r="O215" s="72"/>
      <c r="P215" s="72"/>
      <c r="Q215" s="53"/>
    </row>
    <row r="216" spans="1:17">
      <c r="A216" s="71"/>
      <c r="B216" s="71"/>
      <c r="C216" s="72"/>
      <c r="D216" s="73"/>
      <c r="E216" s="74"/>
      <c r="F216" s="71"/>
      <c r="G216" s="73"/>
      <c r="H216" s="73"/>
      <c r="I216" s="73"/>
      <c r="J216" s="73"/>
      <c r="K216" s="71"/>
      <c r="L216" s="72"/>
      <c r="M216" s="71"/>
      <c r="N216" s="72"/>
      <c r="O216" s="72"/>
      <c r="P216" s="72"/>
      <c r="Q216" s="53"/>
    </row>
    <row r="217" spans="1:17">
      <c r="A217" s="71"/>
      <c r="B217" s="71"/>
      <c r="C217" s="72"/>
      <c r="D217" s="73"/>
      <c r="E217" s="74"/>
      <c r="F217" s="71"/>
      <c r="G217" s="73"/>
      <c r="H217" s="73"/>
      <c r="I217" s="73"/>
      <c r="J217" s="73"/>
      <c r="K217" s="71"/>
      <c r="L217" s="72"/>
      <c r="M217" s="71"/>
      <c r="N217" s="72"/>
      <c r="O217" s="72"/>
      <c r="P217" s="72"/>
      <c r="Q217" s="53"/>
    </row>
    <row r="218" spans="1:17">
      <c r="A218" s="71"/>
      <c r="B218" s="71"/>
      <c r="C218" s="72"/>
      <c r="D218" s="73"/>
      <c r="E218" s="74"/>
      <c r="F218" s="71"/>
      <c r="G218" s="73"/>
      <c r="H218" s="73"/>
      <c r="I218" s="73"/>
      <c r="J218" s="73"/>
      <c r="K218" s="71"/>
      <c r="L218" s="72"/>
      <c r="M218" s="71"/>
      <c r="N218" s="72"/>
      <c r="O218" s="72"/>
      <c r="P218" s="72"/>
      <c r="Q218" s="53"/>
    </row>
    <row r="219" spans="1:17">
      <c r="A219" s="71"/>
      <c r="B219" s="71"/>
      <c r="C219" s="72"/>
      <c r="D219" s="73"/>
      <c r="E219" s="74"/>
      <c r="F219" s="71"/>
      <c r="G219" s="73"/>
      <c r="H219" s="73"/>
      <c r="I219" s="73"/>
      <c r="J219" s="73"/>
      <c r="K219" s="71"/>
      <c r="L219" s="72"/>
      <c r="M219" s="71"/>
      <c r="N219" s="72"/>
      <c r="O219" s="72"/>
      <c r="P219" s="72"/>
      <c r="Q219" s="53"/>
    </row>
    <row r="220" spans="1:17">
      <c r="A220" s="71"/>
      <c r="B220" s="71"/>
      <c r="C220" s="72"/>
      <c r="D220" s="73"/>
      <c r="E220" s="74"/>
      <c r="F220" s="71"/>
      <c r="G220" s="73"/>
      <c r="H220" s="73"/>
      <c r="I220" s="73"/>
      <c r="J220" s="73"/>
      <c r="K220" s="71"/>
      <c r="L220" s="72"/>
      <c r="M220" s="71"/>
      <c r="N220" s="72"/>
      <c r="O220" s="72"/>
      <c r="P220" s="72"/>
      <c r="Q220" s="53"/>
    </row>
    <row r="221" spans="1:17">
      <c r="A221" s="71"/>
      <c r="B221" s="71"/>
      <c r="C221" s="72"/>
      <c r="D221" s="73"/>
      <c r="E221" s="74"/>
      <c r="F221" s="71"/>
      <c r="G221" s="73"/>
      <c r="H221" s="73"/>
      <c r="I221" s="73"/>
      <c r="J221" s="73"/>
      <c r="K221" s="71"/>
      <c r="L221" s="72"/>
      <c r="M221" s="71"/>
      <c r="N221" s="72"/>
      <c r="O221" s="72"/>
      <c r="P221" s="72"/>
      <c r="Q221" s="53"/>
    </row>
    <row r="222" spans="1:17">
      <c r="A222" s="71"/>
      <c r="B222" s="71"/>
      <c r="C222" s="72"/>
      <c r="D222" s="73"/>
      <c r="E222" s="74"/>
      <c r="F222" s="71"/>
      <c r="G222" s="73"/>
      <c r="H222" s="73"/>
      <c r="I222" s="73"/>
      <c r="J222" s="73"/>
      <c r="K222" s="71"/>
      <c r="L222" s="72"/>
      <c r="M222" s="71"/>
      <c r="N222" s="72"/>
      <c r="O222" s="72"/>
      <c r="P222" s="72"/>
      <c r="Q222" s="53"/>
    </row>
    <row r="223" spans="1:17">
      <c r="A223" s="71"/>
      <c r="B223" s="71"/>
      <c r="C223" s="72"/>
      <c r="D223" s="73"/>
      <c r="E223" s="74"/>
      <c r="F223" s="71"/>
      <c r="G223" s="73"/>
      <c r="H223" s="73"/>
      <c r="I223" s="73"/>
      <c r="J223" s="73"/>
      <c r="K223" s="71"/>
      <c r="L223" s="72"/>
      <c r="M223" s="71"/>
      <c r="N223" s="72"/>
      <c r="O223" s="72"/>
      <c r="P223" s="72"/>
      <c r="Q223" s="53"/>
    </row>
    <row r="224" spans="1:17">
      <c r="A224" s="71"/>
      <c r="B224" s="71"/>
      <c r="C224" s="72"/>
      <c r="D224" s="73"/>
      <c r="E224" s="74"/>
      <c r="F224" s="71"/>
      <c r="G224" s="73"/>
      <c r="H224" s="73"/>
      <c r="I224" s="73"/>
      <c r="J224" s="73"/>
      <c r="K224" s="71"/>
      <c r="L224" s="72"/>
      <c r="M224" s="71"/>
      <c r="N224" s="72"/>
      <c r="O224" s="72"/>
      <c r="P224" s="72"/>
      <c r="Q224" s="53"/>
    </row>
    <row r="225" spans="1:17">
      <c r="A225" s="71"/>
      <c r="B225" s="71"/>
      <c r="C225" s="72"/>
      <c r="D225" s="73"/>
      <c r="E225" s="74"/>
      <c r="F225" s="71"/>
      <c r="G225" s="73"/>
      <c r="H225" s="73"/>
      <c r="I225" s="73"/>
      <c r="J225" s="73"/>
      <c r="K225" s="71"/>
      <c r="L225" s="72"/>
      <c r="M225" s="71"/>
      <c r="N225" s="72"/>
      <c r="O225" s="72"/>
      <c r="P225" s="72"/>
      <c r="Q225" s="53"/>
    </row>
    <row r="226" spans="1:17">
      <c r="A226" s="71"/>
      <c r="B226" s="71"/>
      <c r="C226" s="72"/>
      <c r="D226" s="73"/>
      <c r="E226" s="74"/>
      <c r="F226" s="71"/>
      <c r="G226" s="73"/>
      <c r="H226" s="73"/>
      <c r="I226" s="73"/>
      <c r="J226" s="73"/>
      <c r="K226" s="71"/>
      <c r="L226" s="72"/>
      <c r="M226" s="71"/>
      <c r="N226" s="72"/>
      <c r="O226" s="72"/>
      <c r="P226" s="72"/>
      <c r="Q226" s="53"/>
    </row>
    <row r="227" spans="1:17">
      <c r="A227" s="71"/>
      <c r="B227" s="71"/>
      <c r="C227" s="72"/>
      <c r="D227" s="73"/>
      <c r="E227" s="74"/>
      <c r="F227" s="71"/>
      <c r="G227" s="73"/>
      <c r="H227" s="73"/>
      <c r="I227" s="73"/>
      <c r="J227" s="73"/>
      <c r="K227" s="71"/>
      <c r="L227" s="72"/>
      <c r="M227" s="71"/>
      <c r="N227" s="72"/>
      <c r="O227" s="72"/>
      <c r="P227" s="72"/>
      <c r="Q227" s="53"/>
    </row>
    <row r="228" spans="1:17">
      <c r="A228" s="71"/>
      <c r="B228" s="71"/>
      <c r="C228" s="72"/>
      <c r="D228" s="73"/>
      <c r="E228" s="74"/>
      <c r="F228" s="71"/>
      <c r="G228" s="73"/>
      <c r="H228" s="73"/>
      <c r="I228" s="73"/>
      <c r="J228" s="73"/>
      <c r="K228" s="71"/>
      <c r="L228" s="72"/>
      <c r="M228" s="71"/>
      <c r="N228" s="72"/>
      <c r="O228" s="72"/>
      <c r="P228" s="72"/>
      <c r="Q228" s="53"/>
    </row>
    <row r="229" spans="1:17">
      <c r="A229" s="55"/>
      <c r="C229" s="68"/>
      <c r="Q229" s="53"/>
    </row>
    <row r="230" spans="1:17">
      <c r="A230" s="55"/>
      <c r="C230" s="68"/>
      <c r="Q230" s="53"/>
    </row>
    <row r="231" spans="1:17">
      <c r="A231" s="55"/>
      <c r="C231" s="68"/>
      <c r="Q231" s="53"/>
    </row>
    <row r="232" spans="1:17">
      <c r="A232" s="55"/>
      <c r="C232" s="68"/>
      <c r="Q232" s="53"/>
    </row>
    <row r="233" spans="1:17">
      <c r="A233" s="55"/>
      <c r="C233" s="68"/>
      <c r="Q233" s="53"/>
    </row>
    <row r="234" spans="1:17">
      <c r="A234" s="55"/>
      <c r="C234" s="68"/>
      <c r="Q234" s="53"/>
    </row>
    <row r="235" spans="1:17">
      <c r="A235" s="55"/>
      <c r="C235" s="68"/>
      <c r="Q235" s="53"/>
    </row>
    <row r="236" spans="1:17">
      <c r="A236" s="55"/>
      <c r="C236" s="68"/>
      <c r="Q236" s="53"/>
    </row>
    <row r="237" spans="1:17">
      <c r="A237" s="55"/>
      <c r="C237" s="68"/>
      <c r="Q237" s="53"/>
    </row>
    <row r="238" spans="1:17">
      <c r="A238" s="55"/>
      <c r="C238" s="68"/>
      <c r="Q238" s="53"/>
    </row>
    <row r="239" spans="1:17">
      <c r="A239" s="55"/>
      <c r="C239" s="68"/>
      <c r="Q239" s="53"/>
    </row>
    <row r="240" spans="1:17">
      <c r="A240" s="55"/>
      <c r="C240" s="68"/>
      <c r="Q240" s="53"/>
    </row>
    <row r="241" spans="1:17">
      <c r="A241" s="55"/>
      <c r="C241" s="68"/>
      <c r="Q241" s="53"/>
    </row>
    <row r="242" spans="1:17">
      <c r="A242" s="55"/>
      <c r="C242" s="68"/>
      <c r="Q242" s="53"/>
    </row>
    <row r="243" spans="1:17">
      <c r="A243" s="55"/>
      <c r="C243" s="68"/>
      <c r="Q243" s="53"/>
    </row>
    <row r="244" spans="1:17">
      <c r="A244" s="55"/>
      <c r="C244" s="68"/>
      <c r="Q244" s="53"/>
    </row>
    <row r="245" spans="1:17">
      <c r="A245" s="55"/>
      <c r="C245" s="68"/>
      <c r="Q245" s="53"/>
    </row>
    <row r="246" spans="1:17">
      <c r="A246" s="55"/>
      <c r="C246" s="68"/>
      <c r="Q246" s="53"/>
    </row>
    <row r="247" spans="1:17">
      <c r="A247" s="55"/>
      <c r="C247" s="68"/>
      <c r="Q247" s="53"/>
    </row>
    <row r="248" spans="1:17">
      <c r="A248" s="55"/>
      <c r="C248" s="68"/>
      <c r="Q248" s="53"/>
    </row>
    <row r="249" spans="1:17">
      <c r="A249" s="55"/>
      <c r="C249" s="68"/>
      <c r="Q249" s="53"/>
    </row>
    <row r="250" spans="1:17">
      <c r="A250" s="55"/>
      <c r="C250" s="68"/>
      <c r="Q250" s="53"/>
    </row>
    <row r="251" spans="1:17">
      <c r="C251" s="68"/>
      <c r="Q251" s="53"/>
    </row>
    <row r="252" spans="1:17">
      <c r="C252" s="68"/>
      <c r="Q252" s="53"/>
    </row>
    <row r="253" spans="1:17">
      <c r="C253" s="68"/>
      <c r="Q253" s="53"/>
    </row>
    <row r="254" spans="1:17">
      <c r="C254" s="68"/>
      <c r="Q254" s="53"/>
    </row>
    <row r="255" spans="1:17">
      <c r="C255" s="68"/>
      <c r="Q255" s="53"/>
    </row>
    <row r="256" spans="1:17">
      <c r="C256" s="68"/>
      <c r="Q256" s="53"/>
    </row>
    <row r="257" spans="3:17">
      <c r="C257" s="68"/>
      <c r="Q257" s="53"/>
    </row>
    <row r="258" spans="3:17">
      <c r="C258" s="68"/>
      <c r="Q258" s="53"/>
    </row>
    <row r="259" spans="3:17">
      <c r="C259" s="68"/>
      <c r="Q259" s="53"/>
    </row>
    <row r="260" spans="3:17">
      <c r="C260" s="68"/>
      <c r="Q260" s="53"/>
    </row>
    <row r="261" spans="3:17">
      <c r="C261" s="68"/>
      <c r="Q261" s="53"/>
    </row>
    <row r="262" spans="3:17">
      <c r="C262" s="68"/>
      <c r="Q262" s="53"/>
    </row>
    <row r="263" spans="3:17">
      <c r="C263" s="68"/>
      <c r="Q263" s="53"/>
    </row>
    <row r="264" spans="3:17">
      <c r="C264" s="68"/>
      <c r="Q264" s="53"/>
    </row>
    <row r="265" spans="3:17">
      <c r="C265" s="68"/>
      <c r="Q265" s="53"/>
    </row>
    <row r="266" spans="3:17">
      <c r="C266" s="68"/>
      <c r="Q266" s="53"/>
    </row>
    <row r="267" spans="3:17">
      <c r="C267" s="68"/>
      <c r="Q267" s="53"/>
    </row>
    <row r="268" spans="3:17">
      <c r="C268" s="68"/>
      <c r="Q268" s="53"/>
    </row>
    <row r="269" spans="3:17">
      <c r="C269" s="68"/>
      <c r="Q269" s="53"/>
    </row>
    <row r="270" spans="3:17">
      <c r="C270" s="68"/>
      <c r="Q270" s="53"/>
    </row>
    <row r="271" spans="3:17">
      <c r="C271" s="68"/>
      <c r="Q271" s="53"/>
    </row>
    <row r="272" spans="3:17">
      <c r="C272" s="68"/>
      <c r="Q272" s="53"/>
    </row>
    <row r="273" spans="3:17">
      <c r="C273" s="68"/>
      <c r="Q273" s="53"/>
    </row>
    <row r="274" spans="3:17">
      <c r="C274" s="68"/>
      <c r="Q274" s="53"/>
    </row>
    <row r="275" spans="3:17">
      <c r="C275" s="68"/>
      <c r="Q275" s="53"/>
    </row>
    <row r="276" spans="3:17">
      <c r="C276" s="68"/>
      <c r="Q276" s="53"/>
    </row>
    <row r="277" spans="3:17">
      <c r="C277" s="68"/>
      <c r="Q277" s="53"/>
    </row>
    <row r="278" spans="3:17">
      <c r="C278" s="68"/>
      <c r="Q278" s="53"/>
    </row>
    <row r="279" spans="3:17">
      <c r="C279" s="68"/>
      <c r="Q279" s="53"/>
    </row>
    <row r="280" spans="3:17">
      <c r="C280" s="68"/>
      <c r="Q280" s="53"/>
    </row>
    <row r="281" spans="3:17">
      <c r="C281" s="68"/>
      <c r="Q281" s="53"/>
    </row>
    <row r="282" spans="3:17">
      <c r="C282" s="68"/>
      <c r="Q282" s="53"/>
    </row>
    <row r="283" spans="3:17">
      <c r="C283" s="68"/>
      <c r="Q283" s="53"/>
    </row>
    <row r="284" spans="3:17">
      <c r="C284" s="68"/>
      <c r="Q284" s="53"/>
    </row>
    <row r="285" spans="3:17">
      <c r="C285" s="68"/>
      <c r="Q285" s="53"/>
    </row>
    <row r="286" spans="3:17">
      <c r="C286" s="68"/>
      <c r="Q286" s="53"/>
    </row>
    <row r="287" spans="3:17">
      <c r="C287" s="68"/>
      <c r="Q287" s="53"/>
    </row>
    <row r="288" spans="3:17">
      <c r="C288" s="68"/>
      <c r="Q288" s="53"/>
    </row>
    <row r="289" spans="3:17">
      <c r="C289" s="68"/>
      <c r="Q289" s="53"/>
    </row>
    <row r="290" spans="3:17">
      <c r="C290" s="68"/>
      <c r="Q290" s="53"/>
    </row>
    <row r="291" spans="3:17">
      <c r="C291" s="68"/>
      <c r="Q291" s="53"/>
    </row>
    <row r="292" spans="3:17">
      <c r="C292" s="68"/>
      <c r="Q292" s="53"/>
    </row>
    <row r="293" spans="3:17">
      <c r="C293" s="68"/>
      <c r="Q293" s="53"/>
    </row>
    <row r="294" spans="3:17">
      <c r="C294" s="68"/>
      <c r="Q294" s="53"/>
    </row>
    <row r="295" spans="3:17">
      <c r="C295" s="68"/>
      <c r="Q295" s="53"/>
    </row>
    <row r="296" spans="3:17">
      <c r="C296" s="68"/>
      <c r="Q296" s="53"/>
    </row>
    <row r="297" spans="3:17">
      <c r="C297" s="68"/>
      <c r="Q297" s="53"/>
    </row>
    <row r="298" spans="3:17">
      <c r="C298" s="68"/>
      <c r="Q298" s="53"/>
    </row>
    <row r="299" spans="3:17">
      <c r="C299" s="68"/>
      <c r="Q299" s="53"/>
    </row>
    <row r="300" spans="3:17">
      <c r="C300" s="68"/>
      <c r="Q300" s="53"/>
    </row>
    <row r="301" spans="3:17">
      <c r="C301" s="68"/>
      <c r="Q301" s="53"/>
    </row>
    <row r="302" spans="3:17">
      <c r="C302" s="68"/>
      <c r="Q302" s="53"/>
    </row>
    <row r="303" spans="3:17">
      <c r="C303" s="68"/>
      <c r="Q303" s="53"/>
    </row>
    <row r="304" spans="3:17">
      <c r="C304" s="68"/>
      <c r="Q304" s="53"/>
    </row>
    <row r="305" spans="3:17">
      <c r="C305" s="68"/>
      <c r="Q305" s="53"/>
    </row>
    <row r="306" spans="3:17">
      <c r="C306" s="68"/>
      <c r="Q306" s="53"/>
    </row>
    <row r="307" spans="3:17">
      <c r="C307" s="68"/>
      <c r="Q307" s="53"/>
    </row>
    <row r="308" spans="3:17">
      <c r="C308" s="68"/>
      <c r="Q308" s="53"/>
    </row>
    <row r="309" spans="3:17">
      <c r="C309" s="68"/>
      <c r="Q309" s="53"/>
    </row>
    <row r="310" spans="3:17">
      <c r="C310" s="68"/>
      <c r="Q310" s="53"/>
    </row>
    <row r="311" spans="3:17">
      <c r="C311" s="68"/>
      <c r="Q311" s="53"/>
    </row>
    <row r="312" spans="3:17">
      <c r="C312" s="68"/>
      <c r="Q312" s="53"/>
    </row>
    <row r="313" spans="3:17">
      <c r="C313" s="68"/>
      <c r="Q313" s="53"/>
    </row>
    <row r="314" spans="3:17">
      <c r="C314" s="68"/>
      <c r="Q314" s="53"/>
    </row>
    <row r="315" spans="3:17">
      <c r="C315" s="68"/>
      <c r="Q315" s="53"/>
    </row>
    <row r="316" spans="3:17">
      <c r="C316" s="68"/>
      <c r="Q316" s="53"/>
    </row>
    <row r="317" spans="3:17">
      <c r="C317" s="68"/>
      <c r="Q317" s="53"/>
    </row>
    <row r="318" spans="3:17">
      <c r="C318" s="68"/>
      <c r="Q318" s="53"/>
    </row>
    <row r="319" spans="3:17">
      <c r="C319" s="68"/>
      <c r="Q319" s="53"/>
    </row>
    <row r="320" spans="3:17">
      <c r="C320" s="68"/>
      <c r="Q320" s="53"/>
    </row>
    <row r="321" spans="3:17">
      <c r="C321" s="68"/>
      <c r="Q321" s="53"/>
    </row>
    <row r="322" spans="3:17">
      <c r="C322" s="68"/>
      <c r="Q322" s="53"/>
    </row>
    <row r="323" spans="3:17">
      <c r="C323" s="68"/>
      <c r="Q323" s="53"/>
    </row>
    <row r="324" spans="3:17">
      <c r="C324" s="68"/>
      <c r="Q324" s="53"/>
    </row>
    <row r="325" spans="3:17">
      <c r="C325" s="68"/>
      <c r="Q325" s="53"/>
    </row>
    <row r="326" spans="3:17">
      <c r="C326" s="68"/>
      <c r="Q326" s="53"/>
    </row>
    <row r="327" spans="3:17">
      <c r="C327" s="68"/>
      <c r="Q327" s="53"/>
    </row>
    <row r="328" spans="3:17">
      <c r="C328" s="68"/>
      <c r="Q328" s="53"/>
    </row>
    <row r="329" spans="3:17">
      <c r="C329" s="68"/>
      <c r="Q329" s="53"/>
    </row>
    <row r="330" spans="3:17">
      <c r="C330" s="68"/>
      <c r="Q330" s="53"/>
    </row>
    <row r="331" spans="3:17">
      <c r="C331" s="68"/>
      <c r="Q331" s="53"/>
    </row>
    <row r="332" spans="3:17">
      <c r="C332" s="68"/>
      <c r="Q332" s="53"/>
    </row>
    <row r="333" spans="3:17">
      <c r="C333" s="68"/>
      <c r="Q333" s="53"/>
    </row>
    <row r="334" spans="3:17">
      <c r="C334" s="68"/>
      <c r="Q334" s="53"/>
    </row>
    <row r="335" spans="3:17">
      <c r="C335" s="68"/>
      <c r="Q335" s="53"/>
    </row>
    <row r="336" spans="3:17">
      <c r="C336" s="68"/>
      <c r="Q336" s="53"/>
    </row>
    <row r="337" spans="3:17">
      <c r="C337" s="68"/>
      <c r="Q337" s="53"/>
    </row>
    <row r="338" spans="3:17">
      <c r="C338" s="68"/>
      <c r="Q338" s="53"/>
    </row>
    <row r="339" spans="3:17">
      <c r="C339" s="68"/>
      <c r="Q339" s="53"/>
    </row>
    <row r="340" spans="3:17">
      <c r="C340" s="68"/>
      <c r="Q340" s="53"/>
    </row>
    <row r="341" spans="3:17">
      <c r="C341" s="68"/>
      <c r="Q341" s="53"/>
    </row>
    <row r="342" spans="3:17">
      <c r="C342" s="68"/>
      <c r="Q342" s="53"/>
    </row>
    <row r="343" spans="3:17">
      <c r="C343" s="68"/>
      <c r="Q343" s="53"/>
    </row>
    <row r="344" spans="3:17">
      <c r="C344" s="68"/>
      <c r="Q344" s="53"/>
    </row>
    <row r="345" spans="3:17">
      <c r="C345" s="68"/>
      <c r="Q345" s="53"/>
    </row>
    <row r="346" spans="3:17">
      <c r="C346" s="68"/>
      <c r="Q346" s="53"/>
    </row>
    <row r="347" spans="3:17">
      <c r="C347" s="68"/>
      <c r="Q347" s="53"/>
    </row>
    <row r="348" spans="3:17">
      <c r="C348" s="68"/>
      <c r="Q348" s="53"/>
    </row>
    <row r="349" spans="3:17">
      <c r="C349" s="68"/>
      <c r="Q349" s="53"/>
    </row>
    <row r="350" spans="3:17">
      <c r="C350" s="68"/>
      <c r="Q350" s="53"/>
    </row>
    <row r="351" spans="3:17">
      <c r="C351" s="68"/>
      <c r="Q351" s="53"/>
    </row>
    <row r="352" spans="3:17">
      <c r="C352" s="68"/>
      <c r="Q352" s="53"/>
    </row>
    <row r="353" spans="3:17">
      <c r="C353" s="68"/>
      <c r="Q353" s="53"/>
    </row>
    <row r="354" spans="3:17">
      <c r="C354" s="68"/>
      <c r="Q354" s="53"/>
    </row>
    <row r="355" spans="3:17">
      <c r="C355" s="68"/>
      <c r="Q355" s="53"/>
    </row>
    <row r="356" spans="3:17">
      <c r="C356" s="68"/>
      <c r="Q356" s="53"/>
    </row>
    <row r="357" spans="3:17">
      <c r="C357" s="68"/>
      <c r="Q357" s="53"/>
    </row>
    <row r="358" spans="3:17">
      <c r="C358" s="68"/>
      <c r="Q358" s="53"/>
    </row>
    <row r="359" spans="3:17">
      <c r="C359" s="68"/>
      <c r="Q359" s="53"/>
    </row>
    <row r="360" spans="3:17">
      <c r="C360" s="68"/>
      <c r="Q360" s="53"/>
    </row>
    <row r="361" spans="3:17">
      <c r="C361" s="68"/>
      <c r="Q361" s="53"/>
    </row>
    <row r="362" spans="3:17">
      <c r="C362" s="68"/>
      <c r="Q362" s="53"/>
    </row>
    <row r="363" spans="3:17">
      <c r="C363" s="68"/>
      <c r="Q363" s="53"/>
    </row>
    <row r="364" spans="3:17">
      <c r="C364" s="68"/>
      <c r="Q364" s="53"/>
    </row>
    <row r="365" spans="3:17">
      <c r="C365" s="68"/>
      <c r="Q365" s="53"/>
    </row>
    <row r="366" spans="3:17">
      <c r="C366" s="68"/>
      <c r="Q366" s="53"/>
    </row>
    <row r="367" spans="3:17">
      <c r="C367" s="68"/>
      <c r="Q367" s="53"/>
    </row>
    <row r="368" spans="3:17">
      <c r="C368" s="68"/>
      <c r="Q368" s="53"/>
    </row>
    <row r="369" spans="3:17">
      <c r="C369" s="68"/>
      <c r="Q369" s="53"/>
    </row>
    <row r="370" spans="3:17">
      <c r="C370" s="68"/>
      <c r="Q370" s="53"/>
    </row>
    <row r="371" spans="3:17">
      <c r="C371" s="68"/>
      <c r="Q371" s="53"/>
    </row>
    <row r="372" spans="3:17">
      <c r="C372" s="68"/>
      <c r="Q372" s="53"/>
    </row>
    <row r="373" spans="3:17">
      <c r="C373" s="68"/>
      <c r="Q373" s="53"/>
    </row>
    <row r="374" spans="3:17">
      <c r="C374" s="68"/>
      <c r="Q374" s="53"/>
    </row>
    <row r="375" spans="3:17">
      <c r="C375" s="68"/>
      <c r="Q375" s="53"/>
    </row>
    <row r="376" spans="3:17">
      <c r="C376" s="68"/>
      <c r="Q376" s="53"/>
    </row>
    <row r="377" spans="3:17">
      <c r="C377" s="68"/>
      <c r="Q377" s="53"/>
    </row>
    <row r="378" spans="3:17">
      <c r="C378" s="68"/>
      <c r="Q378" s="53"/>
    </row>
    <row r="379" spans="3:17">
      <c r="C379" s="68"/>
      <c r="Q379" s="53"/>
    </row>
    <row r="380" spans="3:17">
      <c r="C380" s="68"/>
      <c r="Q380" s="53"/>
    </row>
    <row r="381" spans="3:17">
      <c r="C381" s="68"/>
      <c r="Q381" s="53"/>
    </row>
    <row r="382" spans="3:17">
      <c r="C382" s="68"/>
      <c r="Q382" s="53"/>
    </row>
    <row r="383" spans="3:17">
      <c r="C383" s="68"/>
      <c r="Q383" s="53"/>
    </row>
    <row r="384" spans="3:17">
      <c r="C384" s="68"/>
      <c r="Q384" s="53"/>
    </row>
    <row r="385" spans="3:17">
      <c r="C385" s="68"/>
      <c r="Q385" s="53"/>
    </row>
    <row r="386" spans="3:17">
      <c r="C386" s="68"/>
      <c r="Q386" s="53"/>
    </row>
    <row r="387" spans="3:17">
      <c r="C387" s="68"/>
      <c r="Q387" s="53"/>
    </row>
    <row r="388" spans="3:17">
      <c r="C388" s="68"/>
      <c r="Q388" s="53"/>
    </row>
    <row r="389" spans="3:17">
      <c r="C389" s="68"/>
      <c r="Q389" s="53"/>
    </row>
    <row r="390" spans="3:17">
      <c r="C390" s="68"/>
      <c r="Q390" s="53"/>
    </row>
    <row r="391" spans="3:17">
      <c r="C391" s="68"/>
      <c r="Q391" s="53"/>
    </row>
    <row r="392" spans="3:17">
      <c r="C392" s="68"/>
      <c r="Q392" s="53"/>
    </row>
    <row r="393" spans="3:17">
      <c r="C393" s="68"/>
      <c r="Q393" s="53"/>
    </row>
    <row r="394" spans="3:17">
      <c r="C394" s="68"/>
      <c r="Q394" s="53"/>
    </row>
    <row r="395" spans="3:17">
      <c r="C395" s="68"/>
      <c r="Q395" s="53"/>
    </row>
    <row r="396" spans="3:17">
      <c r="C396" s="68"/>
      <c r="Q396" s="53"/>
    </row>
    <row r="397" spans="3:17">
      <c r="C397" s="68"/>
      <c r="Q397" s="53"/>
    </row>
    <row r="398" spans="3:17">
      <c r="C398" s="68"/>
      <c r="Q398" s="53"/>
    </row>
    <row r="399" spans="3:17">
      <c r="C399" s="68"/>
      <c r="Q399" s="53"/>
    </row>
    <row r="400" spans="3:17">
      <c r="C400" s="68"/>
      <c r="Q400" s="53"/>
    </row>
    <row r="401" spans="3:17">
      <c r="C401" s="68"/>
      <c r="Q401" s="53"/>
    </row>
    <row r="402" spans="3:17">
      <c r="C402" s="68"/>
      <c r="Q402" s="53"/>
    </row>
    <row r="403" spans="3:17">
      <c r="C403" s="68"/>
      <c r="Q403" s="53"/>
    </row>
    <row r="404" spans="3:17">
      <c r="C404" s="68"/>
      <c r="Q404" s="53"/>
    </row>
    <row r="405" spans="3:17">
      <c r="C405" s="68"/>
      <c r="Q405" s="53"/>
    </row>
    <row r="406" spans="3:17">
      <c r="C406" s="68"/>
      <c r="Q406" s="53"/>
    </row>
    <row r="407" spans="3:17">
      <c r="C407" s="68"/>
      <c r="Q407" s="53"/>
    </row>
    <row r="408" spans="3:17">
      <c r="C408" s="68"/>
      <c r="Q408" s="53"/>
    </row>
    <row r="409" spans="3:17">
      <c r="C409" s="68"/>
      <c r="Q409" s="53"/>
    </row>
    <row r="410" spans="3:17">
      <c r="C410" s="68"/>
      <c r="Q410" s="53"/>
    </row>
    <row r="411" spans="3:17">
      <c r="C411" s="68"/>
      <c r="Q411" s="53"/>
    </row>
    <row r="412" spans="3:17">
      <c r="C412" s="68"/>
      <c r="Q412" s="53"/>
    </row>
    <row r="413" spans="3:17">
      <c r="C413" s="68"/>
      <c r="Q413" s="53"/>
    </row>
    <row r="414" spans="3:17">
      <c r="C414" s="68"/>
      <c r="Q414" s="53"/>
    </row>
    <row r="415" spans="3:17">
      <c r="C415" s="68"/>
      <c r="Q415" s="53"/>
    </row>
    <row r="416" spans="3:17">
      <c r="C416" s="68"/>
      <c r="Q416" s="53"/>
    </row>
    <row r="417" spans="3:17">
      <c r="C417" s="68"/>
      <c r="Q417" s="53"/>
    </row>
    <row r="418" spans="3:17">
      <c r="C418" s="68"/>
      <c r="Q418" s="53"/>
    </row>
    <row r="419" spans="3:17">
      <c r="C419" s="68"/>
      <c r="Q419" s="53"/>
    </row>
    <row r="420" spans="3:17">
      <c r="C420" s="68"/>
      <c r="Q420" s="53"/>
    </row>
    <row r="421" spans="3:17">
      <c r="C421" s="68"/>
      <c r="Q421" s="53"/>
    </row>
    <row r="422" spans="3:17">
      <c r="C422" s="68"/>
      <c r="Q422" s="53"/>
    </row>
    <row r="423" spans="3:17">
      <c r="C423" s="68"/>
      <c r="Q423" s="53"/>
    </row>
    <row r="424" spans="3:17">
      <c r="C424" s="68"/>
      <c r="Q424" s="53"/>
    </row>
    <row r="425" spans="3:17">
      <c r="C425" s="68"/>
      <c r="Q425" s="53"/>
    </row>
    <row r="426" spans="3:17">
      <c r="C426" s="68"/>
      <c r="Q426" s="53"/>
    </row>
    <row r="427" spans="3:17">
      <c r="C427" s="68"/>
      <c r="Q427" s="53"/>
    </row>
    <row r="428" spans="3:17">
      <c r="C428" s="68"/>
      <c r="Q428" s="53"/>
    </row>
    <row r="429" spans="3:17">
      <c r="Q429" s="53"/>
    </row>
    <row r="430" spans="3:17">
      <c r="Q430" s="53"/>
    </row>
    <row r="431" spans="3:17">
      <c r="Q431" s="53"/>
    </row>
    <row r="432" spans="3:17">
      <c r="Q432" s="53"/>
    </row>
    <row r="433" spans="17:17">
      <c r="Q433" s="53"/>
    </row>
    <row r="434" spans="17:17">
      <c r="Q434" s="53"/>
    </row>
  </sheetData>
  <sortState xmlns:xlrd2="http://schemas.microsoft.com/office/spreadsheetml/2017/richdata2" ref="A2:U114">
    <sortCondition ref="B2:B11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A232"/>
  <sheetViews>
    <sheetView zoomScale="70" zoomScaleNormal="70" workbookViewId="0">
      <selection activeCell="H76" sqref="H76"/>
    </sheetView>
  </sheetViews>
  <sheetFormatPr defaultColWidth="8.85546875" defaultRowHeight="15"/>
  <cols>
    <col min="2" max="2" width="14" style="58" bestFit="1" customWidth="1"/>
    <col min="3" max="3" width="12.7109375" customWidth="1"/>
    <col min="4" max="4" width="47.42578125" customWidth="1"/>
    <col min="5" max="5" width="9.42578125" customWidth="1"/>
    <col min="6" max="6" width="17.140625" customWidth="1"/>
    <col min="7" max="7" width="11.42578125" bestFit="1" customWidth="1"/>
    <col min="8" max="8" width="17" bestFit="1" customWidth="1"/>
    <col min="9" max="9" width="14.42578125" customWidth="1"/>
    <col min="10" max="10" width="17.140625" customWidth="1"/>
    <col min="11" max="11" width="16.85546875" customWidth="1"/>
    <col min="15" max="15" width="13.28515625" customWidth="1"/>
    <col min="16" max="16" width="14" customWidth="1"/>
  </cols>
  <sheetData>
    <row r="1" spans="1:27">
      <c r="A1" s="59" t="s">
        <v>13</v>
      </c>
      <c r="B1" s="60" t="s">
        <v>14</v>
      </c>
      <c r="C1" s="39" t="s">
        <v>119</v>
      </c>
      <c r="D1" s="39" t="s">
        <v>120</v>
      </c>
      <c r="E1" s="39" t="s">
        <v>18</v>
      </c>
      <c r="F1" s="39" t="s">
        <v>121</v>
      </c>
      <c r="G1" s="39" t="s">
        <v>122</v>
      </c>
      <c r="H1" s="39" t="s">
        <v>123</v>
      </c>
      <c r="I1" s="39" t="s">
        <v>124</v>
      </c>
      <c r="J1" s="59" t="s">
        <v>125</v>
      </c>
      <c r="K1" s="59" t="s">
        <v>126</v>
      </c>
    </row>
    <row r="2" spans="1:27" s="48" customFormat="1">
      <c r="A2">
        <v>36</v>
      </c>
      <c r="B2" s="69">
        <v>45174</v>
      </c>
      <c r="C2" s="70" t="s">
        <v>127</v>
      </c>
      <c r="D2" s="70" t="s">
        <v>347</v>
      </c>
      <c r="E2" s="70" t="s">
        <v>32</v>
      </c>
      <c r="F2" s="70" t="s">
        <v>128</v>
      </c>
      <c r="G2" s="70">
        <v>1</v>
      </c>
      <c r="H2" s="70" t="s">
        <v>129</v>
      </c>
      <c r="I2" s="70" t="s">
        <v>39</v>
      </c>
      <c r="J2">
        <f>IF(F2="Culex tarsalis",G2,0)</f>
        <v>1</v>
      </c>
      <c r="K2">
        <f>IF(F2="Culex pipiens",G2,0)</f>
        <v>0</v>
      </c>
      <c r="L2"/>
      <c r="M2"/>
      <c r="N2"/>
      <c r="O2"/>
      <c r="P2"/>
      <c r="Q2"/>
      <c r="R2"/>
      <c r="S2"/>
      <c r="T2"/>
      <c r="U2"/>
      <c r="V2"/>
      <c r="W2"/>
      <c r="X2"/>
      <c r="Y2"/>
      <c r="Z2"/>
      <c r="AA2"/>
    </row>
    <row r="3" spans="1:27">
      <c r="A3">
        <v>36</v>
      </c>
      <c r="B3" s="69">
        <v>45174</v>
      </c>
      <c r="C3" s="70" t="s">
        <v>127</v>
      </c>
      <c r="D3" s="70" t="s">
        <v>349</v>
      </c>
      <c r="E3" s="70" t="s">
        <v>32</v>
      </c>
      <c r="F3" s="70" t="s">
        <v>128</v>
      </c>
      <c r="G3" s="70">
        <v>3</v>
      </c>
      <c r="H3" s="70" t="s">
        <v>129</v>
      </c>
      <c r="I3" s="70" t="s">
        <v>270</v>
      </c>
      <c r="J3">
        <f>IF(F3="Culex tarsalis",G3,0)</f>
        <v>3</v>
      </c>
      <c r="K3">
        <f>IF(F3="Culex pipiens",G3,0)</f>
        <v>0</v>
      </c>
    </row>
    <row r="4" spans="1:27">
      <c r="A4">
        <v>36</v>
      </c>
      <c r="B4" s="69">
        <v>45174</v>
      </c>
      <c r="C4" s="70" t="s">
        <v>127</v>
      </c>
      <c r="D4" s="70" t="s">
        <v>346</v>
      </c>
      <c r="E4" s="70" t="s">
        <v>32</v>
      </c>
      <c r="F4" s="70" t="s">
        <v>128</v>
      </c>
      <c r="G4" s="70">
        <v>2</v>
      </c>
      <c r="H4" s="70" t="s">
        <v>129</v>
      </c>
      <c r="I4" s="70" t="s">
        <v>340</v>
      </c>
      <c r="J4">
        <f>IF(F4="Culex tarsalis",G4,0)</f>
        <v>2</v>
      </c>
      <c r="K4">
        <f>IF(F4="Culex pipiens",G4,0)</f>
        <v>0</v>
      </c>
    </row>
    <row r="5" spans="1:27">
      <c r="A5">
        <v>36</v>
      </c>
      <c r="B5" s="69">
        <v>45174</v>
      </c>
      <c r="C5" s="70" t="s">
        <v>127</v>
      </c>
      <c r="D5" s="70" t="s">
        <v>348</v>
      </c>
      <c r="E5" s="70" t="s">
        <v>32</v>
      </c>
      <c r="F5" s="70" t="s">
        <v>128</v>
      </c>
      <c r="G5" s="70">
        <v>5</v>
      </c>
      <c r="H5" s="70" t="s">
        <v>129</v>
      </c>
      <c r="I5" s="70" t="s">
        <v>269</v>
      </c>
      <c r="J5">
        <f>IF(F5="Culex tarsalis",G5,0)</f>
        <v>5</v>
      </c>
      <c r="K5">
        <f>IF(F5="Culex pipiens",G5,0)</f>
        <v>0</v>
      </c>
    </row>
    <row r="6" spans="1:27">
      <c r="A6">
        <v>36</v>
      </c>
      <c r="B6" s="69">
        <v>45174</v>
      </c>
      <c r="C6" s="70" t="s">
        <v>127</v>
      </c>
      <c r="D6" s="70" t="s">
        <v>350</v>
      </c>
      <c r="E6" s="70" t="s">
        <v>32</v>
      </c>
      <c r="F6" s="70" t="s">
        <v>128</v>
      </c>
      <c r="G6" s="70">
        <v>2</v>
      </c>
      <c r="H6" s="70" t="s">
        <v>129</v>
      </c>
      <c r="I6" s="70" t="s">
        <v>345</v>
      </c>
      <c r="J6">
        <f>IF(F6="Culex tarsalis",G6,0)</f>
        <v>2</v>
      </c>
      <c r="K6">
        <f>IF(F6="Culex pipiens",G6,0)</f>
        <v>0</v>
      </c>
    </row>
    <row r="7" spans="1:27">
      <c r="A7">
        <v>36</v>
      </c>
      <c r="B7" s="69">
        <v>45174</v>
      </c>
      <c r="C7" s="70" t="s">
        <v>181</v>
      </c>
      <c r="D7" s="70" t="s">
        <v>204</v>
      </c>
      <c r="E7" s="70" t="s">
        <v>96</v>
      </c>
      <c r="F7" s="70" t="s">
        <v>130</v>
      </c>
      <c r="G7" s="70">
        <v>21</v>
      </c>
      <c r="H7" s="70" t="s">
        <v>129</v>
      </c>
      <c r="I7" s="70" t="s">
        <v>98</v>
      </c>
      <c r="J7">
        <f>IF(F7="Culex tarsalis",G7,0)</f>
        <v>0</v>
      </c>
      <c r="K7">
        <f>IF(F7="Culex pipiens",G7,0)</f>
        <v>21</v>
      </c>
    </row>
    <row r="8" spans="1:27">
      <c r="A8">
        <v>36</v>
      </c>
      <c r="B8" s="69">
        <v>45174</v>
      </c>
      <c r="C8" s="70" t="s">
        <v>181</v>
      </c>
      <c r="D8" s="70" t="s">
        <v>204</v>
      </c>
      <c r="E8" s="70" t="s">
        <v>96</v>
      </c>
      <c r="F8" s="70" t="s">
        <v>128</v>
      </c>
      <c r="G8" s="70">
        <v>2</v>
      </c>
      <c r="H8" s="70" t="s">
        <v>129</v>
      </c>
      <c r="I8" s="70" t="s">
        <v>98</v>
      </c>
      <c r="J8">
        <f>IF(F8="Culex tarsalis",G8,0)</f>
        <v>2</v>
      </c>
      <c r="K8">
        <f>IF(F8="Culex pipiens",G8,0)</f>
        <v>0</v>
      </c>
    </row>
    <row r="9" spans="1:27">
      <c r="A9">
        <v>36</v>
      </c>
      <c r="B9" s="69">
        <v>45174</v>
      </c>
      <c r="C9" s="70" t="s">
        <v>181</v>
      </c>
      <c r="D9" s="70" t="s">
        <v>193</v>
      </c>
      <c r="E9" s="70" t="s">
        <v>79</v>
      </c>
      <c r="F9" s="70" t="s">
        <v>130</v>
      </c>
      <c r="G9" s="70">
        <v>7</v>
      </c>
      <c r="H9" s="70" t="s">
        <v>129</v>
      </c>
      <c r="I9" s="70" t="s">
        <v>85</v>
      </c>
      <c r="J9">
        <f>IF(F9="Culex tarsalis",G9,0)</f>
        <v>0</v>
      </c>
      <c r="K9">
        <f>IF(F9="Culex pipiens",G9,0)</f>
        <v>7</v>
      </c>
    </row>
    <row r="10" spans="1:27" s="48" customFormat="1">
      <c r="A10">
        <v>36</v>
      </c>
      <c r="B10" s="69">
        <v>45174</v>
      </c>
      <c r="C10" s="70" t="s">
        <v>181</v>
      </c>
      <c r="D10" s="70" t="s">
        <v>193</v>
      </c>
      <c r="E10" s="70" t="s">
        <v>79</v>
      </c>
      <c r="F10" s="70" t="s">
        <v>128</v>
      </c>
      <c r="G10" s="70">
        <v>2</v>
      </c>
      <c r="H10" s="70" t="s">
        <v>129</v>
      </c>
      <c r="I10" s="70" t="s">
        <v>85</v>
      </c>
      <c r="J10">
        <f>IF(F10="Culex tarsalis",G10,0)</f>
        <v>2</v>
      </c>
      <c r="K10">
        <f>IF(F10="Culex pipiens",G10,0)</f>
        <v>0</v>
      </c>
      <c r="L10"/>
      <c r="M10"/>
      <c r="N10"/>
      <c r="O10"/>
      <c r="P10"/>
      <c r="Q10"/>
      <c r="R10"/>
      <c r="S10"/>
      <c r="T10"/>
      <c r="U10"/>
      <c r="V10"/>
      <c r="W10"/>
      <c r="X10"/>
      <c r="Y10"/>
      <c r="Z10"/>
      <c r="AA10"/>
    </row>
    <row r="11" spans="1:27">
      <c r="A11">
        <v>36</v>
      </c>
      <c r="B11" s="69">
        <v>45173</v>
      </c>
      <c r="C11" s="70" t="s">
        <v>181</v>
      </c>
      <c r="D11" s="70" t="s">
        <v>182</v>
      </c>
      <c r="E11" s="70" t="s">
        <v>53</v>
      </c>
      <c r="F11" s="70" t="s">
        <v>130</v>
      </c>
      <c r="G11" s="70">
        <v>1</v>
      </c>
      <c r="H11" s="70" t="s">
        <v>129</v>
      </c>
      <c r="I11" s="70" t="s">
        <v>65</v>
      </c>
      <c r="J11">
        <f>IF(F11="Culex tarsalis",G11,0)</f>
        <v>0</v>
      </c>
      <c r="K11">
        <f>IF(F11="Culex pipiens",G11,0)</f>
        <v>1</v>
      </c>
    </row>
    <row r="12" spans="1:27">
      <c r="A12">
        <v>36</v>
      </c>
      <c r="B12" s="69">
        <v>45173</v>
      </c>
      <c r="C12" s="70" t="s">
        <v>181</v>
      </c>
      <c r="D12" s="70" t="s">
        <v>183</v>
      </c>
      <c r="E12" s="70" t="s">
        <v>53</v>
      </c>
      <c r="F12" s="70" t="s">
        <v>130</v>
      </c>
      <c r="G12" s="70">
        <v>9</v>
      </c>
      <c r="H12" s="70" t="s">
        <v>129</v>
      </c>
      <c r="I12" s="70" t="s">
        <v>63</v>
      </c>
      <c r="J12">
        <f>IF(F12="Culex tarsalis",G12,0)</f>
        <v>0</v>
      </c>
      <c r="K12">
        <f>IF(F12="Culex pipiens",G12,0)</f>
        <v>9</v>
      </c>
    </row>
    <row r="13" spans="1:27">
      <c r="A13">
        <v>36</v>
      </c>
      <c r="B13" s="69">
        <v>45173</v>
      </c>
      <c r="C13" s="70" t="s">
        <v>181</v>
      </c>
      <c r="D13" s="70" t="s">
        <v>183</v>
      </c>
      <c r="E13" s="70" t="s">
        <v>53</v>
      </c>
      <c r="F13" s="70" t="s">
        <v>128</v>
      </c>
      <c r="G13" s="70">
        <v>6</v>
      </c>
      <c r="H13" s="70" t="s">
        <v>129</v>
      </c>
      <c r="I13" s="70" t="s">
        <v>63</v>
      </c>
      <c r="J13">
        <f>IF(F13="Culex tarsalis",G13,0)</f>
        <v>6</v>
      </c>
      <c r="K13">
        <f>IF(F13="Culex pipiens",G13,0)</f>
        <v>0</v>
      </c>
    </row>
    <row r="14" spans="1:27" s="48" customFormat="1">
      <c r="A14">
        <v>36</v>
      </c>
      <c r="B14" s="69">
        <v>45174</v>
      </c>
      <c r="C14" s="70" t="s">
        <v>181</v>
      </c>
      <c r="D14" s="70" t="s">
        <v>194</v>
      </c>
      <c r="E14" s="70" t="s">
        <v>79</v>
      </c>
      <c r="F14" s="70" t="s">
        <v>128</v>
      </c>
      <c r="G14" s="70">
        <v>3</v>
      </c>
      <c r="H14" s="70" t="s">
        <v>129</v>
      </c>
      <c r="I14" s="70" t="s">
        <v>86</v>
      </c>
      <c r="J14">
        <f>IF(F14="Culex tarsalis",G14,0)</f>
        <v>3</v>
      </c>
      <c r="K14">
        <f>IF(F14="Culex pipiens",G14,0)</f>
        <v>0</v>
      </c>
      <c r="L14"/>
      <c r="M14"/>
      <c r="N14"/>
      <c r="O14"/>
      <c r="P14"/>
      <c r="Q14"/>
      <c r="R14"/>
      <c r="S14"/>
      <c r="T14"/>
      <c r="U14"/>
      <c r="V14"/>
      <c r="W14"/>
      <c r="X14"/>
      <c r="Y14"/>
      <c r="Z14"/>
      <c r="AA14"/>
    </row>
    <row r="15" spans="1:27" s="48" customFormat="1">
      <c r="A15">
        <v>36</v>
      </c>
      <c r="B15" s="69">
        <v>45174</v>
      </c>
      <c r="C15" s="70" t="s">
        <v>181</v>
      </c>
      <c r="D15" s="70" t="s">
        <v>194</v>
      </c>
      <c r="E15" s="70" t="s">
        <v>79</v>
      </c>
      <c r="F15" s="70" t="s">
        <v>130</v>
      </c>
      <c r="G15" s="70">
        <v>2</v>
      </c>
      <c r="H15" s="70" t="s">
        <v>129</v>
      </c>
      <c r="I15" s="70" t="s">
        <v>86</v>
      </c>
      <c r="J15">
        <f>IF(F15="Culex tarsalis",G15,0)</f>
        <v>0</v>
      </c>
      <c r="K15">
        <f>IF(F15="Culex pipiens",G15,0)</f>
        <v>2</v>
      </c>
      <c r="L15"/>
      <c r="M15"/>
      <c r="N15"/>
      <c r="O15"/>
      <c r="P15"/>
      <c r="Q15"/>
      <c r="R15"/>
      <c r="S15"/>
      <c r="T15"/>
      <c r="U15"/>
      <c r="V15"/>
      <c r="W15"/>
      <c r="X15"/>
      <c r="Y15"/>
      <c r="Z15"/>
      <c r="AA15"/>
    </row>
    <row r="16" spans="1:27">
      <c r="A16">
        <v>36</v>
      </c>
      <c r="B16" s="69">
        <v>45174</v>
      </c>
      <c r="C16" s="70" t="s">
        <v>181</v>
      </c>
      <c r="D16" s="70" t="s">
        <v>200</v>
      </c>
      <c r="E16" s="70" t="s">
        <v>79</v>
      </c>
      <c r="F16" s="70" t="s">
        <v>128</v>
      </c>
      <c r="G16" s="70">
        <v>2</v>
      </c>
      <c r="H16" s="70" t="s">
        <v>129</v>
      </c>
      <c r="I16" s="70" t="s">
        <v>91</v>
      </c>
      <c r="J16">
        <f>IF(F16="Culex tarsalis",G16,0)</f>
        <v>2</v>
      </c>
      <c r="K16">
        <f>IF(F16="Culex pipiens",G16,0)</f>
        <v>0</v>
      </c>
    </row>
    <row r="17" spans="1:24">
      <c r="A17">
        <v>36</v>
      </c>
      <c r="B17" s="69">
        <v>45174</v>
      </c>
      <c r="C17" s="70" t="s">
        <v>181</v>
      </c>
      <c r="D17" s="70" t="s">
        <v>200</v>
      </c>
      <c r="E17" s="70" t="s">
        <v>79</v>
      </c>
      <c r="F17" s="70" t="s">
        <v>130</v>
      </c>
      <c r="G17" s="70">
        <v>2</v>
      </c>
      <c r="H17" s="70" t="s">
        <v>129</v>
      </c>
      <c r="I17" s="70" t="s">
        <v>91</v>
      </c>
      <c r="J17">
        <f>IF(F17="Culex tarsalis",G17,0)</f>
        <v>0</v>
      </c>
      <c r="K17">
        <f>IF(F17="Culex pipiens",G17,0)</f>
        <v>2</v>
      </c>
    </row>
    <row r="18" spans="1:24">
      <c r="A18">
        <v>36</v>
      </c>
      <c r="B18" s="69">
        <v>45173</v>
      </c>
      <c r="C18" s="70" t="s">
        <v>181</v>
      </c>
      <c r="D18" s="70" t="s">
        <v>184</v>
      </c>
      <c r="E18" s="70" t="s">
        <v>53</v>
      </c>
      <c r="F18" s="70" t="s">
        <v>128</v>
      </c>
      <c r="G18" s="70">
        <v>1</v>
      </c>
      <c r="H18" s="70" t="s">
        <v>129</v>
      </c>
      <c r="I18" s="70" t="s">
        <v>56</v>
      </c>
      <c r="J18">
        <f>IF(F18="Culex tarsalis",G18,0)</f>
        <v>1</v>
      </c>
      <c r="K18">
        <f>IF(F18="Culex pipiens",G18,0)</f>
        <v>0</v>
      </c>
    </row>
    <row r="19" spans="1:24">
      <c r="A19">
        <v>36</v>
      </c>
      <c r="B19" s="69">
        <v>45174</v>
      </c>
      <c r="C19" s="70" t="s">
        <v>181</v>
      </c>
      <c r="D19" s="70" t="s">
        <v>205</v>
      </c>
      <c r="E19" s="70" t="s">
        <v>96</v>
      </c>
      <c r="F19" s="70" t="s">
        <v>130</v>
      </c>
      <c r="G19" s="70">
        <v>7</v>
      </c>
      <c r="H19" s="70" t="s">
        <v>129</v>
      </c>
      <c r="I19" s="70" t="s">
        <v>99</v>
      </c>
      <c r="J19">
        <f>IF(F19="Culex tarsalis",G19,0)</f>
        <v>0</v>
      </c>
      <c r="K19">
        <f>IF(F19="Culex pipiens",G19,0)</f>
        <v>7</v>
      </c>
    </row>
    <row r="20" spans="1:24">
      <c r="A20">
        <v>36</v>
      </c>
      <c r="B20" s="69">
        <v>45174</v>
      </c>
      <c r="C20" s="70" t="s">
        <v>181</v>
      </c>
      <c r="D20" s="70" t="s">
        <v>205</v>
      </c>
      <c r="E20" s="70" t="s">
        <v>96</v>
      </c>
      <c r="F20" s="70" t="s">
        <v>128</v>
      </c>
      <c r="G20" s="70">
        <v>7</v>
      </c>
      <c r="H20" s="70" t="s">
        <v>129</v>
      </c>
      <c r="I20" s="70" t="s">
        <v>99</v>
      </c>
      <c r="J20">
        <f>IF(F20="Culex tarsalis",G20,0)</f>
        <v>7</v>
      </c>
      <c r="K20">
        <f>IF(F20="Culex pipiens",G20,0)</f>
        <v>0</v>
      </c>
    </row>
    <row r="21" spans="1:24">
      <c r="A21">
        <v>36</v>
      </c>
      <c r="B21" s="69">
        <v>45174</v>
      </c>
      <c r="C21" s="70" t="s">
        <v>181</v>
      </c>
      <c r="D21" s="70" t="s">
        <v>195</v>
      </c>
      <c r="E21" s="70" t="s">
        <v>79</v>
      </c>
      <c r="F21" s="70" t="s">
        <v>130</v>
      </c>
      <c r="G21" s="70">
        <v>11</v>
      </c>
      <c r="H21" s="70" t="s">
        <v>129</v>
      </c>
      <c r="I21" s="70" t="s">
        <v>88</v>
      </c>
      <c r="J21">
        <f>IF(F21="Culex tarsalis",G21,0)</f>
        <v>0</v>
      </c>
      <c r="K21">
        <f>IF(F21="Culex pipiens",G21,0)</f>
        <v>11</v>
      </c>
    </row>
    <row r="22" spans="1:24">
      <c r="A22">
        <v>36</v>
      </c>
      <c r="B22" s="69">
        <v>45174</v>
      </c>
      <c r="C22" s="70" t="s">
        <v>181</v>
      </c>
      <c r="D22" s="70" t="s">
        <v>195</v>
      </c>
      <c r="E22" s="70" t="s">
        <v>79</v>
      </c>
      <c r="F22" s="70" t="s">
        <v>128</v>
      </c>
      <c r="G22" s="70">
        <v>4</v>
      </c>
      <c r="H22" s="70" t="s">
        <v>129</v>
      </c>
      <c r="I22" s="70" t="s">
        <v>88</v>
      </c>
      <c r="J22">
        <f>IF(F22="Culex tarsalis",G22,0)</f>
        <v>4</v>
      </c>
      <c r="K22">
        <f>IF(F22="Culex pipiens",G22,0)</f>
        <v>0</v>
      </c>
    </row>
    <row r="23" spans="1:24">
      <c r="A23">
        <v>36</v>
      </c>
      <c r="B23" s="69">
        <v>45173</v>
      </c>
      <c r="C23" s="70" t="s">
        <v>181</v>
      </c>
      <c r="D23" s="70" t="s">
        <v>185</v>
      </c>
      <c r="E23" s="70" t="s">
        <v>53</v>
      </c>
      <c r="F23" s="70" t="s">
        <v>128</v>
      </c>
      <c r="G23" s="70">
        <v>2</v>
      </c>
      <c r="H23" s="70" t="s">
        <v>129</v>
      </c>
      <c r="I23" s="70" t="s">
        <v>59</v>
      </c>
      <c r="J23">
        <f>IF(F23="Culex tarsalis",G23,0)</f>
        <v>2</v>
      </c>
      <c r="K23">
        <f>IF(F23="Culex pipiens",G23,0)</f>
        <v>0</v>
      </c>
    </row>
    <row r="24" spans="1:24">
      <c r="A24">
        <v>36</v>
      </c>
      <c r="B24" s="69">
        <v>45173</v>
      </c>
      <c r="C24" s="70" t="s">
        <v>181</v>
      </c>
      <c r="D24" s="70" t="s">
        <v>185</v>
      </c>
      <c r="E24" s="70" t="s">
        <v>53</v>
      </c>
      <c r="F24" s="70" t="s">
        <v>130</v>
      </c>
      <c r="G24" s="70">
        <v>13</v>
      </c>
      <c r="H24" s="70" t="s">
        <v>129</v>
      </c>
      <c r="I24" s="70" t="s">
        <v>59</v>
      </c>
      <c r="J24">
        <f>IF(F24="Culex tarsalis",G24,0)</f>
        <v>0</v>
      </c>
      <c r="K24">
        <f>IF(F24="Culex pipiens",G24,0)</f>
        <v>13</v>
      </c>
    </row>
    <row r="25" spans="1:24">
      <c r="A25">
        <v>36</v>
      </c>
      <c r="B25" s="69">
        <v>45175</v>
      </c>
      <c r="C25" s="70" t="s">
        <v>181</v>
      </c>
      <c r="D25" s="70" t="s">
        <v>189</v>
      </c>
      <c r="E25" s="70" t="s">
        <v>70</v>
      </c>
      <c r="F25" s="70" t="s">
        <v>130</v>
      </c>
      <c r="G25" s="70">
        <v>2</v>
      </c>
      <c r="H25" s="70" t="s">
        <v>129</v>
      </c>
      <c r="I25" s="70" t="s">
        <v>73</v>
      </c>
      <c r="J25">
        <f>IF(F25="Culex tarsalis",G25,0)</f>
        <v>0</v>
      </c>
      <c r="K25">
        <f>IF(F25="Culex pipiens",G25,0)</f>
        <v>2</v>
      </c>
    </row>
    <row r="26" spans="1:24">
      <c r="A26">
        <v>36</v>
      </c>
      <c r="B26" s="69">
        <v>45174</v>
      </c>
      <c r="C26" s="70" t="s">
        <v>181</v>
      </c>
      <c r="D26" s="70" t="s">
        <v>196</v>
      </c>
      <c r="E26" s="70" t="s">
        <v>79</v>
      </c>
      <c r="F26" s="70" t="s">
        <v>130</v>
      </c>
      <c r="G26" s="70">
        <v>13</v>
      </c>
      <c r="H26" s="70" t="s">
        <v>129</v>
      </c>
      <c r="I26" s="70" t="s">
        <v>89</v>
      </c>
      <c r="J26">
        <f>IF(F26="Culex tarsalis",G26,0)</f>
        <v>0</v>
      </c>
      <c r="K26">
        <f>IF(F26="Culex pipiens",G26,0)</f>
        <v>13</v>
      </c>
      <c r="X26" s="48"/>
    </row>
    <row r="27" spans="1:24">
      <c r="A27">
        <v>36</v>
      </c>
      <c r="B27" s="69">
        <v>45174</v>
      </c>
      <c r="C27" s="70" t="s">
        <v>181</v>
      </c>
      <c r="D27" s="70" t="s">
        <v>196</v>
      </c>
      <c r="E27" s="70" t="s">
        <v>79</v>
      </c>
      <c r="F27" s="70" t="s">
        <v>128</v>
      </c>
      <c r="G27" s="70">
        <v>4</v>
      </c>
      <c r="H27" s="70" t="s">
        <v>129</v>
      </c>
      <c r="I27" s="70" t="s">
        <v>89</v>
      </c>
      <c r="J27">
        <f>IF(F27="Culex tarsalis",G27,0)</f>
        <v>4</v>
      </c>
      <c r="K27">
        <f>IF(F27="Culex pipiens",G27,0)</f>
        <v>0</v>
      </c>
    </row>
    <row r="28" spans="1:24">
      <c r="A28">
        <v>36</v>
      </c>
      <c r="B28" s="69">
        <v>45174</v>
      </c>
      <c r="C28" s="70" t="s">
        <v>181</v>
      </c>
      <c r="D28" s="70" t="s">
        <v>197</v>
      </c>
      <c r="E28" s="70" t="s">
        <v>79</v>
      </c>
      <c r="F28" s="70" t="s">
        <v>128</v>
      </c>
      <c r="G28" s="70">
        <v>1</v>
      </c>
      <c r="H28" s="70" t="s">
        <v>129</v>
      </c>
      <c r="I28" s="70" t="s">
        <v>84</v>
      </c>
      <c r="J28">
        <f>IF(F28="Culex tarsalis",G28,0)</f>
        <v>1</v>
      </c>
      <c r="K28">
        <f>IF(F28="Culex pipiens",G28,0)</f>
        <v>0</v>
      </c>
    </row>
    <row r="29" spans="1:24">
      <c r="A29">
        <v>36</v>
      </c>
      <c r="B29" s="69">
        <v>45174</v>
      </c>
      <c r="C29" s="70" t="s">
        <v>181</v>
      </c>
      <c r="D29" s="70" t="s">
        <v>197</v>
      </c>
      <c r="E29" s="70" t="s">
        <v>79</v>
      </c>
      <c r="F29" s="70" t="s">
        <v>130</v>
      </c>
      <c r="G29" s="70">
        <v>2</v>
      </c>
      <c r="H29" s="70" t="s">
        <v>129</v>
      </c>
      <c r="I29" s="70" t="s">
        <v>84</v>
      </c>
      <c r="J29">
        <f>IF(F29="Culex tarsalis",G29,0)</f>
        <v>0</v>
      </c>
      <c r="K29">
        <f>IF(F29="Culex pipiens",G29,0)</f>
        <v>2</v>
      </c>
    </row>
    <row r="30" spans="1:24">
      <c r="A30">
        <v>36</v>
      </c>
      <c r="B30" s="69">
        <v>45174</v>
      </c>
      <c r="C30" s="70" t="s">
        <v>181</v>
      </c>
      <c r="D30" s="70" t="s">
        <v>198</v>
      </c>
      <c r="E30" s="70" t="s">
        <v>79</v>
      </c>
      <c r="F30" s="70" t="s">
        <v>130</v>
      </c>
      <c r="G30" s="70">
        <v>4</v>
      </c>
      <c r="H30" s="70" t="s">
        <v>129</v>
      </c>
      <c r="I30" s="70" t="s">
        <v>87</v>
      </c>
      <c r="J30">
        <f>IF(F30="Culex tarsalis",G30,0)</f>
        <v>0</v>
      </c>
      <c r="K30">
        <f>IF(F30="Culex pipiens",G30,0)</f>
        <v>4</v>
      </c>
    </row>
    <row r="31" spans="1:24">
      <c r="A31">
        <v>36</v>
      </c>
      <c r="B31" s="69">
        <v>45174</v>
      </c>
      <c r="C31" s="70" t="s">
        <v>181</v>
      </c>
      <c r="D31" s="70" t="s">
        <v>201</v>
      </c>
      <c r="E31" s="70" t="s">
        <v>79</v>
      </c>
      <c r="F31" s="70" t="s">
        <v>130</v>
      </c>
      <c r="G31" s="70">
        <v>12</v>
      </c>
      <c r="H31" s="70" t="s">
        <v>129</v>
      </c>
      <c r="I31" s="70" t="s">
        <v>90</v>
      </c>
      <c r="J31">
        <f>IF(F31="Culex tarsalis",G31,0)</f>
        <v>0</v>
      </c>
      <c r="K31">
        <f>IF(F31="Culex pipiens",G31,0)</f>
        <v>12</v>
      </c>
    </row>
    <row r="32" spans="1:24">
      <c r="A32">
        <v>36</v>
      </c>
      <c r="B32" s="69">
        <v>45174</v>
      </c>
      <c r="C32" s="70" t="s">
        <v>181</v>
      </c>
      <c r="D32" s="70" t="s">
        <v>201</v>
      </c>
      <c r="E32" s="70" t="s">
        <v>79</v>
      </c>
      <c r="F32" s="70" t="s">
        <v>128</v>
      </c>
      <c r="G32" s="70">
        <v>6</v>
      </c>
      <c r="H32" s="70" t="s">
        <v>129</v>
      </c>
      <c r="I32" s="70" t="s">
        <v>90</v>
      </c>
      <c r="J32">
        <f>IF(F32="Culex tarsalis",G32,0)</f>
        <v>6</v>
      </c>
      <c r="K32">
        <f>IF(F32="Culex pipiens",G32,0)</f>
        <v>0</v>
      </c>
    </row>
    <row r="33" spans="1:11">
      <c r="A33">
        <v>36</v>
      </c>
      <c r="B33" s="69">
        <v>45174</v>
      </c>
      <c r="C33" s="70" t="s">
        <v>181</v>
      </c>
      <c r="D33" s="70" t="s">
        <v>209</v>
      </c>
      <c r="E33" s="70" t="s">
        <v>96</v>
      </c>
      <c r="F33" s="70" t="s">
        <v>128</v>
      </c>
      <c r="G33" s="70">
        <v>3</v>
      </c>
      <c r="H33" s="70" t="s">
        <v>129</v>
      </c>
      <c r="I33" s="70" t="s">
        <v>105</v>
      </c>
      <c r="J33">
        <f>IF(F33="Culex tarsalis",G33,0)</f>
        <v>3</v>
      </c>
      <c r="K33">
        <f>IF(F33="Culex pipiens",G33,0)</f>
        <v>0</v>
      </c>
    </row>
    <row r="34" spans="1:11">
      <c r="A34">
        <v>36</v>
      </c>
      <c r="B34" s="69">
        <v>45174</v>
      </c>
      <c r="C34" s="70" t="s">
        <v>181</v>
      </c>
      <c r="D34" s="70" t="s">
        <v>209</v>
      </c>
      <c r="E34" s="70" t="s">
        <v>96</v>
      </c>
      <c r="F34" s="70" t="s">
        <v>130</v>
      </c>
      <c r="G34" s="70">
        <v>1</v>
      </c>
      <c r="H34" s="70" t="s">
        <v>129</v>
      </c>
      <c r="I34" s="70" t="s">
        <v>105</v>
      </c>
      <c r="J34">
        <f>IF(F34="Culex tarsalis",G34,0)</f>
        <v>0</v>
      </c>
      <c r="K34">
        <f>IF(F34="Culex pipiens",G34,0)</f>
        <v>1</v>
      </c>
    </row>
    <row r="35" spans="1:11">
      <c r="A35">
        <v>36</v>
      </c>
      <c r="B35" s="69">
        <v>45174</v>
      </c>
      <c r="C35" s="70" t="s">
        <v>181</v>
      </c>
      <c r="D35" s="70" t="s">
        <v>202</v>
      </c>
      <c r="E35" s="70" t="s">
        <v>79</v>
      </c>
      <c r="F35" s="70" t="s">
        <v>128</v>
      </c>
      <c r="G35" s="70">
        <v>3</v>
      </c>
      <c r="H35" s="70" t="s">
        <v>129</v>
      </c>
      <c r="I35" s="70" t="s">
        <v>95</v>
      </c>
      <c r="J35">
        <f>IF(F35="Culex tarsalis",G35,0)</f>
        <v>3</v>
      </c>
      <c r="K35">
        <f>IF(F35="Culex pipiens",G35,0)</f>
        <v>0</v>
      </c>
    </row>
    <row r="36" spans="1:11">
      <c r="A36">
        <v>36</v>
      </c>
      <c r="B36" s="69">
        <v>45174</v>
      </c>
      <c r="C36" s="70" t="s">
        <v>181</v>
      </c>
      <c r="D36" s="70" t="s">
        <v>202</v>
      </c>
      <c r="E36" s="70" t="s">
        <v>79</v>
      </c>
      <c r="F36" s="70" t="s">
        <v>130</v>
      </c>
      <c r="G36" s="70">
        <v>11</v>
      </c>
      <c r="H36" s="70" t="s">
        <v>129</v>
      </c>
      <c r="I36" s="70" t="s">
        <v>95</v>
      </c>
      <c r="J36">
        <f>IF(F36="Culex tarsalis",G36,0)</f>
        <v>0</v>
      </c>
      <c r="K36">
        <f>IF(F36="Culex pipiens",G36,0)</f>
        <v>11</v>
      </c>
    </row>
    <row r="37" spans="1:11">
      <c r="A37">
        <v>36</v>
      </c>
      <c r="B37" s="69">
        <v>45175</v>
      </c>
      <c r="C37" s="70" t="s">
        <v>181</v>
      </c>
      <c r="D37" s="70" t="s">
        <v>190</v>
      </c>
      <c r="E37" s="70" t="s">
        <v>70</v>
      </c>
      <c r="F37" s="70" t="s">
        <v>130</v>
      </c>
      <c r="G37" s="70">
        <v>1</v>
      </c>
      <c r="H37" s="70" t="s">
        <v>129</v>
      </c>
      <c r="I37" s="70" t="s">
        <v>72</v>
      </c>
      <c r="J37">
        <f>IF(F37="Culex tarsalis",G37,0)</f>
        <v>0</v>
      </c>
      <c r="K37">
        <f>IF(F37="Culex pipiens",G37,0)</f>
        <v>1</v>
      </c>
    </row>
    <row r="38" spans="1:11">
      <c r="A38">
        <v>36</v>
      </c>
      <c r="B38" s="69">
        <v>45175</v>
      </c>
      <c r="C38" s="70" t="s">
        <v>181</v>
      </c>
      <c r="D38" s="70" t="s">
        <v>190</v>
      </c>
      <c r="E38" s="70" t="s">
        <v>70</v>
      </c>
      <c r="F38" s="70" t="s">
        <v>128</v>
      </c>
      <c r="G38" s="70">
        <v>2</v>
      </c>
      <c r="H38" s="70" t="s">
        <v>129</v>
      </c>
      <c r="I38" s="70" t="s">
        <v>72</v>
      </c>
      <c r="J38">
        <f>IF(F38="Culex tarsalis",G38,0)</f>
        <v>2</v>
      </c>
      <c r="K38">
        <f>IF(F38="Culex pipiens",G38,0)</f>
        <v>0</v>
      </c>
    </row>
    <row r="39" spans="1:11">
      <c r="A39">
        <v>36</v>
      </c>
      <c r="B39" s="69">
        <v>45174</v>
      </c>
      <c r="C39" s="70" t="s">
        <v>181</v>
      </c>
      <c r="D39" s="70" t="s">
        <v>206</v>
      </c>
      <c r="E39" s="70" t="s">
        <v>96</v>
      </c>
      <c r="F39" s="70" t="s">
        <v>130</v>
      </c>
      <c r="G39" s="70">
        <v>3</v>
      </c>
      <c r="H39" s="70" t="s">
        <v>129</v>
      </c>
      <c r="I39" s="70" t="s">
        <v>102</v>
      </c>
      <c r="J39">
        <f>IF(F39="Culex tarsalis",G39,0)</f>
        <v>0</v>
      </c>
      <c r="K39">
        <f>IF(F39="Culex pipiens",G39,0)</f>
        <v>3</v>
      </c>
    </row>
    <row r="40" spans="1:11">
      <c r="A40">
        <v>36</v>
      </c>
      <c r="B40" s="69">
        <v>45175</v>
      </c>
      <c r="C40" s="70" t="s">
        <v>181</v>
      </c>
      <c r="D40" s="70" t="s">
        <v>191</v>
      </c>
      <c r="E40" s="70" t="s">
        <v>70</v>
      </c>
      <c r="F40" s="70" t="s">
        <v>130</v>
      </c>
      <c r="G40" s="70">
        <v>1</v>
      </c>
      <c r="H40" s="70" t="s">
        <v>129</v>
      </c>
      <c r="I40" s="70" t="s">
        <v>77</v>
      </c>
      <c r="J40">
        <f>IF(F40="Culex tarsalis",G40,0)</f>
        <v>0</v>
      </c>
      <c r="K40">
        <f>IF(F40="Culex pipiens",G40,0)</f>
        <v>1</v>
      </c>
    </row>
    <row r="41" spans="1:11">
      <c r="A41">
        <v>36</v>
      </c>
      <c r="B41" s="69">
        <v>45173</v>
      </c>
      <c r="C41" s="70" t="s">
        <v>181</v>
      </c>
      <c r="D41" s="70" t="s">
        <v>186</v>
      </c>
      <c r="E41" s="70" t="s">
        <v>53</v>
      </c>
      <c r="F41" s="70" t="s">
        <v>130</v>
      </c>
      <c r="G41" s="70">
        <v>179</v>
      </c>
      <c r="H41" s="70" t="s">
        <v>129</v>
      </c>
      <c r="I41" s="70" t="s">
        <v>66</v>
      </c>
      <c r="J41">
        <f>IF(F41="Culex tarsalis",G41,0)</f>
        <v>0</v>
      </c>
      <c r="K41">
        <f>IF(F41="Culex pipiens",G41,0)</f>
        <v>179</v>
      </c>
    </row>
    <row r="42" spans="1:11">
      <c r="A42">
        <v>36</v>
      </c>
      <c r="B42" s="69">
        <v>45173</v>
      </c>
      <c r="C42" s="70" t="s">
        <v>181</v>
      </c>
      <c r="D42" s="70" t="s">
        <v>186</v>
      </c>
      <c r="E42" s="70" t="s">
        <v>53</v>
      </c>
      <c r="F42" s="70" t="s">
        <v>128</v>
      </c>
      <c r="G42" s="70">
        <v>5</v>
      </c>
      <c r="H42" s="70" t="s">
        <v>129</v>
      </c>
      <c r="I42" s="70" t="s">
        <v>66</v>
      </c>
      <c r="J42">
        <f>IF(F42="Culex tarsalis",G42,0)</f>
        <v>5</v>
      </c>
      <c r="K42">
        <f>IF(F42="Culex pipiens",G42,0)</f>
        <v>0</v>
      </c>
    </row>
    <row r="43" spans="1:11">
      <c r="A43">
        <v>36</v>
      </c>
      <c r="B43" s="69">
        <v>45173</v>
      </c>
      <c r="C43" s="70" t="s">
        <v>181</v>
      </c>
      <c r="D43" s="70" t="s">
        <v>188</v>
      </c>
      <c r="E43" s="70" t="s">
        <v>53</v>
      </c>
      <c r="F43" s="70" t="s">
        <v>128</v>
      </c>
      <c r="G43" s="70">
        <v>2</v>
      </c>
      <c r="H43" s="70" t="s">
        <v>129</v>
      </c>
      <c r="I43" s="70" t="s">
        <v>69</v>
      </c>
      <c r="J43">
        <f>IF(F43="Culex tarsalis",G43,0)</f>
        <v>2</v>
      </c>
      <c r="K43">
        <f>IF(F43="Culex pipiens",G43,0)</f>
        <v>0</v>
      </c>
    </row>
    <row r="44" spans="1:11">
      <c r="A44">
        <v>36</v>
      </c>
      <c r="B44" s="69">
        <v>45174</v>
      </c>
      <c r="C44" s="70" t="s">
        <v>181</v>
      </c>
      <c r="D44" s="70" t="s">
        <v>207</v>
      </c>
      <c r="E44" s="70" t="s">
        <v>96</v>
      </c>
      <c r="F44" s="70" t="s">
        <v>128</v>
      </c>
      <c r="G44" s="70">
        <v>1</v>
      </c>
      <c r="H44" s="70" t="s">
        <v>129</v>
      </c>
      <c r="I44" s="70" t="s">
        <v>101</v>
      </c>
      <c r="J44">
        <f>IF(F44="Culex tarsalis",G44,0)</f>
        <v>1</v>
      </c>
      <c r="K44">
        <f>IF(F44="Culex pipiens",G44,0)</f>
        <v>0</v>
      </c>
    </row>
    <row r="45" spans="1:11">
      <c r="A45">
        <v>36</v>
      </c>
      <c r="B45" s="69">
        <v>45173</v>
      </c>
      <c r="C45" s="70" t="s">
        <v>181</v>
      </c>
      <c r="D45" s="70" t="s">
        <v>187</v>
      </c>
      <c r="E45" s="70" t="s">
        <v>53</v>
      </c>
      <c r="F45" s="70" t="s">
        <v>130</v>
      </c>
      <c r="G45" s="70">
        <v>2</v>
      </c>
      <c r="H45" s="70" t="s">
        <v>129</v>
      </c>
      <c r="I45" s="70" t="s">
        <v>61</v>
      </c>
      <c r="J45">
        <f>IF(F45="Culex tarsalis",G45,0)</f>
        <v>0</v>
      </c>
      <c r="K45">
        <f>IF(F45="Culex pipiens",G45,0)</f>
        <v>2</v>
      </c>
    </row>
    <row r="46" spans="1:11">
      <c r="A46">
        <v>36</v>
      </c>
      <c r="B46" s="69">
        <v>45173</v>
      </c>
      <c r="C46" s="70" t="s">
        <v>181</v>
      </c>
      <c r="D46" s="70" t="s">
        <v>187</v>
      </c>
      <c r="E46" s="70" t="s">
        <v>53</v>
      </c>
      <c r="F46" s="70" t="s">
        <v>128</v>
      </c>
      <c r="G46" s="70">
        <v>6</v>
      </c>
      <c r="H46" s="70" t="s">
        <v>129</v>
      </c>
      <c r="I46" s="70" t="s">
        <v>61</v>
      </c>
      <c r="J46">
        <f>IF(F46="Culex tarsalis",G46,0)</f>
        <v>6</v>
      </c>
      <c r="K46">
        <f>IF(F46="Culex pipiens",G46,0)</f>
        <v>0</v>
      </c>
    </row>
    <row r="47" spans="1:11">
      <c r="A47">
        <v>36</v>
      </c>
      <c r="B47" s="69">
        <v>45175</v>
      </c>
      <c r="C47" s="70" t="s">
        <v>181</v>
      </c>
      <c r="D47" s="70" t="s">
        <v>192</v>
      </c>
      <c r="E47" s="70" t="s">
        <v>70</v>
      </c>
      <c r="F47" s="70" t="s">
        <v>128</v>
      </c>
      <c r="G47" s="70">
        <v>3</v>
      </c>
      <c r="H47" s="70" t="s">
        <v>129</v>
      </c>
      <c r="I47" s="70" t="s">
        <v>74</v>
      </c>
      <c r="J47">
        <f>IF(F47="Culex tarsalis",G47,0)</f>
        <v>3</v>
      </c>
      <c r="K47">
        <f>IF(F47="Culex pipiens",G47,0)</f>
        <v>0</v>
      </c>
    </row>
    <row r="48" spans="1:11">
      <c r="A48">
        <v>36</v>
      </c>
      <c r="B48" s="69">
        <v>45174</v>
      </c>
      <c r="C48" s="70" t="s">
        <v>181</v>
      </c>
      <c r="D48" s="70" t="s">
        <v>203</v>
      </c>
      <c r="E48" s="70" t="s">
        <v>79</v>
      </c>
      <c r="F48" s="70" t="s">
        <v>128</v>
      </c>
      <c r="G48" s="70">
        <v>2</v>
      </c>
      <c r="H48" s="70" t="s">
        <v>129</v>
      </c>
      <c r="I48" s="70" t="s">
        <v>94</v>
      </c>
      <c r="J48">
        <f>IF(F48="Culex tarsalis",G48,0)</f>
        <v>2</v>
      </c>
      <c r="K48">
        <f>IF(F48="Culex pipiens",G48,0)</f>
        <v>0</v>
      </c>
    </row>
    <row r="49" spans="1:11">
      <c r="A49">
        <v>36</v>
      </c>
      <c r="B49" s="69">
        <v>45174</v>
      </c>
      <c r="C49" s="70" t="s">
        <v>181</v>
      </c>
      <c r="D49" s="70" t="s">
        <v>199</v>
      </c>
      <c r="E49" s="70" t="s">
        <v>79</v>
      </c>
      <c r="F49" s="70" t="s">
        <v>130</v>
      </c>
      <c r="G49" s="70">
        <v>9</v>
      </c>
      <c r="H49" s="70" t="s">
        <v>129</v>
      </c>
      <c r="I49" s="70" t="s">
        <v>81</v>
      </c>
      <c r="J49">
        <f>IF(F49="Culex tarsalis",G49,0)</f>
        <v>0</v>
      </c>
      <c r="K49">
        <f>IF(F49="Culex pipiens",G49,0)</f>
        <v>9</v>
      </c>
    </row>
    <row r="50" spans="1:11">
      <c r="A50">
        <v>36</v>
      </c>
      <c r="B50" s="69">
        <v>45174</v>
      </c>
      <c r="C50" s="70" t="s">
        <v>181</v>
      </c>
      <c r="D50" s="70" t="s">
        <v>199</v>
      </c>
      <c r="E50" s="70" t="s">
        <v>79</v>
      </c>
      <c r="F50" s="70" t="s">
        <v>128</v>
      </c>
      <c r="G50" s="70">
        <v>3</v>
      </c>
      <c r="H50" s="70" t="s">
        <v>129</v>
      </c>
      <c r="I50" s="70" t="s">
        <v>81</v>
      </c>
      <c r="J50">
        <f>IF(F50="Culex tarsalis",G50,0)</f>
        <v>3</v>
      </c>
      <c r="K50">
        <f>IF(F50="Culex pipiens",G50,0)</f>
        <v>0</v>
      </c>
    </row>
    <row r="51" spans="1:11">
      <c r="A51">
        <v>36</v>
      </c>
      <c r="B51" s="69">
        <v>45174</v>
      </c>
      <c r="C51" s="70" t="s">
        <v>181</v>
      </c>
      <c r="D51" s="70" t="s">
        <v>208</v>
      </c>
      <c r="E51" s="70" t="s">
        <v>96</v>
      </c>
      <c r="F51" s="70" t="s">
        <v>130</v>
      </c>
      <c r="G51" s="70">
        <v>1</v>
      </c>
      <c r="H51" s="70" t="s">
        <v>129</v>
      </c>
      <c r="I51" s="70" t="s">
        <v>103</v>
      </c>
      <c r="J51">
        <f>IF(F51="Culex tarsalis",G51,0)</f>
        <v>0</v>
      </c>
      <c r="K51">
        <f>IF(F51="Culex pipiens",G51,0)</f>
        <v>1</v>
      </c>
    </row>
    <row r="52" spans="1:11">
      <c r="A52">
        <v>36</v>
      </c>
      <c r="B52" s="69">
        <v>45174</v>
      </c>
      <c r="C52" s="70" t="s">
        <v>181</v>
      </c>
      <c r="D52" s="70" t="s">
        <v>208</v>
      </c>
      <c r="E52" s="70" t="s">
        <v>96</v>
      </c>
      <c r="F52" s="70" t="s">
        <v>128</v>
      </c>
      <c r="G52" s="70">
        <v>1</v>
      </c>
      <c r="H52" s="70" t="s">
        <v>129</v>
      </c>
      <c r="I52" s="70" t="s">
        <v>103</v>
      </c>
      <c r="J52">
        <f>IF(F52="Culex tarsalis",G52,0)</f>
        <v>1</v>
      </c>
      <c r="K52">
        <f>IF(F52="Culex pipiens",G52,0)</f>
        <v>0</v>
      </c>
    </row>
    <row r="53" spans="1:11">
      <c r="A53">
        <v>36</v>
      </c>
      <c r="B53" s="69">
        <v>45173</v>
      </c>
      <c r="C53" s="70" t="s">
        <v>131</v>
      </c>
      <c r="D53" s="70" t="s">
        <v>132</v>
      </c>
      <c r="E53" s="70" t="s">
        <v>44</v>
      </c>
      <c r="F53" s="70" t="s">
        <v>130</v>
      </c>
      <c r="G53" s="70">
        <v>2</v>
      </c>
      <c r="H53" s="70" t="s">
        <v>129</v>
      </c>
      <c r="I53" s="70" t="s">
        <v>133</v>
      </c>
      <c r="J53">
        <f>IF(F53="Culex tarsalis",G53,0)</f>
        <v>0</v>
      </c>
      <c r="K53">
        <f>IF(F53="Culex pipiens",G53,0)</f>
        <v>2</v>
      </c>
    </row>
    <row r="54" spans="1:11">
      <c r="A54">
        <v>36</v>
      </c>
      <c r="B54" s="69">
        <v>45173</v>
      </c>
      <c r="C54" s="70" t="s">
        <v>131</v>
      </c>
      <c r="D54" s="70" t="s">
        <v>132</v>
      </c>
      <c r="E54" s="70" t="s">
        <v>44</v>
      </c>
      <c r="F54" s="70" t="s">
        <v>128</v>
      </c>
      <c r="G54" s="70">
        <v>10</v>
      </c>
      <c r="H54" s="70" t="s">
        <v>129</v>
      </c>
      <c r="I54" s="70" t="s">
        <v>133</v>
      </c>
      <c r="J54">
        <f>IF(F54="Culex tarsalis",G54,0)</f>
        <v>10</v>
      </c>
      <c r="K54">
        <f>IF(F54="Culex pipiens",G54,0)</f>
        <v>0</v>
      </c>
    </row>
    <row r="55" spans="1:11">
      <c r="A55">
        <v>36</v>
      </c>
      <c r="B55" s="69">
        <v>45175</v>
      </c>
      <c r="C55" s="70" t="s">
        <v>131</v>
      </c>
      <c r="D55" s="70" t="s">
        <v>163</v>
      </c>
      <c r="E55" s="70" t="s">
        <v>44</v>
      </c>
      <c r="F55" s="70" t="s">
        <v>128</v>
      </c>
      <c r="G55" s="70">
        <v>1</v>
      </c>
      <c r="H55" s="70" t="s">
        <v>129</v>
      </c>
      <c r="I55" s="70" t="s">
        <v>164</v>
      </c>
      <c r="J55">
        <f>IF(F55="Culex tarsalis",G55,0)</f>
        <v>1</v>
      </c>
      <c r="K55">
        <f>IF(F55="Culex pipiens",G55,0)</f>
        <v>0</v>
      </c>
    </row>
    <row r="56" spans="1:11">
      <c r="A56">
        <v>36</v>
      </c>
      <c r="B56" s="69">
        <v>45175</v>
      </c>
      <c r="C56" s="70" t="s">
        <v>131</v>
      </c>
      <c r="D56" s="70" t="s">
        <v>165</v>
      </c>
      <c r="E56" s="70" t="s">
        <v>44</v>
      </c>
      <c r="F56" s="70" t="s">
        <v>130</v>
      </c>
      <c r="G56" s="70">
        <v>7</v>
      </c>
      <c r="H56" s="70" t="s">
        <v>129</v>
      </c>
      <c r="I56" s="70" t="s">
        <v>49</v>
      </c>
      <c r="J56">
        <f>IF(F56="Culex tarsalis",G56,0)</f>
        <v>0</v>
      </c>
      <c r="K56">
        <f>IF(F56="Culex pipiens",G56,0)</f>
        <v>7</v>
      </c>
    </row>
    <row r="57" spans="1:11">
      <c r="A57">
        <v>36</v>
      </c>
      <c r="B57" s="69">
        <v>45175</v>
      </c>
      <c r="C57" s="70" t="s">
        <v>131</v>
      </c>
      <c r="D57" s="70" t="s">
        <v>165</v>
      </c>
      <c r="E57" s="70" t="s">
        <v>44</v>
      </c>
      <c r="F57" s="70" t="s">
        <v>128</v>
      </c>
      <c r="G57" s="70">
        <v>8</v>
      </c>
      <c r="H57" s="70" t="s">
        <v>129</v>
      </c>
      <c r="I57" s="70" t="s">
        <v>49</v>
      </c>
      <c r="J57">
        <f>IF(F57="Culex tarsalis",G57,0)</f>
        <v>8</v>
      </c>
      <c r="K57">
        <f>IF(F57="Culex pipiens",G57,0)</f>
        <v>0</v>
      </c>
    </row>
    <row r="58" spans="1:11">
      <c r="A58">
        <v>36</v>
      </c>
      <c r="B58" s="69">
        <v>45175</v>
      </c>
      <c r="C58" s="70" t="s">
        <v>131</v>
      </c>
      <c r="D58" s="70" t="s">
        <v>166</v>
      </c>
      <c r="E58" s="70" t="s">
        <v>44</v>
      </c>
      <c r="F58" s="70" t="s">
        <v>130</v>
      </c>
      <c r="G58" s="70">
        <v>4</v>
      </c>
      <c r="H58" s="70" t="s">
        <v>129</v>
      </c>
      <c r="I58" s="70" t="s">
        <v>167</v>
      </c>
      <c r="J58">
        <f>IF(F58="Culex tarsalis",G58,0)</f>
        <v>0</v>
      </c>
      <c r="K58">
        <f>IF(F58="Culex pipiens",G58,0)</f>
        <v>4</v>
      </c>
    </row>
    <row r="59" spans="1:11">
      <c r="A59">
        <v>36</v>
      </c>
      <c r="B59" s="69">
        <v>45175</v>
      </c>
      <c r="C59" s="70" t="s">
        <v>131</v>
      </c>
      <c r="D59" s="70" t="s">
        <v>166</v>
      </c>
      <c r="E59" s="70" t="s">
        <v>44</v>
      </c>
      <c r="F59" s="70" t="s">
        <v>128</v>
      </c>
      <c r="G59" s="70">
        <v>1</v>
      </c>
      <c r="H59" s="70" t="s">
        <v>129</v>
      </c>
      <c r="I59" s="70" t="s">
        <v>167</v>
      </c>
      <c r="J59">
        <f>IF(F59="Culex tarsalis",G59,0)</f>
        <v>1</v>
      </c>
      <c r="K59">
        <f>IF(F59="Culex pipiens",G59,0)</f>
        <v>0</v>
      </c>
    </row>
    <row r="60" spans="1:11">
      <c r="A60">
        <v>36</v>
      </c>
      <c r="B60" s="69">
        <v>45175</v>
      </c>
      <c r="C60" s="70" t="s">
        <v>131</v>
      </c>
      <c r="D60" s="70" t="s">
        <v>168</v>
      </c>
      <c r="E60" s="70" t="s">
        <v>44</v>
      </c>
      <c r="F60" s="70" t="s">
        <v>130</v>
      </c>
      <c r="G60" s="70">
        <v>15</v>
      </c>
      <c r="H60" s="70" t="s">
        <v>129</v>
      </c>
      <c r="I60" s="70" t="s">
        <v>169</v>
      </c>
      <c r="J60">
        <f>IF(F60="Culex tarsalis",G60,0)</f>
        <v>0</v>
      </c>
      <c r="K60">
        <f>IF(F60="Culex pipiens",G60,0)</f>
        <v>15</v>
      </c>
    </row>
    <row r="61" spans="1:11">
      <c r="A61">
        <v>36</v>
      </c>
      <c r="B61" s="69">
        <v>45175</v>
      </c>
      <c r="C61" s="70" t="s">
        <v>131</v>
      </c>
      <c r="D61" s="70" t="s">
        <v>168</v>
      </c>
      <c r="E61" s="70" t="s">
        <v>44</v>
      </c>
      <c r="F61" s="70" t="s">
        <v>128</v>
      </c>
      <c r="G61" s="70">
        <v>4</v>
      </c>
      <c r="H61" s="70" t="s">
        <v>129</v>
      </c>
      <c r="I61" s="70" t="s">
        <v>169</v>
      </c>
      <c r="J61">
        <f>IF(F61="Culex tarsalis",G61,0)</f>
        <v>4</v>
      </c>
      <c r="K61">
        <f>IF(F61="Culex pipiens",G61,0)</f>
        <v>0</v>
      </c>
    </row>
    <row r="62" spans="1:11">
      <c r="A62">
        <v>36</v>
      </c>
      <c r="B62" s="69">
        <v>45173</v>
      </c>
      <c r="C62" s="70" t="s">
        <v>131</v>
      </c>
      <c r="D62" s="70" t="s">
        <v>178</v>
      </c>
      <c r="E62" s="70" t="s">
        <v>44</v>
      </c>
      <c r="F62" s="70" t="s">
        <v>130</v>
      </c>
      <c r="G62" s="70">
        <v>2</v>
      </c>
      <c r="H62" s="70" t="s">
        <v>129</v>
      </c>
      <c r="I62" s="70" t="s">
        <v>179</v>
      </c>
      <c r="J62">
        <f>IF(F62="Culex tarsalis",G62,0)</f>
        <v>0</v>
      </c>
      <c r="K62">
        <f>IF(F62="Culex pipiens",G62,0)</f>
        <v>2</v>
      </c>
    </row>
    <row r="63" spans="1:11">
      <c r="A63">
        <v>36</v>
      </c>
      <c r="B63" s="69">
        <v>45173</v>
      </c>
      <c r="C63" s="70" t="s">
        <v>131</v>
      </c>
      <c r="D63" s="70" t="s">
        <v>178</v>
      </c>
      <c r="E63" s="70" t="s">
        <v>44</v>
      </c>
      <c r="F63" s="70" t="s">
        <v>128</v>
      </c>
      <c r="G63" s="70">
        <v>1</v>
      </c>
      <c r="H63" s="70" t="s">
        <v>129</v>
      </c>
      <c r="I63" s="70" t="s">
        <v>179</v>
      </c>
      <c r="J63">
        <f>IF(F63="Culex tarsalis",G63,0)</f>
        <v>1</v>
      </c>
      <c r="K63">
        <f>IF(F63="Culex pipiens",G63,0)</f>
        <v>0</v>
      </c>
    </row>
    <row r="64" spans="1:11">
      <c r="A64">
        <v>36</v>
      </c>
      <c r="B64" s="69">
        <v>45175</v>
      </c>
      <c r="C64" s="70" t="s">
        <v>131</v>
      </c>
      <c r="D64" s="70" t="s">
        <v>170</v>
      </c>
      <c r="E64" s="70" t="s">
        <v>44</v>
      </c>
      <c r="F64" s="70" t="s">
        <v>130</v>
      </c>
      <c r="G64" s="70">
        <v>14</v>
      </c>
      <c r="H64" s="70" t="s">
        <v>129</v>
      </c>
      <c r="I64" s="70" t="s">
        <v>171</v>
      </c>
      <c r="J64">
        <f>IF(F64="Culex tarsalis",G64,0)</f>
        <v>0</v>
      </c>
      <c r="K64">
        <f>IF(F64="Culex pipiens",G64,0)</f>
        <v>14</v>
      </c>
    </row>
    <row r="65" spans="1:11">
      <c r="A65">
        <v>36</v>
      </c>
      <c r="B65" s="69">
        <v>45175</v>
      </c>
      <c r="C65" s="70" t="s">
        <v>131</v>
      </c>
      <c r="D65" s="70" t="s">
        <v>170</v>
      </c>
      <c r="E65" s="70" t="s">
        <v>44</v>
      </c>
      <c r="F65" s="70" t="s">
        <v>128</v>
      </c>
      <c r="G65" s="70">
        <v>3</v>
      </c>
      <c r="H65" s="70" t="s">
        <v>129</v>
      </c>
      <c r="I65" s="70" t="s">
        <v>171</v>
      </c>
      <c r="J65">
        <f>IF(F65="Culex tarsalis",G65,0)</f>
        <v>3</v>
      </c>
      <c r="K65">
        <f>IF(F65="Culex pipiens",G65,0)</f>
        <v>0</v>
      </c>
    </row>
    <row r="66" spans="1:11">
      <c r="A66">
        <v>36</v>
      </c>
      <c r="B66" s="69">
        <v>45173</v>
      </c>
      <c r="C66" s="70" t="s">
        <v>131</v>
      </c>
      <c r="D66" s="70" t="s">
        <v>134</v>
      </c>
      <c r="E66" s="70" t="s">
        <v>44</v>
      </c>
      <c r="F66" s="70" t="s">
        <v>128</v>
      </c>
      <c r="G66" s="70">
        <v>4</v>
      </c>
      <c r="H66" s="70" t="s">
        <v>129</v>
      </c>
      <c r="I66" s="70" t="s">
        <v>45</v>
      </c>
      <c r="J66">
        <f>IF(F66="Culex tarsalis",G66,0)</f>
        <v>4</v>
      </c>
      <c r="K66">
        <f>IF(F66="Culex pipiens",G66,0)</f>
        <v>0</v>
      </c>
    </row>
    <row r="67" spans="1:11">
      <c r="A67">
        <v>36</v>
      </c>
      <c r="B67" s="69">
        <v>45174</v>
      </c>
      <c r="C67" s="70" t="s">
        <v>131</v>
      </c>
      <c r="D67" s="70" t="s">
        <v>148</v>
      </c>
      <c r="E67" s="70" t="s">
        <v>44</v>
      </c>
      <c r="F67" s="70" t="s">
        <v>130</v>
      </c>
      <c r="G67" s="70">
        <v>10</v>
      </c>
      <c r="H67" s="70" t="s">
        <v>129</v>
      </c>
      <c r="I67" s="70" t="s">
        <v>149</v>
      </c>
      <c r="J67">
        <f>IF(F67="Culex tarsalis",G67,0)</f>
        <v>0</v>
      </c>
      <c r="K67">
        <f>IF(F67="Culex pipiens",G67,0)</f>
        <v>10</v>
      </c>
    </row>
    <row r="68" spans="1:11">
      <c r="A68">
        <v>36</v>
      </c>
      <c r="B68" s="69">
        <v>45174</v>
      </c>
      <c r="C68" s="70" t="s">
        <v>131</v>
      </c>
      <c r="D68" s="70" t="s">
        <v>148</v>
      </c>
      <c r="E68" s="70" t="s">
        <v>44</v>
      </c>
      <c r="F68" s="70" t="s">
        <v>128</v>
      </c>
      <c r="G68" s="70">
        <v>2</v>
      </c>
      <c r="H68" s="70" t="s">
        <v>129</v>
      </c>
      <c r="I68" s="70" t="s">
        <v>149</v>
      </c>
      <c r="J68">
        <f>IF(F68="Culex tarsalis",G68,0)</f>
        <v>2</v>
      </c>
      <c r="K68">
        <f>IF(F68="Culex pipiens",G68,0)</f>
        <v>0</v>
      </c>
    </row>
    <row r="69" spans="1:11">
      <c r="A69">
        <v>36</v>
      </c>
      <c r="B69" s="69">
        <v>45174</v>
      </c>
      <c r="C69" s="70" t="s">
        <v>131</v>
      </c>
      <c r="D69" s="70" t="s">
        <v>150</v>
      </c>
      <c r="E69" s="70" t="s">
        <v>44</v>
      </c>
      <c r="F69" s="70" t="s">
        <v>130</v>
      </c>
      <c r="G69" s="70">
        <v>1</v>
      </c>
      <c r="H69" s="70" t="s">
        <v>129</v>
      </c>
      <c r="I69" s="70" t="s">
        <v>151</v>
      </c>
      <c r="J69">
        <f>IF(F69="Culex tarsalis",G69,0)</f>
        <v>0</v>
      </c>
      <c r="K69">
        <f>IF(F69="Culex pipiens",G69,0)</f>
        <v>1</v>
      </c>
    </row>
    <row r="70" spans="1:11">
      <c r="A70">
        <v>36</v>
      </c>
      <c r="B70" s="69">
        <v>45173</v>
      </c>
      <c r="C70" s="70" t="s">
        <v>131</v>
      </c>
      <c r="D70" s="70" t="s">
        <v>135</v>
      </c>
      <c r="E70" s="70" t="s">
        <v>44</v>
      </c>
      <c r="F70" s="70" t="s">
        <v>128</v>
      </c>
      <c r="G70" s="70">
        <v>15</v>
      </c>
      <c r="H70" s="70" t="s">
        <v>129</v>
      </c>
      <c r="I70" s="70" t="s">
        <v>136</v>
      </c>
      <c r="J70">
        <f>IF(F70="Culex tarsalis",G70,0)</f>
        <v>15</v>
      </c>
      <c r="K70">
        <f>IF(F70="Culex pipiens",G70,0)</f>
        <v>0</v>
      </c>
    </row>
    <row r="71" spans="1:11">
      <c r="A71">
        <v>36</v>
      </c>
      <c r="B71" s="69">
        <v>45173</v>
      </c>
      <c r="C71" s="70" t="s">
        <v>131</v>
      </c>
      <c r="D71" s="70" t="s">
        <v>135</v>
      </c>
      <c r="E71" s="70" t="s">
        <v>44</v>
      </c>
      <c r="F71" s="70" t="s">
        <v>130</v>
      </c>
      <c r="G71" s="70">
        <v>3</v>
      </c>
      <c r="H71" s="70" t="s">
        <v>129</v>
      </c>
      <c r="I71" s="70" t="s">
        <v>136</v>
      </c>
      <c r="J71">
        <f>IF(F71="Culex tarsalis",G71,0)</f>
        <v>0</v>
      </c>
      <c r="K71">
        <f>IF(F71="Culex pipiens",G71,0)</f>
        <v>3</v>
      </c>
    </row>
    <row r="72" spans="1:11">
      <c r="A72">
        <v>36</v>
      </c>
      <c r="B72" s="69">
        <v>45173</v>
      </c>
      <c r="C72" s="70" t="s">
        <v>131</v>
      </c>
      <c r="D72" s="70" t="s">
        <v>137</v>
      </c>
      <c r="E72" s="70" t="s">
        <v>44</v>
      </c>
      <c r="F72" s="70" t="s">
        <v>128</v>
      </c>
      <c r="G72" s="70">
        <v>9</v>
      </c>
      <c r="H72" s="70" t="s">
        <v>129</v>
      </c>
      <c r="I72" s="70" t="s">
        <v>138</v>
      </c>
      <c r="J72">
        <f>IF(F72="Culex tarsalis",G72,0)</f>
        <v>9</v>
      </c>
      <c r="K72">
        <f>IF(F72="Culex pipiens",G72,0)</f>
        <v>0</v>
      </c>
    </row>
    <row r="73" spans="1:11">
      <c r="A73">
        <v>36</v>
      </c>
      <c r="B73" s="69">
        <v>45173</v>
      </c>
      <c r="C73" s="70" t="s">
        <v>131</v>
      </c>
      <c r="D73" s="70" t="s">
        <v>137</v>
      </c>
      <c r="E73" s="70" t="s">
        <v>44</v>
      </c>
      <c r="F73" s="70" t="s">
        <v>130</v>
      </c>
      <c r="G73" s="70">
        <v>8</v>
      </c>
      <c r="H73" s="70" t="s">
        <v>129</v>
      </c>
      <c r="I73" s="70" t="s">
        <v>138</v>
      </c>
      <c r="J73">
        <f>IF(F73="Culex tarsalis",G73,0)</f>
        <v>0</v>
      </c>
      <c r="K73">
        <f>IF(F73="Culex pipiens",G73,0)</f>
        <v>8</v>
      </c>
    </row>
    <row r="74" spans="1:11">
      <c r="A74">
        <v>36</v>
      </c>
      <c r="B74" s="69">
        <v>45175</v>
      </c>
      <c r="C74" s="70" t="s">
        <v>131</v>
      </c>
      <c r="D74" s="70" t="s">
        <v>172</v>
      </c>
      <c r="E74" s="70" t="s">
        <v>44</v>
      </c>
      <c r="F74" s="70" t="s">
        <v>130</v>
      </c>
      <c r="G74" s="70">
        <v>4</v>
      </c>
      <c r="H74" s="70" t="s">
        <v>129</v>
      </c>
      <c r="I74" s="70" t="s">
        <v>173</v>
      </c>
      <c r="J74">
        <f>IF(F74="Culex tarsalis",G74,0)</f>
        <v>0</v>
      </c>
      <c r="K74">
        <f>IF(F74="Culex pipiens",G74,0)</f>
        <v>4</v>
      </c>
    </row>
    <row r="75" spans="1:11">
      <c r="A75">
        <v>36</v>
      </c>
      <c r="B75" s="69">
        <v>45175</v>
      </c>
      <c r="C75" s="70" t="s">
        <v>131</v>
      </c>
      <c r="D75" s="70" t="s">
        <v>172</v>
      </c>
      <c r="E75" s="70" t="s">
        <v>44</v>
      </c>
      <c r="F75" s="70" t="s">
        <v>128</v>
      </c>
      <c r="G75" s="70">
        <v>14</v>
      </c>
      <c r="H75" s="70" t="s">
        <v>129</v>
      </c>
      <c r="I75" s="70" t="s">
        <v>173</v>
      </c>
      <c r="J75">
        <f>IF(F75="Culex tarsalis",G75,0)</f>
        <v>14</v>
      </c>
      <c r="K75">
        <f>IF(F75="Culex pipiens",G75,0)</f>
        <v>0</v>
      </c>
    </row>
    <row r="76" spans="1:11">
      <c r="A76">
        <v>36</v>
      </c>
      <c r="B76" s="69">
        <v>45173</v>
      </c>
      <c r="C76" s="70" t="s">
        <v>131</v>
      </c>
      <c r="D76" s="70" t="s">
        <v>139</v>
      </c>
      <c r="E76" s="70" t="s">
        <v>44</v>
      </c>
      <c r="F76" s="70" t="s">
        <v>128</v>
      </c>
      <c r="G76" s="70">
        <v>11</v>
      </c>
      <c r="H76" s="70" t="s">
        <v>129</v>
      </c>
      <c r="I76" s="70" t="s">
        <v>140</v>
      </c>
      <c r="J76">
        <f>IF(F76="Culex tarsalis",G76,0)</f>
        <v>11</v>
      </c>
      <c r="K76">
        <f>IF(F76="Culex pipiens",G76,0)</f>
        <v>0</v>
      </c>
    </row>
    <row r="77" spans="1:11">
      <c r="A77">
        <v>36</v>
      </c>
      <c r="B77" s="69">
        <v>45173</v>
      </c>
      <c r="C77" s="70" t="s">
        <v>131</v>
      </c>
      <c r="D77" s="70" t="s">
        <v>139</v>
      </c>
      <c r="E77" s="70" t="s">
        <v>44</v>
      </c>
      <c r="F77" s="70" t="s">
        <v>130</v>
      </c>
      <c r="G77" s="70">
        <v>5</v>
      </c>
      <c r="H77" s="70" t="s">
        <v>129</v>
      </c>
      <c r="I77" s="70" t="s">
        <v>140</v>
      </c>
      <c r="J77">
        <f>IF(F77="Culex tarsalis",G77,0)</f>
        <v>0</v>
      </c>
      <c r="K77">
        <f>IF(F77="Culex pipiens",G77,0)</f>
        <v>5</v>
      </c>
    </row>
    <row r="78" spans="1:11">
      <c r="A78">
        <v>36</v>
      </c>
      <c r="B78" s="69">
        <v>45173</v>
      </c>
      <c r="C78" s="70" t="s">
        <v>131</v>
      </c>
      <c r="D78" s="70" t="s">
        <v>141</v>
      </c>
      <c r="E78" s="70" t="s">
        <v>44</v>
      </c>
      <c r="F78" s="70" t="s">
        <v>128</v>
      </c>
      <c r="G78" s="70">
        <v>4</v>
      </c>
      <c r="H78" s="70" t="s">
        <v>129</v>
      </c>
      <c r="I78" s="70" t="s">
        <v>142</v>
      </c>
      <c r="J78">
        <f>IF(F78="Culex tarsalis",G78,0)</f>
        <v>4</v>
      </c>
      <c r="K78">
        <f>IF(F78="Culex pipiens",G78,0)</f>
        <v>0</v>
      </c>
    </row>
    <row r="79" spans="1:11">
      <c r="A79">
        <v>36</v>
      </c>
      <c r="B79" s="69">
        <v>45173</v>
      </c>
      <c r="C79" s="70" t="s">
        <v>131</v>
      </c>
      <c r="D79" s="70" t="s">
        <v>141</v>
      </c>
      <c r="E79" s="70" t="s">
        <v>44</v>
      </c>
      <c r="F79" s="70" t="s">
        <v>130</v>
      </c>
      <c r="G79" s="70">
        <v>3</v>
      </c>
      <c r="H79" s="70" t="s">
        <v>129</v>
      </c>
      <c r="I79" s="70" t="s">
        <v>142</v>
      </c>
      <c r="J79">
        <f>IF(F79="Culex tarsalis",G79,0)</f>
        <v>0</v>
      </c>
      <c r="K79">
        <f>IF(F79="Culex pipiens",G79,0)</f>
        <v>3</v>
      </c>
    </row>
    <row r="80" spans="1:11">
      <c r="A80">
        <v>36</v>
      </c>
      <c r="B80" s="69">
        <v>45173</v>
      </c>
      <c r="C80" s="70" t="s">
        <v>131</v>
      </c>
      <c r="D80" s="70" t="s">
        <v>143</v>
      </c>
      <c r="E80" s="70" t="s">
        <v>44</v>
      </c>
      <c r="F80" s="70" t="s">
        <v>130</v>
      </c>
      <c r="G80" s="70">
        <v>24</v>
      </c>
      <c r="H80" s="70" t="s">
        <v>129</v>
      </c>
      <c r="I80" s="70" t="s">
        <v>47</v>
      </c>
      <c r="J80">
        <f>IF(F80="Culex tarsalis",G80,0)</f>
        <v>0</v>
      </c>
      <c r="K80">
        <f>IF(F80="Culex pipiens",G80,0)</f>
        <v>24</v>
      </c>
    </row>
    <row r="81" spans="1:11">
      <c r="A81">
        <v>36</v>
      </c>
      <c r="B81" s="69">
        <v>45173</v>
      </c>
      <c r="C81" s="70" t="s">
        <v>131</v>
      </c>
      <c r="D81" s="70" t="s">
        <v>143</v>
      </c>
      <c r="E81" s="70" t="s">
        <v>44</v>
      </c>
      <c r="F81" s="70" t="s">
        <v>128</v>
      </c>
      <c r="G81" s="70">
        <v>20</v>
      </c>
      <c r="H81" s="70" t="s">
        <v>129</v>
      </c>
      <c r="I81" s="70" t="s">
        <v>47</v>
      </c>
      <c r="J81">
        <f>IF(F81="Culex tarsalis",G81,0)</f>
        <v>20</v>
      </c>
      <c r="K81">
        <f>IF(F81="Culex pipiens",G81,0)</f>
        <v>0</v>
      </c>
    </row>
    <row r="82" spans="1:11">
      <c r="A82">
        <v>36</v>
      </c>
      <c r="B82" s="69">
        <v>45174</v>
      </c>
      <c r="C82" s="70" t="s">
        <v>131</v>
      </c>
      <c r="D82" s="70" t="s">
        <v>152</v>
      </c>
      <c r="E82" s="70" t="s">
        <v>44</v>
      </c>
      <c r="F82" s="70" t="s">
        <v>130</v>
      </c>
      <c r="G82" s="70">
        <v>1</v>
      </c>
      <c r="H82" s="70" t="s">
        <v>129</v>
      </c>
      <c r="I82" s="70" t="s">
        <v>153</v>
      </c>
      <c r="J82">
        <f>IF(F82="Culex tarsalis",G82,0)</f>
        <v>0</v>
      </c>
      <c r="K82">
        <f>IF(F82="Culex pipiens",G82,0)</f>
        <v>1</v>
      </c>
    </row>
    <row r="83" spans="1:11">
      <c r="A83">
        <v>36</v>
      </c>
      <c r="B83" s="69">
        <v>45174</v>
      </c>
      <c r="C83" s="70" t="s">
        <v>131</v>
      </c>
      <c r="D83" s="70" t="s">
        <v>154</v>
      </c>
      <c r="E83" s="70" t="s">
        <v>44</v>
      </c>
      <c r="F83" s="70" t="s">
        <v>128</v>
      </c>
      <c r="G83" s="70">
        <v>13</v>
      </c>
      <c r="H83" s="70" t="s">
        <v>129</v>
      </c>
      <c r="I83" s="70" t="s">
        <v>48</v>
      </c>
      <c r="J83">
        <f>IF(F83="Culex tarsalis",G83,0)</f>
        <v>13</v>
      </c>
      <c r="K83">
        <f>IF(F83="Culex pipiens",G83,0)</f>
        <v>0</v>
      </c>
    </row>
    <row r="84" spans="1:11">
      <c r="A84">
        <v>36</v>
      </c>
      <c r="B84" s="69">
        <v>45174</v>
      </c>
      <c r="C84" s="70" t="s">
        <v>131</v>
      </c>
      <c r="D84" s="70" t="s">
        <v>154</v>
      </c>
      <c r="E84" s="70" t="s">
        <v>44</v>
      </c>
      <c r="F84" s="70" t="s">
        <v>130</v>
      </c>
      <c r="G84" s="70">
        <v>22</v>
      </c>
      <c r="H84" s="70" t="s">
        <v>129</v>
      </c>
      <c r="I84" s="70" t="s">
        <v>48</v>
      </c>
      <c r="J84">
        <f>IF(F84="Culex tarsalis",G84,0)</f>
        <v>0</v>
      </c>
      <c r="K84">
        <f>IF(F84="Culex pipiens",G84,0)</f>
        <v>22</v>
      </c>
    </row>
    <row r="85" spans="1:11">
      <c r="A85">
        <v>36</v>
      </c>
      <c r="B85" s="69">
        <v>45174</v>
      </c>
      <c r="C85" s="70" t="s">
        <v>131</v>
      </c>
      <c r="D85" s="70" t="s">
        <v>180</v>
      </c>
      <c r="E85" s="70" t="s">
        <v>44</v>
      </c>
      <c r="F85" s="70" t="s">
        <v>128</v>
      </c>
      <c r="G85" s="70">
        <v>1</v>
      </c>
      <c r="H85" s="70" t="s">
        <v>129</v>
      </c>
      <c r="I85" s="70" t="s">
        <v>51</v>
      </c>
      <c r="J85">
        <f>IF(F85="Culex tarsalis",G85,0)</f>
        <v>1</v>
      </c>
      <c r="K85">
        <f>IF(F85="Culex pipiens",G85,0)</f>
        <v>0</v>
      </c>
    </row>
    <row r="86" spans="1:11">
      <c r="A86">
        <v>36</v>
      </c>
      <c r="B86" s="69">
        <v>45174</v>
      </c>
      <c r="C86" s="70" t="s">
        <v>131</v>
      </c>
      <c r="D86" s="70" t="s">
        <v>180</v>
      </c>
      <c r="E86" s="70" t="s">
        <v>44</v>
      </c>
      <c r="F86" s="70" t="s">
        <v>130</v>
      </c>
      <c r="G86" s="70">
        <v>2</v>
      </c>
      <c r="H86" s="70" t="s">
        <v>129</v>
      </c>
      <c r="I86" s="70" t="s">
        <v>51</v>
      </c>
      <c r="J86">
        <f>IF(F86="Culex tarsalis",G86,0)</f>
        <v>0</v>
      </c>
      <c r="K86">
        <f>IF(F86="Culex pipiens",G86,0)</f>
        <v>2</v>
      </c>
    </row>
    <row r="87" spans="1:11">
      <c r="A87">
        <v>36</v>
      </c>
      <c r="B87" s="69">
        <v>45174</v>
      </c>
      <c r="C87" s="70" t="s">
        <v>131</v>
      </c>
      <c r="D87" s="70" t="s">
        <v>155</v>
      </c>
      <c r="E87" s="70" t="s">
        <v>44</v>
      </c>
      <c r="F87" s="70" t="s">
        <v>128</v>
      </c>
      <c r="G87" s="70">
        <v>7</v>
      </c>
      <c r="H87" s="70" t="s">
        <v>129</v>
      </c>
      <c r="I87" s="70" t="s">
        <v>156</v>
      </c>
      <c r="J87">
        <f>IF(F87="Culex tarsalis",G87,0)</f>
        <v>7</v>
      </c>
      <c r="K87">
        <f>IF(F87="Culex pipiens",G87,0)</f>
        <v>0</v>
      </c>
    </row>
    <row r="88" spans="1:11">
      <c r="A88">
        <v>36</v>
      </c>
      <c r="B88" s="69">
        <v>45174</v>
      </c>
      <c r="C88" s="70" t="s">
        <v>131</v>
      </c>
      <c r="D88" s="70" t="s">
        <v>155</v>
      </c>
      <c r="E88" s="70" t="s">
        <v>44</v>
      </c>
      <c r="F88" s="70" t="s">
        <v>130</v>
      </c>
      <c r="G88" s="70">
        <v>11</v>
      </c>
      <c r="H88" s="70" t="s">
        <v>129</v>
      </c>
      <c r="I88" s="70" t="s">
        <v>156</v>
      </c>
      <c r="J88">
        <f>IF(F88="Culex tarsalis",G88,0)</f>
        <v>0</v>
      </c>
      <c r="K88">
        <f>IF(F88="Culex pipiens",G88,0)</f>
        <v>11</v>
      </c>
    </row>
    <row r="89" spans="1:11">
      <c r="A89">
        <v>36</v>
      </c>
      <c r="B89" s="69">
        <v>45175</v>
      </c>
      <c r="C89" s="70" t="s">
        <v>131</v>
      </c>
      <c r="D89" s="70" t="s">
        <v>174</v>
      </c>
      <c r="E89" s="70" t="s">
        <v>44</v>
      </c>
      <c r="F89" s="70" t="s">
        <v>130</v>
      </c>
      <c r="G89" s="70">
        <v>11</v>
      </c>
      <c r="H89" s="70" t="s">
        <v>129</v>
      </c>
      <c r="I89" s="70" t="s">
        <v>175</v>
      </c>
      <c r="J89">
        <f>IF(F89="Culex tarsalis",G89,0)</f>
        <v>0</v>
      </c>
      <c r="K89">
        <f>IF(F89="Culex pipiens",G89,0)</f>
        <v>11</v>
      </c>
    </row>
    <row r="90" spans="1:11">
      <c r="A90">
        <v>36</v>
      </c>
      <c r="B90" s="69">
        <v>45175</v>
      </c>
      <c r="C90" s="70" t="s">
        <v>131</v>
      </c>
      <c r="D90" s="70" t="s">
        <v>174</v>
      </c>
      <c r="E90" s="70" t="s">
        <v>44</v>
      </c>
      <c r="F90" s="70" t="s">
        <v>128</v>
      </c>
      <c r="G90" s="70">
        <v>2</v>
      </c>
      <c r="H90" s="70" t="s">
        <v>129</v>
      </c>
      <c r="I90" s="70" t="s">
        <v>175</v>
      </c>
      <c r="J90">
        <f>IF(F90="Culex tarsalis",G90,0)</f>
        <v>2</v>
      </c>
      <c r="K90">
        <f>IF(F90="Culex pipiens",G90,0)</f>
        <v>0</v>
      </c>
    </row>
    <row r="91" spans="1:11">
      <c r="A91">
        <v>36</v>
      </c>
      <c r="B91" s="69">
        <v>45173</v>
      </c>
      <c r="C91" s="70" t="s">
        <v>131</v>
      </c>
      <c r="D91" s="70" t="s">
        <v>144</v>
      </c>
      <c r="E91" s="70" t="s">
        <v>44</v>
      </c>
      <c r="F91" s="70" t="s">
        <v>130</v>
      </c>
      <c r="G91" s="70">
        <v>16</v>
      </c>
      <c r="H91" s="70" t="s">
        <v>129</v>
      </c>
      <c r="I91" s="70" t="s">
        <v>145</v>
      </c>
      <c r="J91">
        <f>IF(F91="Culex tarsalis",G91,0)</f>
        <v>0</v>
      </c>
      <c r="K91">
        <f>IF(F91="Culex pipiens",G91,0)</f>
        <v>16</v>
      </c>
    </row>
    <row r="92" spans="1:11">
      <c r="A92">
        <v>36</v>
      </c>
      <c r="B92" s="69">
        <v>45173</v>
      </c>
      <c r="C92" s="70" t="s">
        <v>131</v>
      </c>
      <c r="D92" s="70" t="s">
        <v>144</v>
      </c>
      <c r="E92" s="70" t="s">
        <v>44</v>
      </c>
      <c r="F92" s="70" t="s">
        <v>128</v>
      </c>
      <c r="G92" s="70">
        <v>1</v>
      </c>
      <c r="H92" s="70" t="s">
        <v>129</v>
      </c>
      <c r="I92" s="70" t="s">
        <v>145</v>
      </c>
      <c r="J92">
        <f>IF(F92="Culex tarsalis",G92,0)</f>
        <v>1</v>
      </c>
      <c r="K92">
        <f>IF(F92="Culex pipiens",G92,0)</f>
        <v>0</v>
      </c>
    </row>
    <row r="93" spans="1:11">
      <c r="A93">
        <v>36</v>
      </c>
      <c r="B93" s="69">
        <v>45173</v>
      </c>
      <c r="C93" s="70" t="s">
        <v>131</v>
      </c>
      <c r="D93" s="70" t="s">
        <v>146</v>
      </c>
      <c r="E93" s="70" t="s">
        <v>44</v>
      </c>
      <c r="F93" s="70" t="s">
        <v>130</v>
      </c>
      <c r="G93" s="70">
        <v>2</v>
      </c>
      <c r="H93" s="70" t="s">
        <v>129</v>
      </c>
      <c r="I93" s="70" t="s">
        <v>147</v>
      </c>
      <c r="J93">
        <f>IF(F93="Culex tarsalis",G93,0)</f>
        <v>0</v>
      </c>
      <c r="K93">
        <f>IF(F93="Culex pipiens",G93,0)</f>
        <v>2</v>
      </c>
    </row>
    <row r="94" spans="1:11">
      <c r="A94">
        <v>36</v>
      </c>
      <c r="B94" s="69">
        <v>45173</v>
      </c>
      <c r="C94" s="70" t="s">
        <v>131</v>
      </c>
      <c r="D94" s="70" t="s">
        <v>146</v>
      </c>
      <c r="E94" s="70" t="s">
        <v>44</v>
      </c>
      <c r="F94" s="70" t="s">
        <v>128</v>
      </c>
      <c r="G94" s="70">
        <v>3</v>
      </c>
      <c r="H94" s="70" t="s">
        <v>129</v>
      </c>
      <c r="I94" s="70" t="s">
        <v>147</v>
      </c>
      <c r="J94">
        <f>IF(F94="Culex tarsalis",G94,0)</f>
        <v>3</v>
      </c>
      <c r="K94">
        <f>IF(F94="Culex pipiens",G94,0)</f>
        <v>0</v>
      </c>
    </row>
    <row r="95" spans="1:11">
      <c r="A95">
        <v>36</v>
      </c>
      <c r="B95" s="69">
        <v>45174</v>
      </c>
      <c r="C95" s="70" t="s">
        <v>131</v>
      </c>
      <c r="D95" s="70" t="s">
        <v>157</v>
      </c>
      <c r="E95" s="70" t="s">
        <v>44</v>
      </c>
      <c r="F95" s="70" t="s">
        <v>130</v>
      </c>
      <c r="G95" s="70">
        <v>6</v>
      </c>
      <c r="H95" s="70" t="s">
        <v>129</v>
      </c>
      <c r="I95" s="70" t="s">
        <v>158</v>
      </c>
      <c r="J95">
        <f>IF(F95="Culex tarsalis",G95,0)</f>
        <v>0</v>
      </c>
      <c r="K95">
        <f>IF(F95="Culex pipiens",G95,0)</f>
        <v>6</v>
      </c>
    </row>
    <row r="96" spans="1:11">
      <c r="A96">
        <v>36</v>
      </c>
      <c r="B96" s="69">
        <v>45174</v>
      </c>
      <c r="C96" s="70" t="s">
        <v>131</v>
      </c>
      <c r="D96" s="70" t="s">
        <v>157</v>
      </c>
      <c r="E96" s="70" t="s">
        <v>44</v>
      </c>
      <c r="F96" s="70" t="s">
        <v>128</v>
      </c>
      <c r="G96" s="70">
        <v>11</v>
      </c>
      <c r="H96" s="70" t="s">
        <v>129</v>
      </c>
      <c r="I96" s="70" t="s">
        <v>158</v>
      </c>
      <c r="J96">
        <f>IF(F96="Culex tarsalis",G96,0)</f>
        <v>11</v>
      </c>
      <c r="K96">
        <f>IF(F96="Culex pipiens",G96,0)</f>
        <v>0</v>
      </c>
    </row>
    <row r="97" spans="1:11">
      <c r="A97">
        <v>36</v>
      </c>
      <c r="B97" s="69">
        <v>45175</v>
      </c>
      <c r="C97" s="70" t="s">
        <v>131</v>
      </c>
      <c r="D97" s="70" t="s">
        <v>176</v>
      </c>
      <c r="E97" s="70" t="s">
        <v>44</v>
      </c>
      <c r="F97" s="70" t="s">
        <v>128</v>
      </c>
      <c r="G97" s="70">
        <v>4</v>
      </c>
      <c r="H97" s="70" t="s">
        <v>129</v>
      </c>
      <c r="I97" s="70" t="s">
        <v>177</v>
      </c>
      <c r="J97">
        <f>IF(F97="Culex tarsalis",G97,0)</f>
        <v>4</v>
      </c>
      <c r="K97">
        <f>IF(F97="Culex pipiens",G97,0)</f>
        <v>0</v>
      </c>
    </row>
    <row r="98" spans="1:11">
      <c r="A98">
        <v>36</v>
      </c>
      <c r="B98" s="69">
        <v>45174</v>
      </c>
      <c r="C98" s="70" t="s">
        <v>131</v>
      </c>
      <c r="D98" s="70" t="s">
        <v>159</v>
      </c>
      <c r="E98" s="70" t="s">
        <v>44</v>
      </c>
      <c r="F98" s="70" t="s">
        <v>128</v>
      </c>
      <c r="G98" s="70">
        <v>7</v>
      </c>
      <c r="H98" s="70" t="s">
        <v>129</v>
      </c>
      <c r="I98" s="70" t="s">
        <v>160</v>
      </c>
      <c r="J98">
        <f>IF(F98="Culex tarsalis",G98,0)</f>
        <v>7</v>
      </c>
      <c r="K98">
        <f>IF(F98="Culex pipiens",G98,0)</f>
        <v>0</v>
      </c>
    </row>
    <row r="99" spans="1:11">
      <c r="A99">
        <v>36</v>
      </c>
      <c r="B99" s="69">
        <v>45174</v>
      </c>
      <c r="C99" s="70" t="s">
        <v>131</v>
      </c>
      <c r="D99" s="70" t="s">
        <v>161</v>
      </c>
      <c r="E99" s="70" t="s">
        <v>44</v>
      </c>
      <c r="F99" s="70" t="s">
        <v>130</v>
      </c>
      <c r="G99" s="70">
        <v>19</v>
      </c>
      <c r="H99" s="70" t="s">
        <v>129</v>
      </c>
      <c r="I99" s="70" t="s">
        <v>162</v>
      </c>
      <c r="J99">
        <f>IF(F99="Culex tarsalis",G99,0)</f>
        <v>0</v>
      </c>
      <c r="K99">
        <f>IF(F99="Culex pipiens",G99,0)</f>
        <v>19</v>
      </c>
    </row>
    <row r="100" spans="1:11">
      <c r="A100">
        <v>36</v>
      </c>
      <c r="B100" s="69">
        <v>45174</v>
      </c>
      <c r="C100" s="70" t="s">
        <v>131</v>
      </c>
      <c r="D100" s="70" t="s">
        <v>161</v>
      </c>
      <c r="E100" s="70" t="s">
        <v>44</v>
      </c>
      <c r="F100" s="70" t="s">
        <v>128</v>
      </c>
      <c r="G100" s="70">
        <v>12</v>
      </c>
      <c r="H100" s="70" t="s">
        <v>129</v>
      </c>
      <c r="I100" s="70" t="s">
        <v>162</v>
      </c>
      <c r="J100">
        <f>IF(F100="Culex tarsalis",G100,0)</f>
        <v>12</v>
      </c>
      <c r="K100">
        <f>IF(F100="Culex pipiens",G100,0)</f>
        <v>0</v>
      </c>
    </row>
    <row r="101" spans="1:11">
      <c r="B101" s="69"/>
      <c r="C101" s="70"/>
      <c r="D101" s="70"/>
      <c r="E101" s="70"/>
      <c r="F101" s="70"/>
      <c r="G101" s="70"/>
      <c r="H101" s="70"/>
      <c r="I101" s="70"/>
    </row>
    <row r="102" spans="1:11">
      <c r="B102" s="69"/>
      <c r="C102" s="70"/>
      <c r="D102" s="70"/>
      <c r="E102" s="70"/>
      <c r="F102" s="70"/>
      <c r="G102" s="70"/>
      <c r="H102" s="70"/>
      <c r="I102" s="70"/>
    </row>
    <row r="103" spans="1:11">
      <c r="B103" s="69"/>
      <c r="C103" s="70"/>
      <c r="D103" s="70"/>
      <c r="E103" s="70"/>
      <c r="F103" s="70"/>
      <c r="G103" s="70"/>
      <c r="H103" s="70"/>
      <c r="I103" s="70"/>
    </row>
    <row r="104" spans="1:11">
      <c r="B104" s="69"/>
      <c r="C104" s="70"/>
      <c r="D104" s="70"/>
      <c r="E104" s="70"/>
      <c r="F104" s="70"/>
      <c r="G104" s="70"/>
      <c r="H104" s="70"/>
      <c r="I104" s="70"/>
    </row>
    <row r="105" spans="1:11">
      <c r="B105" s="69"/>
      <c r="C105" s="70"/>
      <c r="D105" s="70"/>
      <c r="E105" s="70"/>
      <c r="F105" s="70"/>
      <c r="G105" s="70"/>
      <c r="H105" s="70"/>
      <c r="I105" s="70"/>
    </row>
    <row r="106" spans="1:11">
      <c r="B106" s="69"/>
      <c r="C106" s="70"/>
      <c r="D106" s="70"/>
      <c r="E106" s="70"/>
      <c r="F106" s="70"/>
      <c r="G106" s="70"/>
      <c r="H106" s="70"/>
      <c r="I106" s="70"/>
    </row>
    <row r="107" spans="1:11">
      <c r="B107" s="69"/>
      <c r="C107" s="70"/>
      <c r="D107" s="70"/>
      <c r="E107" s="70"/>
      <c r="F107" s="70"/>
      <c r="G107" s="70"/>
      <c r="H107" s="70"/>
      <c r="I107" s="70"/>
    </row>
    <row r="108" spans="1:11">
      <c r="B108" s="69"/>
      <c r="C108" s="70"/>
      <c r="D108" s="70"/>
      <c r="E108" s="70"/>
      <c r="F108" s="70"/>
      <c r="G108" s="70"/>
      <c r="H108" s="70"/>
      <c r="I108" s="70"/>
    </row>
    <row r="109" spans="1:11">
      <c r="B109" s="69"/>
      <c r="C109" s="70"/>
      <c r="D109" s="70"/>
      <c r="E109" s="70"/>
      <c r="F109" s="70"/>
      <c r="G109" s="70"/>
      <c r="H109" s="70"/>
      <c r="I109" s="70"/>
    </row>
    <row r="110" spans="1:11">
      <c r="B110" s="69"/>
      <c r="C110" s="70"/>
      <c r="D110" s="70"/>
      <c r="E110" s="70"/>
      <c r="F110" s="70"/>
      <c r="G110" s="70"/>
      <c r="H110" s="70"/>
      <c r="I110" s="70"/>
    </row>
    <row r="111" spans="1:11">
      <c r="B111" s="69"/>
      <c r="C111" s="70"/>
      <c r="D111" s="70"/>
      <c r="E111" s="70"/>
      <c r="F111" s="70"/>
      <c r="G111" s="70"/>
      <c r="H111" s="70"/>
      <c r="I111" s="70"/>
    </row>
    <row r="112" spans="1:11">
      <c r="B112" s="69"/>
      <c r="C112" s="70"/>
      <c r="D112" s="70"/>
      <c r="E112" s="70"/>
      <c r="F112" s="70"/>
      <c r="G112" s="70"/>
      <c r="H112" s="70"/>
      <c r="I112" s="70"/>
    </row>
    <row r="113" spans="2:9">
      <c r="B113" s="69"/>
      <c r="C113" s="70"/>
      <c r="D113" s="70"/>
      <c r="E113" s="70"/>
      <c r="F113" s="70"/>
      <c r="G113" s="70"/>
      <c r="H113" s="70"/>
      <c r="I113" s="70"/>
    </row>
    <row r="114" spans="2:9">
      <c r="B114" s="69"/>
      <c r="C114" s="70"/>
      <c r="D114" s="70"/>
      <c r="E114" s="70"/>
      <c r="F114" s="70"/>
      <c r="G114" s="70"/>
      <c r="H114" s="70"/>
      <c r="I114" s="70"/>
    </row>
    <row r="115" spans="2:9">
      <c r="B115" s="69"/>
      <c r="C115" s="70"/>
      <c r="D115" s="70"/>
      <c r="E115" s="70"/>
      <c r="F115" s="70"/>
      <c r="G115" s="70"/>
      <c r="H115" s="70"/>
      <c r="I115" s="70"/>
    </row>
    <row r="116" spans="2:9">
      <c r="B116" s="69"/>
      <c r="C116" s="70"/>
      <c r="D116" s="70"/>
      <c r="E116" s="70"/>
      <c r="F116" s="70"/>
      <c r="G116" s="70"/>
      <c r="H116" s="70"/>
      <c r="I116" s="70"/>
    </row>
    <row r="117" spans="2:9">
      <c r="B117" s="69"/>
      <c r="C117" s="70"/>
      <c r="D117" s="70"/>
      <c r="E117" s="70"/>
      <c r="F117" s="70"/>
      <c r="G117" s="70"/>
      <c r="H117" s="70"/>
      <c r="I117" s="70"/>
    </row>
    <row r="118" spans="2:9">
      <c r="B118" s="69"/>
      <c r="C118" s="70"/>
      <c r="D118" s="70"/>
      <c r="E118" s="70"/>
      <c r="F118" s="70"/>
      <c r="G118" s="70"/>
      <c r="H118" s="70"/>
      <c r="I118" s="70"/>
    </row>
    <row r="119" spans="2:9">
      <c r="B119" s="69"/>
      <c r="C119" s="70"/>
      <c r="D119" s="70"/>
      <c r="E119" s="70"/>
      <c r="F119" s="70"/>
      <c r="G119" s="70"/>
      <c r="H119" s="70"/>
      <c r="I119" s="70"/>
    </row>
    <row r="120" spans="2:9">
      <c r="B120" s="69"/>
      <c r="C120" s="70"/>
      <c r="D120" s="70"/>
      <c r="E120" s="70"/>
      <c r="F120" s="70"/>
      <c r="G120" s="70"/>
      <c r="H120" s="70"/>
      <c r="I120" s="70"/>
    </row>
    <row r="121" spans="2:9">
      <c r="B121" s="69"/>
      <c r="C121" s="70"/>
      <c r="D121" s="70"/>
      <c r="E121" s="70"/>
      <c r="F121" s="70"/>
      <c r="G121" s="70"/>
      <c r="H121" s="70"/>
      <c r="I121" s="70"/>
    </row>
    <row r="122" spans="2:9">
      <c r="B122" s="69"/>
      <c r="C122" s="70"/>
      <c r="D122" s="70"/>
      <c r="E122" s="70"/>
      <c r="F122" s="70"/>
      <c r="G122" s="70"/>
      <c r="H122" s="70"/>
      <c r="I122" s="70"/>
    </row>
    <row r="123" spans="2:9">
      <c r="B123" s="69"/>
      <c r="C123" s="70"/>
      <c r="D123" s="70"/>
      <c r="E123" s="70"/>
      <c r="F123" s="70"/>
      <c r="G123" s="70"/>
      <c r="H123" s="70"/>
      <c r="I123" s="70"/>
    </row>
    <row r="124" spans="2:9">
      <c r="B124" s="69"/>
      <c r="C124" s="70"/>
      <c r="D124" s="70"/>
      <c r="E124" s="70"/>
      <c r="F124" s="70"/>
      <c r="G124" s="70"/>
      <c r="H124" s="70"/>
      <c r="I124" s="70"/>
    </row>
    <row r="125" spans="2:9">
      <c r="B125" s="69"/>
      <c r="C125" s="70"/>
      <c r="D125" s="70"/>
      <c r="E125" s="70"/>
      <c r="F125" s="70"/>
      <c r="G125" s="70"/>
      <c r="H125" s="70"/>
      <c r="I125" s="70"/>
    </row>
    <row r="126" spans="2:9">
      <c r="B126" s="69"/>
      <c r="C126" s="70"/>
      <c r="D126" s="70"/>
      <c r="E126" s="70"/>
      <c r="F126" s="70"/>
      <c r="G126" s="70"/>
      <c r="H126" s="70"/>
      <c r="I126" s="70"/>
    </row>
    <row r="127" spans="2:9">
      <c r="B127" s="69"/>
      <c r="C127" s="70"/>
      <c r="D127" s="70"/>
      <c r="E127" s="70"/>
      <c r="F127" s="70"/>
      <c r="G127" s="70"/>
      <c r="H127" s="70"/>
      <c r="I127" s="70"/>
    </row>
    <row r="128" spans="2:9">
      <c r="B128" s="69"/>
      <c r="C128" s="70"/>
      <c r="D128" s="70"/>
      <c r="E128" s="70"/>
      <c r="F128" s="70"/>
      <c r="G128" s="70"/>
      <c r="H128" s="70"/>
      <c r="I128" s="70"/>
    </row>
    <row r="129" spans="2:9">
      <c r="B129" s="69"/>
      <c r="C129" s="70"/>
      <c r="D129" s="70"/>
      <c r="E129" s="70"/>
      <c r="F129" s="70"/>
      <c r="G129" s="70"/>
      <c r="H129" s="70"/>
      <c r="I129" s="70"/>
    </row>
    <row r="130" spans="2:9">
      <c r="B130" s="69"/>
      <c r="C130" s="70"/>
      <c r="D130" s="70"/>
      <c r="E130" s="70"/>
      <c r="F130" s="70"/>
      <c r="G130" s="70"/>
      <c r="H130" s="70"/>
      <c r="I130" s="70"/>
    </row>
    <row r="131" spans="2:9">
      <c r="B131" s="69"/>
      <c r="C131" s="70"/>
      <c r="D131" s="70"/>
      <c r="E131" s="70"/>
      <c r="F131" s="70"/>
      <c r="G131" s="70"/>
      <c r="H131" s="70"/>
      <c r="I131" s="70"/>
    </row>
    <row r="132" spans="2:9">
      <c r="B132" s="69"/>
      <c r="C132" s="70"/>
      <c r="D132" s="70"/>
      <c r="E132" s="70"/>
      <c r="F132" s="70"/>
      <c r="G132" s="70"/>
      <c r="H132" s="70"/>
      <c r="I132" s="70"/>
    </row>
    <row r="133" spans="2:9">
      <c r="B133" s="69"/>
      <c r="C133" s="70"/>
      <c r="D133" s="70"/>
      <c r="E133" s="70"/>
      <c r="F133" s="70"/>
      <c r="G133" s="70"/>
      <c r="H133" s="70"/>
      <c r="I133" s="70"/>
    </row>
    <row r="134" spans="2:9">
      <c r="B134" s="69"/>
      <c r="C134" s="70"/>
      <c r="D134" s="70"/>
      <c r="E134" s="70"/>
      <c r="F134" s="70"/>
      <c r="G134" s="70"/>
      <c r="H134" s="70"/>
      <c r="I134" s="70"/>
    </row>
    <row r="135" spans="2:9">
      <c r="B135" s="69"/>
      <c r="C135" s="70"/>
      <c r="D135" s="70"/>
      <c r="E135" s="70"/>
      <c r="F135" s="70"/>
      <c r="G135" s="70"/>
      <c r="H135" s="70"/>
      <c r="I135" s="70"/>
    </row>
    <row r="136" spans="2:9">
      <c r="B136" s="69"/>
      <c r="C136" s="70"/>
      <c r="D136" s="70"/>
      <c r="E136" s="70"/>
      <c r="F136" s="70"/>
      <c r="G136" s="70"/>
      <c r="H136" s="70"/>
      <c r="I136" s="70"/>
    </row>
    <row r="137" spans="2:9">
      <c r="B137" s="69"/>
      <c r="C137" s="70"/>
      <c r="D137" s="70"/>
      <c r="E137" s="70"/>
      <c r="F137" s="70"/>
      <c r="G137" s="70"/>
      <c r="H137" s="70"/>
      <c r="I137" s="70"/>
    </row>
    <row r="138" spans="2:9">
      <c r="B138" s="69"/>
      <c r="C138" s="70"/>
      <c r="D138" s="70"/>
      <c r="E138" s="70"/>
      <c r="F138" s="70"/>
      <c r="G138" s="70"/>
      <c r="H138" s="70"/>
      <c r="I138" s="70"/>
    </row>
    <row r="139" spans="2:9">
      <c r="B139" s="69"/>
      <c r="C139" s="70"/>
      <c r="D139" s="70"/>
      <c r="E139" s="70"/>
      <c r="F139" s="70"/>
      <c r="G139" s="70"/>
      <c r="H139" s="70"/>
      <c r="I139" s="70"/>
    </row>
    <row r="140" spans="2:9">
      <c r="B140" s="69"/>
      <c r="C140" s="70"/>
      <c r="D140" s="70"/>
      <c r="E140" s="70"/>
      <c r="F140" s="70"/>
      <c r="G140" s="70"/>
      <c r="H140" s="70"/>
      <c r="I140" s="70"/>
    </row>
    <row r="141" spans="2:9">
      <c r="B141" s="69"/>
      <c r="C141" s="70"/>
      <c r="D141" s="70"/>
      <c r="E141" s="70"/>
      <c r="F141" s="70"/>
      <c r="G141" s="70"/>
      <c r="H141" s="70"/>
      <c r="I141" s="70"/>
    </row>
    <row r="142" spans="2:9">
      <c r="B142" s="69"/>
      <c r="C142" s="70"/>
      <c r="D142" s="70"/>
      <c r="E142" s="70"/>
      <c r="F142" s="70"/>
      <c r="G142" s="70"/>
      <c r="H142" s="70"/>
      <c r="I142" s="70"/>
    </row>
    <row r="143" spans="2:9">
      <c r="B143" s="69"/>
      <c r="C143" s="70"/>
      <c r="D143" s="70"/>
      <c r="E143" s="70"/>
      <c r="F143" s="70"/>
      <c r="G143" s="70"/>
      <c r="H143" s="70"/>
      <c r="I143" s="70"/>
    </row>
    <row r="144" spans="2:9">
      <c r="B144" s="69"/>
      <c r="C144" s="70"/>
      <c r="D144" s="70"/>
      <c r="E144" s="70"/>
      <c r="F144" s="70"/>
      <c r="G144" s="70"/>
      <c r="H144" s="70"/>
      <c r="I144" s="70"/>
    </row>
    <row r="145" spans="2:9">
      <c r="B145" s="69"/>
      <c r="C145" s="70"/>
      <c r="D145" s="70"/>
      <c r="E145" s="70"/>
      <c r="F145" s="70"/>
      <c r="G145" s="70"/>
      <c r="H145" s="70"/>
      <c r="I145" s="70"/>
    </row>
    <row r="146" spans="2:9">
      <c r="B146" s="69"/>
      <c r="C146" s="70"/>
      <c r="D146" s="70"/>
      <c r="E146" s="70"/>
      <c r="F146" s="70"/>
      <c r="G146" s="70"/>
      <c r="H146" s="70"/>
      <c r="I146" s="70"/>
    </row>
    <row r="147" spans="2:9">
      <c r="B147" s="69"/>
      <c r="C147" s="70"/>
      <c r="D147" s="70"/>
      <c r="E147" s="70"/>
      <c r="F147" s="70"/>
      <c r="G147" s="70"/>
      <c r="H147" s="70"/>
      <c r="I147" s="70"/>
    </row>
    <row r="148" spans="2:9">
      <c r="B148" s="69"/>
      <c r="C148" s="70"/>
      <c r="D148" s="70"/>
      <c r="E148" s="70"/>
      <c r="F148" s="70"/>
      <c r="G148" s="70"/>
      <c r="H148" s="70"/>
      <c r="I148" s="70"/>
    </row>
    <row r="149" spans="2:9">
      <c r="B149" s="69"/>
      <c r="C149" s="70"/>
      <c r="D149" s="70"/>
      <c r="E149" s="70"/>
      <c r="F149" s="70"/>
      <c r="G149" s="70"/>
      <c r="H149" s="70"/>
      <c r="I149" s="70"/>
    </row>
    <row r="150" spans="2:9">
      <c r="B150" s="69"/>
      <c r="C150" s="70"/>
      <c r="D150" s="70"/>
      <c r="E150" s="70"/>
      <c r="F150" s="70"/>
      <c r="G150" s="70"/>
      <c r="H150" s="70"/>
      <c r="I150" s="70"/>
    </row>
    <row r="151" spans="2:9">
      <c r="B151" s="69"/>
      <c r="C151" s="70"/>
      <c r="D151" s="70"/>
      <c r="E151" s="70"/>
      <c r="F151" s="70"/>
      <c r="G151" s="70"/>
      <c r="H151" s="70"/>
      <c r="I151" s="70"/>
    </row>
    <row r="152" spans="2:9">
      <c r="B152" s="69"/>
      <c r="C152" s="70"/>
      <c r="D152" s="70"/>
      <c r="E152" s="70"/>
      <c r="F152" s="70"/>
      <c r="G152" s="70"/>
      <c r="H152" s="70"/>
      <c r="I152" s="70"/>
    </row>
    <row r="153" spans="2:9">
      <c r="B153" s="69"/>
      <c r="C153" s="70"/>
      <c r="D153" s="70"/>
      <c r="E153" s="70"/>
      <c r="F153" s="70"/>
      <c r="G153" s="70"/>
      <c r="H153" s="70"/>
      <c r="I153" s="70"/>
    </row>
    <row r="154" spans="2:9">
      <c r="B154" s="69"/>
      <c r="C154" s="70"/>
      <c r="D154" s="70"/>
      <c r="E154" s="70"/>
      <c r="F154" s="70"/>
      <c r="G154" s="70"/>
      <c r="H154" s="70"/>
      <c r="I154" s="70"/>
    </row>
    <row r="155" spans="2:9">
      <c r="B155" s="69"/>
      <c r="C155" s="70"/>
      <c r="D155" s="70"/>
      <c r="E155" s="70"/>
      <c r="F155" s="70"/>
      <c r="G155" s="70"/>
      <c r="H155" s="70"/>
      <c r="I155" s="70"/>
    </row>
    <row r="156" spans="2:9">
      <c r="B156" s="69"/>
      <c r="C156" s="70"/>
      <c r="D156" s="70"/>
      <c r="E156" s="70"/>
      <c r="F156" s="70"/>
      <c r="G156" s="70"/>
      <c r="H156" s="70"/>
      <c r="I156" s="70"/>
    </row>
    <row r="157" spans="2:9">
      <c r="B157" s="69"/>
      <c r="C157" s="70"/>
      <c r="D157" s="70"/>
      <c r="E157" s="70"/>
      <c r="F157" s="70"/>
      <c r="G157" s="70"/>
      <c r="H157" s="70"/>
      <c r="I157" s="70"/>
    </row>
    <row r="158" spans="2:9">
      <c r="B158" s="69"/>
      <c r="C158" s="70"/>
      <c r="D158" s="70"/>
      <c r="E158" s="70"/>
      <c r="F158" s="70"/>
      <c r="G158" s="70"/>
      <c r="H158" s="70"/>
      <c r="I158" s="70"/>
    </row>
    <row r="159" spans="2:9">
      <c r="B159" s="69"/>
      <c r="C159" s="70"/>
      <c r="D159" s="70"/>
      <c r="E159" s="70"/>
      <c r="F159" s="70"/>
      <c r="G159" s="70"/>
      <c r="H159" s="70"/>
      <c r="I159" s="70"/>
    </row>
    <row r="160" spans="2:9">
      <c r="B160" s="69"/>
      <c r="C160" s="70"/>
      <c r="D160" s="70"/>
      <c r="E160" s="70"/>
      <c r="F160" s="70"/>
      <c r="G160" s="70"/>
      <c r="H160" s="70"/>
      <c r="I160" s="70"/>
    </row>
    <row r="161" spans="2:9">
      <c r="B161" s="69"/>
      <c r="C161" s="70"/>
      <c r="D161" s="70"/>
      <c r="E161" s="70"/>
      <c r="F161" s="70"/>
      <c r="G161" s="70"/>
      <c r="H161" s="70"/>
      <c r="I161" s="70"/>
    </row>
    <row r="162" spans="2:9">
      <c r="B162" s="69"/>
      <c r="C162" s="70"/>
      <c r="D162" s="70"/>
      <c r="E162" s="70"/>
      <c r="F162" s="70"/>
      <c r="G162" s="70"/>
      <c r="H162" s="70"/>
      <c r="I162" s="70"/>
    </row>
    <row r="163" spans="2:9">
      <c r="B163" s="62"/>
      <c r="D163" s="89"/>
      <c r="F163" s="82"/>
    </row>
    <row r="164" spans="2:9">
      <c r="B164" s="62"/>
      <c r="D164" s="89"/>
      <c r="F164" s="82"/>
    </row>
    <row r="165" spans="2:9">
      <c r="B165" s="62"/>
      <c r="D165" s="89"/>
    </row>
    <row r="166" spans="2:9">
      <c r="B166" s="62"/>
      <c r="D166" s="89"/>
    </row>
    <row r="167" spans="2:9">
      <c r="B167" s="62"/>
      <c r="D167" s="89"/>
    </row>
    <row r="168" spans="2:9">
      <c r="B168" s="62"/>
      <c r="D168" s="89"/>
    </row>
    <row r="169" spans="2:9">
      <c r="B169" s="62"/>
      <c r="D169" s="89"/>
    </row>
    <row r="170" spans="2:9">
      <c r="B170" s="62"/>
      <c r="D170" s="89"/>
    </row>
    <row r="171" spans="2:9">
      <c r="B171" s="62"/>
    </row>
    <row r="172" spans="2:9">
      <c r="B172" s="62"/>
      <c r="D172" s="89"/>
    </row>
    <row r="173" spans="2:9">
      <c r="B173" s="62"/>
      <c r="D173" s="89"/>
    </row>
    <row r="174" spans="2:9">
      <c r="B174" s="62"/>
      <c r="D174" s="89"/>
    </row>
    <row r="175" spans="2:9">
      <c r="B175" s="62"/>
      <c r="D175" s="89"/>
    </row>
    <row r="176" spans="2:9">
      <c r="B176" s="62"/>
      <c r="D176" s="89"/>
    </row>
    <row r="177" spans="2:9">
      <c r="B177" s="62"/>
      <c r="D177" s="89"/>
    </row>
    <row r="178" spans="2:9">
      <c r="B178" s="62"/>
      <c r="D178" s="89"/>
    </row>
    <row r="179" spans="2:9">
      <c r="B179" s="62"/>
      <c r="D179" s="89"/>
    </row>
    <row r="180" spans="2:9">
      <c r="B180" s="69"/>
      <c r="C180" s="70"/>
      <c r="D180" s="90"/>
      <c r="E180" s="70"/>
      <c r="F180" s="70"/>
      <c r="G180" s="70"/>
      <c r="H180" s="70"/>
      <c r="I180" s="70"/>
    </row>
    <row r="181" spans="2:9">
      <c r="B181" s="69"/>
      <c r="C181" s="70"/>
      <c r="D181" s="90"/>
      <c r="E181" s="70"/>
      <c r="F181" s="70"/>
      <c r="G181" s="70"/>
      <c r="H181" s="70"/>
      <c r="I181" s="70"/>
    </row>
    <row r="182" spans="2:9">
      <c r="B182" s="62"/>
      <c r="D182" s="89"/>
    </row>
    <row r="183" spans="2:9">
      <c r="B183" s="62"/>
      <c r="D183" s="89"/>
    </row>
    <row r="184" spans="2:9">
      <c r="B184" s="62"/>
      <c r="D184" s="89"/>
    </row>
    <row r="185" spans="2:9">
      <c r="B185" s="62"/>
      <c r="D185" s="89"/>
    </row>
    <row r="186" spans="2:9">
      <c r="B186" s="62"/>
      <c r="D186" s="89"/>
    </row>
    <row r="187" spans="2:9">
      <c r="B187" s="62"/>
      <c r="D187" s="89"/>
    </row>
    <row r="188" spans="2:9">
      <c r="B188" s="62"/>
      <c r="D188" s="89"/>
    </row>
    <row r="189" spans="2:9">
      <c r="B189" s="62"/>
      <c r="D189" s="89"/>
    </row>
    <row r="190" spans="2:9">
      <c r="B190" s="62"/>
    </row>
    <row r="191" spans="2:9">
      <c r="B191" s="62"/>
      <c r="D191" s="89"/>
    </row>
    <row r="192" spans="2:9">
      <c r="B192" s="62"/>
      <c r="D192" s="89"/>
    </row>
    <row r="193" spans="2:9">
      <c r="B193" s="62"/>
      <c r="D193" s="89"/>
    </row>
    <row r="194" spans="2:9">
      <c r="B194" s="62"/>
      <c r="D194" s="89"/>
    </row>
    <row r="195" spans="2:9">
      <c r="B195" s="62"/>
      <c r="D195" s="89"/>
    </row>
    <row r="196" spans="2:9">
      <c r="B196" s="62"/>
      <c r="D196" s="89"/>
    </row>
    <row r="197" spans="2:9">
      <c r="B197" s="62"/>
      <c r="D197" s="89"/>
    </row>
    <row r="198" spans="2:9">
      <c r="B198" s="62"/>
      <c r="D198" s="89"/>
    </row>
    <row r="199" spans="2:9">
      <c r="B199" s="62"/>
      <c r="D199" s="89"/>
    </row>
    <row r="200" spans="2:9">
      <c r="B200" s="62"/>
      <c r="D200" s="89"/>
    </row>
    <row r="201" spans="2:9">
      <c r="B201" s="69"/>
      <c r="C201" s="70"/>
      <c r="D201" s="70"/>
      <c r="E201" s="70"/>
      <c r="F201" s="70"/>
      <c r="G201" s="70"/>
      <c r="H201" s="70"/>
      <c r="I201" s="70"/>
    </row>
    <row r="202" spans="2:9">
      <c r="B202" s="69"/>
      <c r="C202" s="70"/>
      <c r="D202" s="70"/>
      <c r="E202" s="70"/>
      <c r="F202" s="70"/>
      <c r="G202" s="70"/>
      <c r="H202" s="70"/>
      <c r="I202" s="70"/>
    </row>
    <row r="203" spans="2:9">
      <c r="B203" s="69"/>
      <c r="C203" s="70"/>
      <c r="D203" s="70"/>
      <c r="E203" s="70"/>
      <c r="F203" s="70"/>
      <c r="G203" s="70"/>
      <c r="H203" s="70"/>
      <c r="I203" s="70"/>
    </row>
    <row r="204" spans="2:9">
      <c r="B204" s="69"/>
      <c r="C204" s="70"/>
      <c r="D204" s="70"/>
      <c r="E204" s="70"/>
      <c r="F204" s="70"/>
      <c r="G204" s="70"/>
      <c r="H204" s="70"/>
      <c r="I204" s="70"/>
    </row>
    <row r="205" spans="2:9">
      <c r="B205" s="69"/>
      <c r="C205" s="70"/>
      <c r="D205" s="70"/>
      <c r="E205" s="70"/>
      <c r="F205" s="70"/>
      <c r="G205" s="70"/>
      <c r="H205" s="70"/>
      <c r="I205" s="70"/>
    </row>
    <row r="206" spans="2:9">
      <c r="B206" s="69"/>
      <c r="C206" s="70"/>
      <c r="D206" s="70"/>
      <c r="E206" s="70"/>
      <c r="F206" s="70"/>
      <c r="G206" s="70"/>
      <c r="H206" s="70"/>
      <c r="I206" s="70"/>
    </row>
    <row r="207" spans="2:9">
      <c r="B207" s="69"/>
      <c r="C207" s="70"/>
      <c r="D207" s="70"/>
      <c r="E207" s="70"/>
      <c r="F207" s="70"/>
      <c r="G207" s="70"/>
      <c r="H207" s="70"/>
      <c r="I207" s="70"/>
    </row>
    <row r="208" spans="2:9">
      <c r="B208" s="69"/>
      <c r="C208" s="70"/>
      <c r="D208" s="70"/>
      <c r="E208" s="70"/>
      <c r="F208" s="70"/>
      <c r="G208" s="70"/>
      <c r="H208" s="70"/>
      <c r="I208" s="70"/>
    </row>
    <row r="209" spans="2:9">
      <c r="B209" s="69"/>
      <c r="C209" s="70"/>
      <c r="D209" s="70"/>
      <c r="E209" s="70"/>
      <c r="F209" s="70"/>
      <c r="G209" s="70"/>
      <c r="H209" s="70"/>
      <c r="I209" s="70"/>
    </row>
    <row r="210" spans="2:9">
      <c r="B210" s="69"/>
      <c r="C210" s="70"/>
      <c r="D210" s="70"/>
      <c r="E210" s="70"/>
      <c r="F210" s="70"/>
      <c r="G210" s="70"/>
      <c r="H210" s="70"/>
      <c r="I210" s="70"/>
    </row>
    <row r="211" spans="2:9">
      <c r="B211" s="69"/>
      <c r="C211" s="70"/>
      <c r="D211" s="70"/>
      <c r="E211" s="70"/>
      <c r="F211" s="70"/>
      <c r="G211" s="70"/>
      <c r="H211" s="70"/>
      <c r="I211" s="70"/>
    </row>
    <row r="212" spans="2:9">
      <c r="B212" s="69"/>
      <c r="C212" s="70"/>
      <c r="D212" s="70"/>
      <c r="E212" s="70"/>
      <c r="F212" s="70"/>
      <c r="G212" s="70"/>
      <c r="H212" s="70"/>
      <c r="I212" s="70"/>
    </row>
    <row r="213" spans="2:9">
      <c r="B213" s="69"/>
      <c r="C213" s="70"/>
      <c r="D213" s="70"/>
      <c r="E213" s="70"/>
      <c r="F213" s="70"/>
      <c r="G213" s="70"/>
      <c r="H213" s="70"/>
      <c r="I213" s="70"/>
    </row>
    <row r="214" spans="2:9">
      <c r="B214" s="62"/>
    </row>
    <row r="215" spans="2:9">
      <c r="B215" s="62"/>
    </row>
    <row r="216" spans="2:9">
      <c r="B216" s="62"/>
    </row>
    <row r="217" spans="2:9">
      <c r="B217" s="62"/>
    </row>
    <row r="218" spans="2:9">
      <c r="B218" s="62"/>
    </row>
    <row r="219" spans="2:9">
      <c r="B219" s="62"/>
    </row>
    <row r="220" spans="2:9">
      <c r="B220" s="62"/>
    </row>
    <row r="221" spans="2:9">
      <c r="B221" s="62"/>
    </row>
    <row r="222" spans="2:9">
      <c r="B222" s="62"/>
    </row>
    <row r="223" spans="2:9">
      <c r="B223" s="62"/>
    </row>
    <row r="224" spans="2:9">
      <c r="B224" s="62"/>
    </row>
    <row r="225" spans="2:2">
      <c r="B225" s="62"/>
    </row>
    <row r="227" spans="2:2">
      <c r="B227" s="62"/>
    </row>
    <row r="229" spans="2:2">
      <c r="B229" s="62"/>
    </row>
    <row r="230" spans="2:2">
      <c r="B230" s="62"/>
    </row>
    <row r="231" spans="2:2">
      <c r="B231" s="62"/>
    </row>
    <row r="232" spans="2:2">
      <c r="B232" s="62"/>
    </row>
  </sheetData>
  <sortState xmlns:xlrd2="http://schemas.microsoft.com/office/spreadsheetml/2017/richdata2" ref="A2:K100">
    <sortCondition ref="I2:I10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2"/>
  <sheetViews>
    <sheetView workbookViewId="0">
      <selection activeCell="G30" sqref="G30"/>
    </sheetView>
  </sheetViews>
  <sheetFormatPr defaultColWidth="8.85546875" defaultRowHeight="15"/>
  <cols>
    <col min="1" max="1" width="13.140625" bestFit="1" customWidth="1"/>
    <col min="2" max="2" width="16.85546875" bestFit="1" customWidth="1"/>
    <col min="3" max="3" width="16.5703125" bestFit="1" customWidth="1"/>
    <col min="4" max="4" width="14.85546875" bestFit="1" customWidth="1"/>
    <col min="7" max="8" width="17.42578125" customWidth="1"/>
    <col min="9" max="9" width="16.140625" customWidth="1"/>
    <col min="10" max="10" width="17.42578125" customWidth="1"/>
  </cols>
  <sheetData>
    <row r="1" spans="1:10">
      <c r="A1" s="32" t="s">
        <v>210</v>
      </c>
      <c r="G1" s="32" t="s">
        <v>211</v>
      </c>
    </row>
    <row r="2" spans="1:10">
      <c r="A2" s="2" t="s">
        <v>13</v>
      </c>
      <c r="B2" t="s">
        <v>212</v>
      </c>
    </row>
    <row r="4" spans="1:10">
      <c r="A4" s="2" t="s">
        <v>213</v>
      </c>
      <c r="B4" t="s">
        <v>214</v>
      </c>
      <c r="C4" t="s">
        <v>215</v>
      </c>
      <c r="D4" t="s">
        <v>216</v>
      </c>
      <c r="G4" s="24" t="s">
        <v>213</v>
      </c>
      <c r="H4" s="24" t="s">
        <v>214</v>
      </c>
      <c r="I4" s="24" t="s">
        <v>215</v>
      </c>
      <c r="J4" s="24" t="s">
        <v>216</v>
      </c>
    </row>
    <row r="5" spans="1:10">
      <c r="A5" s="1" t="s">
        <v>53</v>
      </c>
      <c r="B5" s="81">
        <v>228</v>
      </c>
      <c r="C5" s="81">
        <v>22</v>
      </c>
      <c r="D5" s="81">
        <v>250</v>
      </c>
      <c r="G5" s="1" t="s">
        <v>44</v>
      </c>
      <c r="H5">
        <f>GETPIVOTDATA("Sum of Cx pipiens",$A$4,"Zone","LV")</f>
        <v>253</v>
      </c>
      <c r="I5">
        <f>GETPIVOTDATA("Sum of Cx tarsalis",$A$4,"Zone","LV")</f>
        <v>168</v>
      </c>
      <c r="J5">
        <f>GETPIVOTDATA("Sum of Total CX",$A$4,"Zone","LV")</f>
        <v>421</v>
      </c>
    </row>
    <row r="6" spans="1:10">
      <c r="A6" s="1" t="s">
        <v>70</v>
      </c>
      <c r="B6" s="81">
        <v>49</v>
      </c>
      <c r="C6" s="81">
        <v>5</v>
      </c>
      <c r="D6" s="81">
        <v>54</v>
      </c>
      <c r="G6" s="1" t="s">
        <v>53</v>
      </c>
      <c r="H6">
        <f>GETPIVOTDATA("Sum of Cx pipiens",$A$4,"Zone","NE")</f>
        <v>228</v>
      </c>
      <c r="I6">
        <f>GETPIVOTDATA("Sum of Cx tarsalis",$A$4,"Zone","NE")</f>
        <v>22</v>
      </c>
      <c r="J6">
        <f>GETPIVOTDATA("Sum of Total CX",$A$4,"Zone","NE")</f>
        <v>250</v>
      </c>
    </row>
    <row r="7" spans="1:10">
      <c r="A7" s="1" t="s">
        <v>79</v>
      </c>
      <c r="B7" s="81">
        <v>125</v>
      </c>
      <c r="C7" s="81">
        <v>30</v>
      </c>
      <c r="D7" s="81">
        <v>155</v>
      </c>
      <c r="G7" s="1" t="s">
        <v>70</v>
      </c>
      <c r="H7">
        <f>GETPIVOTDATA("Sum of Cx pipiens",$A$4,"Zone","NW")</f>
        <v>49</v>
      </c>
      <c r="I7">
        <f>GETPIVOTDATA("Sum of Cx tarsalis",$A$4,"Zone","NW")</f>
        <v>5</v>
      </c>
      <c r="J7">
        <f>GETPIVOTDATA("Sum of Total CX",$A$4,"Zone","NW")</f>
        <v>54</v>
      </c>
    </row>
    <row r="8" spans="1:10">
      <c r="A8" s="1" t="s">
        <v>96</v>
      </c>
      <c r="B8" s="81">
        <v>34</v>
      </c>
      <c r="C8" s="81">
        <v>14</v>
      </c>
      <c r="D8" s="81">
        <v>48</v>
      </c>
      <c r="G8" s="1" t="s">
        <v>79</v>
      </c>
      <c r="H8">
        <f>GETPIVOTDATA("Sum of Cx pipiens",$A$4,"Zone","SE")</f>
        <v>125</v>
      </c>
      <c r="I8">
        <f>GETPIVOTDATA("Sum of Cx tarsalis",$A$4,"Zone","SE")</f>
        <v>30</v>
      </c>
      <c r="J8">
        <f>GETPIVOTDATA("Sum of Total CX",$A$4,"Zone","SE")</f>
        <v>155</v>
      </c>
    </row>
    <row r="9" spans="1:10">
      <c r="A9" s="1" t="s">
        <v>44</v>
      </c>
      <c r="B9" s="81">
        <v>253</v>
      </c>
      <c r="C9" s="81">
        <v>168</v>
      </c>
      <c r="D9" s="81">
        <v>421</v>
      </c>
      <c r="G9" s="1" t="s">
        <v>96</v>
      </c>
      <c r="H9">
        <f>GETPIVOTDATA("Sum of Cx pipiens",$A$4,"Zone","SW")</f>
        <v>34</v>
      </c>
      <c r="I9">
        <f>GETPIVOTDATA("Sum of Cx tarsalis",$A$4,"Zone","SW")</f>
        <v>14</v>
      </c>
      <c r="J9">
        <f>GETPIVOTDATA("Sum of Total CX",$A$4,"Zone","SW")</f>
        <v>48</v>
      </c>
    </row>
    <row r="10" spans="1:10">
      <c r="A10" s="1" t="s">
        <v>32</v>
      </c>
      <c r="B10" s="81">
        <v>0</v>
      </c>
      <c r="C10" s="81">
        <v>13</v>
      </c>
      <c r="D10" s="81">
        <v>13</v>
      </c>
      <c r="G10" s="1" t="s">
        <v>42</v>
      </c>
      <c r="H10" t="e">
        <f>GETPIVOTDATA("Sum of Cx pipiens",$A$4,"Zone","BE")</f>
        <v>#REF!</v>
      </c>
      <c r="I10" t="e">
        <f>GETPIVOTDATA("Sum of Cx tarsalis",$A$4,"Zone","BE")</f>
        <v>#REF!</v>
      </c>
      <c r="J10" t="e">
        <f>GETPIVOTDATA("Sum of Total CX",$A$4,"Zone","BE")</f>
        <v>#REF!</v>
      </c>
    </row>
    <row r="11" spans="1:10">
      <c r="A11" s="1" t="s">
        <v>217</v>
      </c>
      <c r="B11" s="81">
        <v>689</v>
      </c>
      <c r="C11" s="81">
        <v>252</v>
      </c>
      <c r="D11" s="81">
        <v>941</v>
      </c>
      <c r="G11" s="1" t="s">
        <v>32</v>
      </c>
      <c r="H11">
        <f>GETPIVOTDATA("Sum of Cx pipiens",$A$4,"Zone","BC")</f>
        <v>0</v>
      </c>
      <c r="I11">
        <f>GETPIVOTDATA("Sum of Cx tarsalis",$A$4,"Zone","BC")</f>
        <v>13</v>
      </c>
      <c r="J11">
        <f>GETPIVOTDATA("Sum of Total CX",$A$4,"Zone","BC")</f>
        <v>13</v>
      </c>
    </row>
    <row r="12" spans="1:10">
      <c r="G12"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2"/>
  <sheetViews>
    <sheetView workbookViewId="0">
      <selection activeCell="C7" sqref="C7"/>
    </sheetView>
  </sheetViews>
  <sheetFormatPr defaultColWidth="8.85546875" defaultRowHeight="15"/>
  <cols>
    <col min="1" max="1" width="13.140625" bestFit="1" customWidth="1"/>
    <col min="2" max="2" width="16.28515625" bestFit="1" customWidth="1"/>
    <col min="3" max="3" width="7.5703125" bestFit="1" customWidth="1"/>
    <col min="4" max="6" width="11.28515625" bestFit="1" customWidth="1"/>
    <col min="8" max="8" width="12" bestFit="1" customWidth="1"/>
  </cols>
  <sheetData>
    <row r="1" spans="1:11">
      <c r="A1" s="94" t="s">
        <v>218</v>
      </c>
      <c r="B1" s="94"/>
      <c r="H1" s="94" t="s">
        <v>219</v>
      </c>
      <c r="I1" s="94"/>
    </row>
    <row r="2" spans="1:11">
      <c r="A2" s="2" t="s">
        <v>13</v>
      </c>
      <c r="B2" t="s">
        <v>212</v>
      </c>
    </row>
    <row r="4" spans="1:11">
      <c r="A4" s="2" t="s">
        <v>220</v>
      </c>
      <c r="B4" s="2" t="s">
        <v>221</v>
      </c>
      <c r="H4" s="23" t="s">
        <v>220</v>
      </c>
      <c r="I4" s="23" t="s">
        <v>221</v>
      </c>
      <c r="J4" s="23"/>
      <c r="K4" s="23"/>
    </row>
    <row r="5" spans="1:11">
      <c r="A5" s="2" t="s">
        <v>213</v>
      </c>
      <c r="B5" t="s">
        <v>35</v>
      </c>
      <c r="C5" t="s">
        <v>43</v>
      </c>
      <c r="D5" t="s">
        <v>217</v>
      </c>
      <c r="H5" s="24" t="s">
        <v>213</v>
      </c>
      <c r="I5" s="24" t="s">
        <v>222</v>
      </c>
      <c r="J5" s="24" t="s">
        <v>223</v>
      </c>
      <c r="K5" s="24" t="s">
        <v>217</v>
      </c>
    </row>
    <row r="6" spans="1:11">
      <c r="A6" s="1" t="s">
        <v>44</v>
      </c>
      <c r="B6" s="81">
        <v>46</v>
      </c>
      <c r="C6" s="81">
        <v>55</v>
      </c>
      <c r="D6" s="81">
        <v>101</v>
      </c>
      <c r="H6" s="1" t="s">
        <v>44</v>
      </c>
      <c r="I6">
        <f>GETPIVOTDATA("Total",$A$4,"Zone","LV","Spp","Pipiens")</f>
        <v>55</v>
      </c>
      <c r="J6">
        <f>GETPIVOTDATA("Total",$A$4,"Zone","LV","Spp","Tarsalis")</f>
        <v>46</v>
      </c>
      <c r="K6">
        <f>GETPIVOTDATA("Total",$A$4,"Zone","LV")</f>
        <v>101</v>
      </c>
    </row>
    <row r="7" spans="1:11">
      <c r="A7" s="1" t="s">
        <v>53</v>
      </c>
      <c r="B7" s="81">
        <v>22</v>
      </c>
      <c r="C7" s="81">
        <v>228</v>
      </c>
      <c r="D7" s="81">
        <v>250</v>
      </c>
      <c r="H7" s="1" t="s">
        <v>53</v>
      </c>
      <c r="I7">
        <f>GETPIVOTDATA("Total",$A$4,"Zone","NE","Spp","Pipiens")</f>
        <v>228</v>
      </c>
      <c r="J7">
        <f>GETPIVOTDATA("Total",$A$4,"Zone","NE","Spp","Tarsalis")</f>
        <v>22</v>
      </c>
      <c r="K7">
        <f>GETPIVOTDATA("Total",$A$4,"Zone","NE")</f>
        <v>250</v>
      </c>
    </row>
    <row r="8" spans="1:11">
      <c r="A8" s="1" t="s">
        <v>70</v>
      </c>
      <c r="B8" s="81">
        <v>5</v>
      </c>
      <c r="C8" s="81">
        <v>49</v>
      </c>
      <c r="D8" s="81">
        <v>54</v>
      </c>
      <c r="H8" s="1" t="s">
        <v>70</v>
      </c>
      <c r="I8">
        <f>GETPIVOTDATA("Total",$A$4,"Zone","NW","Spp","Pipiens")</f>
        <v>49</v>
      </c>
      <c r="J8">
        <f>GETPIVOTDATA("Total",$A$4,"Zone","NW","Spp","Tarsalis")</f>
        <v>5</v>
      </c>
      <c r="K8">
        <f>GETPIVOTDATA("Total",$A$4,"Zone","NW")</f>
        <v>54</v>
      </c>
    </row>
    <row r="9" spans="1:11">
      <c r="A9" s="1" t="s">
        <v>79</v>
      </c>
      <c r="B9" s="81">
        <v>30</v>
      </c>
      <c r="C9" s="81">
        <v>125</v>
      </c>
      <c r="D9" s="81">
        <v>155</v>
      </c>
      <c r="H9" s="1" t="s">
        <v>79</v>
      </c>
      <c r="I9">
        <f>GETPIVOTDATA("Total",$A$4,"Zone","SE","Spp","Pipiens")</f>
        <v>125</v>
      </c>
      <c r="J9">
        <f>GETPIVOTDATA("Total",$A$4,"Zone","SE","Spp","Tarsalis")</f>
        <v>30</v>
      </c>
      <c r="K9">
        <f>GETPIVOTDATA("Total",$A$4,"Zone","SE")</f>
        <v>155</v>
      </c>
    </row>
    <row r="10" spans="1:11">
      <c r="A10" s="1" t="s">
        <v>96</v>
      </c>
      <c r="B10" s="81">
        <v>14</v>
      </c>
      <c r="C10" s="81">
        <v>34</v>
      </c>
      <c r="D10" s="81">
        <v>48</v>
      </c>
      <c r="H10" s="1" t="s">
        <v>96</v>
      </c>
      <c r="I10">
        <f>GETPIVOTDATA("Total",$A$4,"Zone","SW","Spp","Pipiens")</f>
        <v>34</v>
      </c>
      <c r="J10">
        <f>GETPIVOTDATA("Total",$A$4,"Zone","SW","Spp","Tarsalis")</f>
        <v>14</v>
      </c>
      <c r="K10">
        <f>GETPIVOTDATA("Total",$A$4,"Zone","SW")</f>
        <v>48</v>
      </c>
    </row>
    <row r="11" spans="1:11">
      <c r="A11" s="1" t="s">
        <v>32</v>
      </c>
      <c r="B11" s="81">
        <v>13</v>
      </c>
      <c r="C11" s="81"/>
      <c r="D11" s="81">
        <v>13</v>
      </c>
      <c r="H11" s="1" t="s">
        <v>42</v>
      </c>
      <c r="I11" t="e">
        <f>GETPIVOTDATA("Total",$A$4,"Zone","BE","Spp","Pipiens")</f>
        <v>#REF!</v>
      </c>
      <c r="J11" t="e">
        <f>GETPIVOTDATA("Total",$A$4,"Zone","BE","Spp","Tarsalis")</f>
        <v>#REF!</v>
      </c>
      <c r="K11" t="e">
        <f>GETPIVOTDATA("Total",$A$4,"Zone","BE")</f>
        <v>#REF!</v>
      </c>
    </row>
    <row r="12" spans="1:11">
      <c r="A12" s="1" t="s">
        <v>217</v>
      </c>
      <c r="B12" s="81">
        <v>130</v>
      </c>
      <c r="C12" s="81">
        <v>491</v>
      </c>
      <c r="D12" s="81">
        <v>621</v>
      </c>
      <c r="H12" s="1" t="s">
        <v>32</v>
      </c>
      <c r="I12">
        <f>GETPIVOTDATA("Total",$A$4,"Zone","BC","Spp","Pipiens")</f>
        <v>0</v>
      </c>
      <c r="J12">
        <f>GETPIVOTDATA("Total",$A$4,"Zone","BC","Spp","Tarsalis")</f>
        <v>13</v>
      </c>
      <c r="K12">
        <f>GETPIVOTDATA("Total",$A$4,"Zone","BC")</f>
        <v>13</v>
      </c>
    </row>
  </sheetData>
  <mergeCells count="2">
    <mergeCell ref="A1:B1"/>
    <mergeCell ref="H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2"/>
  <sheetViews>
    <sheetView workbookViewId="0">
      <selection activeCell="H22" sqref="H22"/>
    </sheetView>
  </sheetViews>
  <sheetFormatPr defaultColWidth="8.85546875" defaultRowHeight="15"/>
  <cols>
    <col min="1" max="1" width="39.5703125" bestFit="1" customWidth="1"/>
    <col min="2" max="2" width="16.28515625" bestFit="1" customWidth="1"/>
    <col min="3" max="3" width="7.5703125" bestFit="1" customWidth="1"/>
    <col min="4" max="6" width="11.28515625" bestFit="1" customWidth="1"/>
    <col min="7" max="7" width="12.42578125" customWidth="1"/>
    <col min="8" max="8" width="9.140625" customWidth="1"/>
  </cols>
  <sheetData>
    <row r="1" spans="1:10">
      <c r="A1" s="32" t="s">
        <v>218</v>
      </c>
      <c r="G1" s="94" t="s">
        <v>219</v>
      </c>
      <c r="H1" s="94"/>
    </row>
    <row r="2" spans="1:10">
      <c r="A2" s="2" t="s">
        <v>13</v>
      </c>
      <c r="B2" t="s">
        <v>212</v>
      </c>
    </row>
    <row r="4" spans="1:10">
      <c r="A4" s="2" t="s">
        <v>224</v>
      </c>
      <c r="B4" s="2" t="s">
        <v>221</v>
      </c>
      <c r="G4" s="23" t="s">
        <v>224</v>
      </c>
      <c r="H4" s="23" t="s">
        <v>221</v>
      </c>
      <c r="I4" s="23"/>
      <c r="J4" s="23"/>
    </row>
    <row r="5" spans="1:10">
      <c r="A5" s="2" t="s">
        <v>213</v>
      </c>
      <c r="B5" t="s">
        <v>35</v>
      </c>
      <c r="C5" t="s">
        <v>43</v>
      </c>
      <c r="D5" t="s">
        <v>217</v>
      </c>
      <c r="G5" s="24" t="s">
        <v>213</v>
      </c>
      <c r="H5" s="24" t="s">
        <v>222</v>
      </c>
      <c r="I5" s="24" t="s">
        <v>223</v>
      </c>
      <c r="J5" s="24" t="s">
        <v>217</v>
      </c>
    </row>
    <row r="6" spans="1:10">
      <c r="A6" s="1" t="s">
        <v>53</v>
      </c>
      <c r="B6" s="81">
        <v>6</v>
      </c>
      <c r="C6" s="81">
        <v>12</v>
      </c>
      <c r="D6" s="81">
        <v>18</v>
      </c>
      <c r="G6" s="1" t="s">
        <v>44</v>
      </c>
      <c r="H6">
        <f>GETPIVOTDATA("CSU Pool Number     (CMC enters)",$A$4,"Zone","LV","Spp","Pipiens")</f>
        <v>4</v>
      </c>
      <c r="I6">
        <f>GETPIVOTDATA("CSU Pool Number     (CMC enters)",$A$4,"Zone","LV","Spp","Tarsalis")</f>
        <v>5</v>
      </c>
      <c r="J6">
        <f>GETPIVOTDATA("CSU Pool Number     (CMC enters)",$A$4,"Zone","LV")</f>
        <v>9</v>
      </c>
    </row>
    <row r="7" spans="1:10">
      <c r="A7" s="1" t="s">
        <v>70</v>
      </c>
      <c r="B7" s="81">
        <v>2</v>
      </c>
      <c r="C7" s="81">
        <v>5</v>
      </c>
      <c r="D7" s="81">
        <v>7</v>
      </c>
      <c r="G7" s="1" t="s">
        <v>53</v>
      </c>
      <c r="H7">
        <f>GETPIVOTDATA("CSU Pool Number     (CMC enters)",$A$4,"Zone","NE","Spp","Pipiens")</f>
        <v>12</v>
      </c>
      <c r="I7">
        <f>GETPIVOTDATA("CSU Pool Number     (CMC enters)",$A$4,"Zone","NE","Spp","Tarsalis")</f>
        <v>6</v>
      </c>
      <c r="J7">
        <f>GETPIVOTDATA("CSU Pool Number     (CMC enters)",$A$4,"Zone","NE")</f>
        <v>18</v>
      </c>
    </row>
    <row r="8" spans="1:10">
      <c r="A8" s="1" t="s">
        <v>79</v>
      </c>
      <c r="B8" s="81">
        <v>10</v>
      </c>
      <c r="C8" s="81">
        <v>13</v>
      </c>
      <c r="D8" s="81">
        <v>23</v>
      </c>
      <c r="G8" s="1" t="s">
        <v>70</v>
      </c>
      <c r="H8">
        <f>GETPIVOTDATA("CSU Pool Number     (CMC enters)",$A$4,"Zone","NW","Spp","Pipiens")</f>
        <v>5</v>
      </c>
      <c r="I8">
        <f>GETPIVOTDATA("CSU Pool Number     (CMC enters)",$A$4,"Zone","NW","Spp","Tarsalis")</f>
        <v>2</v>
      </c>
      <c r="J8">
        <f>GETPIVOTDATA("CSU Pool Number     (CMC enters)",$A$4,"Zone","NW")</f>
        <v>7</v>
      </c>
    </row>
    <row r="9" spans="1:10">
      <c r="A9" s="1" t="s">
        <v>96</v>
      </c>
      <c r="B9" s="81">
        <v>5</v>
      </c>
      <c r="C9" s="81">
        <v>6</v>
      </c>
      <c r="D9" s="81">
        <v>11</v>
      </c>
      <c r="G9" s="1" t="s">
        <v>79</v>
      </c>
      <c r="H9">
        <f>GETPIVOTDATA("CSU Pool Number     (CMC enters)",$A$4,"Zone","SE","Spp","Pipiens")</f>
        <v>13</v>
      </c>
      <c r="I9">
        <f>GETPIVOTDATA("CSU Pool Number     (CMC enters)",$A$4,"Zone","SE","Spp","Tarsalis")</f>
        <v>10</v>
      </c>
      <c r="J9">
        <f>GETPIVOTDATA("CSU Pool Number     (CMC enters)",$A$4,"Zone","SE")</f>
        <v>23</v>
      </c>
    </row>
    <row r="10" spans="1:10">
      <c r="A10" s="1" t="s">
        <v>44</v>
      </c>
      <c r="B10" s="81">
        <v>5</v>
      </c>
      <c r="C10" s="81">
        <v>4</v>
      </c>
      <c r="D10" s="81">
        <v>9</v>
      </c>
      <c r="G10" s="1" t="s">
        <v>96</v>
      </c>
      <c r="H10">
        <f>GETPIVOTDATA("CSU Pool Number     (CMC enters)",$A$4,"Zone","SW","Spp","Pipiens")</f>
        <v>6</v>
      </c>
      <c r="I10">
        <f>GETPIVOTDATA("CSU Pool Number     (CMC enters)",$A$4,"Zone","SW","Spp","Tarsalis")</f>
        <v>5</v>
      </c>
      <c r="J10">
        <f>GETPIVOTDATA("CSU Pool Number     (CMC enters)",$A$4,"Zone","SW")</f>
        <v>11</v>
      </c>
    </row>
    <row r="11" spans="1:10">
      <c r="A11" s="1" t="s">
        <v>32</v>
      </c>
      <c r="B11" s="81">
        <v>5</v>
      </c>
      <c r="C11" s="81"/>
      <c r="D11" s="81">
        <v>5</v>
      </c>
      <c r="G11" s="1" t="s">
        <v>42</v>
      </c>
      <c r="H11" t="e">
        <f>GETPIVOTDATA("CSU Pool Number     (CMC enters)",$A$4,"Zone","BE","Spp","Pipiens")</f>
        <v>#REF!</v>
      </c>
      <c r="I11" t="e">
        <f>GETPIVOTDATA("CSU Pool Number     (CMC enters)",$A$4,"Zone","BE","Spp","Tarsalis")</f>
        <v>#REF!</v>
      </c>
      <c r="J11" t="e">
        <f>GETPIVOTDATA("CSU Pool Number     (CMC enters)",$A$4,"Zone","BE")</f>
        <v>#REF!</v>
      </c>
    </row>
    <row r="12" spans="1:10">
      <c r="A12" s="1" t="s">
        <v>217</v>
      </c>
      <c r="B12" s="81">
        <v>33</v>
      </c>
      <c r="C12" s="81">
        <v>40</v>
      </c>
      <c r="D12" s="81">
        <v>73</v>
      </c>
      <c r="G12" s="1" t="s">
        <v>32</v>
      </c>
      <c r="H12">
        <f>GETPIVOTDATA("CSU Pool Number     (CMC enters)",$A$4,"Zone","BC","Spp","Pipiens")</f>
        <v>0</v>
      </c>
      <c r="I12">
        <f>GETPIVOTDATA("CSU Pool Number     (CMC enters)",$A$4,"Zone","BC","Spp","Tarsalis")</f>
        <v>5</v>
      </c>
      <c r="J12">
        <f>GETPIVOTDATA("CSU Pool Number     (CMC enters)",$A$4,"Zone","BC")</f>
        <v>5</v>
      </c>
    </row>
  </sheetData>
  <mergeCells count="1">
    <mergeCell ref="G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zoomScale="90" zoomScaleNormal="90" workbookViewId="0">
      <selection activeCell="C11" sqref="C11"/>
    </sheetView>
  </sheetViews>
  <sheetFormatPr defaultColWidth="8.85546875" defaultRowHeight="15"/>
  <cols>
    <col min="1" max="1" width="28.140625" bestFit="1" customWidth="1"/>
    <col min="2" max="2" width="16.28515625" bestFit="1" customWidth="1"/>
    <col min="3" max="3" width="7.5703125" bestFit="1" customWidth="1"/>
    <col min="4" max="5" width="11.28515625" bestFit="1" customWidth="1"/>
    <col min="6" max="123" width="16.28515625" bestFit="1" customWidth="1"/>
    <col min="124" max="124" width="11.28515625" bestFit="1" customWidth="1"/>
  </cols>
  <sheetData>
    <row r="1" spans="1:9">
      <c r="A1" s="94" t="s">
        <v>218</v>
      </c>
      <c r="B1" s="94"/>
      <c r="C1" s="94"/>
      <c r="F1" s="32" t="s">
        <v>219</v>
      </c>
    </row>
    <row r="3" spans="1:9">
      <c r="A3" s="2" t="s">
        <v>14</v>
      </c>
      <c r="B3" t="s">
        <v>212</v>
      </c>
    </row>
    <row r="5" spans="1:9">
      <c r="A5" s="2" t="s">
        <v>225</v>
      </c>
      <c r="B5" s="2" t="s">
        <v>221</v>
      </c>
      <c r="F5" s="23" t="s">
        <v>226</v>
      </c>
      <c r="G5" s="23" t="s">
        <v>221</v>
      </c>
      <c r="H5" s="23"/>
      <c r="I5" s="23"/>
    </row>
    <row r="6" spans="1:9">
      <c r="A6" s="2" t="s">
        <v>213</v>
      </c>
      <c r="B6" t="s">
        <v>35</v>
      </c>
      <c r="C6" t="s">
        <v>43</v>
      </c>
      <c r="D6" t="s">
        <v>217</v>
      </c>
      <c r="F6" s="24" t="s">
        <v>213</v>
      </c>
      <c r="G6" s="24" t="s">
        <v>222</v>
      </c>
      <c r="H6" s="24" t="s">
        <v>223</v>
      </c>
      <c r="I6" s="24" t="s">
        <v>217</v>
      </c>
    </row>
    <row r="7" spans="1:9">
      <c r="A7" s="1" t="s">
        <v>44</v>
      </c>
      <c r="B7" s="81">
        <v>0</v>
      </c>
      <c r="C7" s="81">
        <v>0</v>
      </c>
      <c r="D7" s="81">
        <v>0</v>
      </c>
      <c r="F7" s="1" t="s">
        <v>70</v>
      </c>
      <c r="G7">
        <f>GETPIVOTDATA("Test code (CSU enters)",$A$5,"Zone","NW","Spp","Pipiens")</f>
        <v>1</v>
      </c>
      <c r="H7">
        <f>GETPIVOTDATA("Test code (CSU enters)",$A$5,"Zone","NW","Spp","Tarsalis")</f>
        <v>0</v>
      </c>
      <c r="I7">
        <f>GETPIVOTDATA("Test code (CSU enters)",$A$5,"Zone","NW")</f>
        <v>1</v>
      </c>
    </row>
    <row r="8" spans="1:9">
      <c r="A8" s="1" t="s">
        <v>53</v>
      </c>
      <c r="B8" s="81">
        <v>0</v>
      </c>
      <c r="C8" s="81">
        <v>0</v>
      </c>
      <c r="D8" s="81">
        <v>0</v>
      </c>
      <c r="F8" s="1" t="s">
        <v>53</v>
      </c>
      <c r="G8">
        <f>GETPIVOTDATA("Test code (CSU enters)",$A$5,"Zone","NE","Spp","Pipiens")</f>
        <v>0</v>
      </c>
      <c r="H8">
        <f>GETPIVOTDATA("Test code (CSU enters)",$A$5,"Zone","NE","Spp","Tarsalis")</f>
        <v>0</v>
      </c>
      <c r="I8">
        <f>GETPIVOTDATA("Test code (CSU enters)",$A$5,"Zone","NE")</f>
        <v>0</v>
      </c>
    </row>
    <row r="9" spans="1:9">
      <c r="A9" s="1" t="s">
        <v>70</v>
      </c>
      <c r="B9" s="81">
        <v>0</v>
      </c>
      <c r="C9" s="81">
        <v>1</v>
      </c>
      <c r="D9" s="81">
        <v>1</v>
      </c>
      <c r="F9" s="1" t="s">
        <v>79</v>
      </c>
      <c r="G9">
        <f>GETPIVOTDATA("Test code (CSU enters)",$A$5,"Zone","SE","Spp","Pipiens")</f>
        <v>1</v>
      </c>
      <c r="H9">
        <f>GETPIVOTDATA("Test code (CSU enters)",$A$5,"Zone","SE","Spp","Tarsalis")</f>
        <v>0</v>
      </c>
      <c r="I9">
        <f>GETPIVOTDATA("Test code (CSU enters)",$A$5,"Zone","SE")</f>
        <v>1</v>
      </c>
    </row>
    <row r="10" spans="1:9">
      <c r="A10" s="1" t="s">
        <v>79</v>
      </c>
      <c r="B10" s="81">
        <v>0</v>
      </c>
      <c r="C10" s="81">
        <v>1</v>
      </c>
      <c r="D10" s="81">
        <v>1</v>
      </c>
      <c r="F10" s="1" t="s">
        <v>96</v>
      </c>
      <c r="G10">
        <f>GETPIVOTDATA("Test code (CSU enters)",$A$5,"Zone","SW","Spp","Pipiens")</f>
        <v>1</v>
      </c>
      <c r="H10">
        <f>GETPIVOTDATA("Test code (CSU enters)",$A$5,"Zone","SW","Spp","Tarsalis")</f>
        <v>0</v>
      </c>
      <c r="I10">
        <f>GETPIVOTDATA("Test code (CSU enters)",$A$5,"Zone","SW")</f>
        <v>1</v>
      </c>
    </row>
    <row r="11" spans="1:9">
      <c r="A11" s="1" t="s">
        <v>96</v>
      </c>
      <c r="B11" s="81">
        <v>0</v>
      </c>
      <c r="C11" s="81">
        <v>1</v>
      </c>
      <c r="D11" s="81">
        <v>1</v>
      </c>
      <c r="F11" s="1" t="s">
        <v>44</v>
      </c>
      <c r="G11">
        <f>GETPIVOTDATA("Test code (CSU enters)",$A$5,"Zone","LV","Spp","Pipiens")</f>
        <v>0</v>
      </c>
      <c r="H11">
        <f>GETPIVOTDATA("Test code (CSU enters)",$A$5,"Zone","LV","Spp","Tarsalis")</f>
        <v>0</v>
      </c>
      <c r="I11">
        <f>GETPIVOTDATA("Test code (CSU enters)",$A$5,"Zone","LV")</f>
        <v>0</v>
      </c>
    </row>
    <row r="12" spans="1:9">
      <c r="A12" s="1" t="s">
        <v>32</v>
      </c>
      <c r="B12" s="81">
        <v>0</v>
      </c>
      <c r="C12" s="81"/>
      <c r="D12" s="81">
        <v>0</v>
      </c>
      <c r="F12" s="1" t="s">
        <v>42</v>
      </c>
      <c r="G12" t="e">
        <f>GETPIVOTDATA("Test code (CSU enters)",$A$5,"Zone","BE","Spp","Pipiens")</f>
        <v>#REF!</v>
      </c>
      <c r="H12" t="e">
        <f>GETPIVOTDATA("Test code (CSU enters)",$A$5,"Zone","BE","Spp","Tarsalis")</f>
        <v>#REF!</v>
      </c>
      <c r="I12" t="e">
        <f>GETPIVOTDATA("Test code (CSU enters)",$A$5,"Zone","BE")</f>
        <v>#REF!</v>
      </c>
    </row>
    <row r="13" spans="1:9">
      <c r="A13" s="1" t="s">
        <v>217</v>
      </c>
      <c r="B13" s="81">
        <v>0</v>
      </c>
      <c r="C13" s="81">
        <v>3</v>
      </c>
      <c r="D13" s="81">
        <v>3</v>
      </c>
      <c r="F13" s="1" t="s">
        <v>32</v>
      </c>
      <c r="G13">
        <f>GETPIVOTDATA("Test code (CSU enters)",$A$5,"Zone","BC","Spp","Pipiens")</f>
        <v>0</v>
      </c>
      <c r="H13">
        <f>GETPIVOTDATA("Test code (CSU enters)",$A$5,"Zone","BC","Spp","Tarsalis")</f>
        <v>0</v>
      </c>
      <c r="I13">
        <f>GETPIVOTDATA("Test code (CSU enters)",$A$5,"Zone","BC")</f>
        <v>0</v>
      </c>
    </row>
    <row r="14" spans="1:9">
      <c r="F14" s="65" t="s">
        <v>217</v>
      </c>
      <c r="G14" s="66">
        <f>GETPIVOTDATA("Test code (CSU enters)",$A$5,"Spp","Pipiens")</f>
        <v>3</v>
      </c>
      <c r="H14" s="66">
        <f>GETPIVOTDATA("Test code (CSU enters)",$A$5,"Spp","Tarsalis")</f>
        <v>0</v>
      </c>
      <c r="I14" s="66">
        <f>GETPIVOTDATA("Test code (CSU enters)",$A$5)</f>
        <v>3</v>
      </c>
    </row>
  </sheetData>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N25"/>
  <sheetViews>
    <sheetView workbookViewId="0">
      <selection activeCell="G7" sqref="G7"/>
    </sheetView>
  </sheetViews>
  <sheetFormatPr defaultColWidth="8.85546875" defaultRowHeight="15"/>
  <cols>
    <col min="1" max="1" width="15.85546875" customWidth="1"/>
    <col min="2" max="2" width="12.140625" customWidth="1"/>
    <col min="3" max="3" width="14.42578125" customWidth="1"/>
  </cols>
  <sheetData>
    <row r="1" spans="1:14">
      <c r="A1" s="33" t="s">
        <v>227</v>
      </c>
      <c r="B1" s="33" t="s">
        <v>228</v>
      </c>
      <c r="C1" s="33" t="s">
        <v>117</v>
      </c>
      <c r="J1" s="47" t="s">
        <v>29</v>
      </c>
      <c r="K1" s="49" t="s">
        <v>106</v>
      </c>
    </row>
    <row r="2" spans="1:14">
      <c r="A2" t="s">
        <v>52</v>
      </c>
      <c r="B2" t="s">
        <v>229</v>
      </c>
      <c r="C2" s="30">
        <v>6.9744114321531896</v>
      </c>
      <c r="H2" s="30"/>
      <c r="J2" t="s">
        <v>38</v>
      </c>
      <c r="K2" s="30">
        <v>0</v>
      </c>
      <c r="N2" s="30"/>
    </row>
    <row r="3" spans="1:14">
      <c r="A3" t="s">
        <v>52</v>
      </c>
      <c r="B3" t="s">
        <v>230</v>
      </c>
      <c r="C3" s="30">
        <v>0</v>
      </c>
      <c r="I3" s="30"/>
      <c r="J3" t="s">
        <v>54</v>
      </c>
      <c r="K3" s="30">
        <v>6.9744114321531896</v>
      </c>
      <c r="N3" s="30"/>
    </row>
    <row r="4" spans="1:14">
      <c r="A4" t="s">
        <v>44</v>
      </c>
      <c r="B4" t="s">
        <v>229</v>
      </c>
      <c r="C4" s="30">
        <v>0</v>
      </c>
      <c r="I4" s="30"/>
      <c r="J4" t="s">
        <v>67</v>
      </c>
      <c r="K4" s="30">
        <v>0</v>
      </c>
      <c r="N4" s="30"/>
    </row>
    <row r="5" spans="1:14">
      <c r="A5" t="s">
        <v>44</v>
      </c>
      <c r="B5" t="s">
        <v>230</v>
      </c>
      <c r="C5" s="30">
        <v>0</v>
      </c>
      <c r="H5" s="30"/>
      <c r="J5" t="s">
        <v>46</v>
      </c>
      <c r="K5" s="30">
        <v>0</v>
      </c>
      <c r="N5" s="30"/>
    </row>
    <row r="6" spans="1:14">
      <c r="A6" t="s">
        <v>42</v>
      </c>
      <c r="B6" t="s">
        <v>229</v>
      </c>
      <c r="C6" s="30">
        <v>0</v>
      </c>
      <c r="H6" s="30"/>
      <c r="J6" t="s">
        <v>50</v>
      </c>
      <c r="K6" s="30">
        <v>0</v>
      </c>
      <c r="N6" s="30"/>
    </row>
    <row r="7" spans="1:14">
      <c r="A7" t="s">
        <v>42</v>
      </c>
      <c r="B7" t="s">
        <v>230</v>
      </c>
      <c r="C7" s="30">
        <v>0</v>
      </c>
      <c r="H7" s="30"/>
      <c r="K7" s="30"/>
    </row>
    <row r="8" spans="1:14">
      <c r="A8" t="s">
        <v>32</v>
      </c>
      <c r="B8" t="s">
        <v>229</v>
      </c>
      <c r="C8" s="30">
        <v>0</v>
      </c>
      <c r="H8" s="30"/>
      <c r="K8" s="30"/>
    </row>
    <row r="9" spans="1:14">
      <c r="A9" t="s">
        <v>32</v>
      </c>
      <c r="B9" t="s">
        <v>230</v>
      </c>
      <c r="C9" s="30">
        <v>0</v>
      </c>
      <c r="H9" s="30"/>
      <c r="K9" s="30"/>
    </row>
    <row r="10" spans="1:14">
      <c r="H10" s="30"/>
      <c r="K10" s="30"/>
    </row>
    <row r="11" spans="1:14">
      <c r="H11" s="30"/>
      <c r="K11" s="30"/>
    </row>
    <row r="12" spans="1:14">
      <c r="H12" s="30"/>
      <c r="K12" s="30"/>
    </row>
    <row r="13" spans="1:14">
      <c r="H13" s="30"/>
      <c r="I13" s="30"/>
      <c r="K13" s="30"/>
    </row>
    <row r="14" spans="1:14">
      <c r="H14" s="30"/>
      <c r="I14" s="47"/>
      <c r="J14" s="49"/>
    </row>
    <row r="15" spans="1:14">
      <c r="H15" s="30"/>
      <c r="J15" s="30"/>
      <c r="K15" s="30"/>
    </row>
    <row r="16" spans="1:14">
      <c r="F16" s="30"/>
      <c r="G16" s="30"/>
      <c r="J16" s="30"/>
      <c r="K16" s="49"/>
    </row>
    <row r="17" spans="6:11">
      <c r="F17" s="30"/>
      <c r="G17" s="30"/>
      <c r="H17" s="49"/>
      <c r="J17" s="30"/>
      <c r="K17" s="30"/>
    </row>
    <row r="18" spans="6:11">
      <c r="F18" s="30"/>
      <c r="H18" s="30"/>
      <c r="J18" s="30"/>
      <c r="K18" s="30"/>
    </row>
    <row r="19" spans="6:11">
      <c r="F19" s="30"/>
      <c r="H19" s="30"/>
      <c r="J19" s="30"/>
      <c r="K19" s="30"/>
    </row>
    <row r="20" spans="6:11">
      <c r="H20" s="30"/>
      <c r="J20" s="30"/>
      <c r="K20" s="30"/>
    </row>
    <row r="21" spans="6:11">
      <c r="H21" s="30"/>
      <c r="J21" s="30"/>
      <c r="K21" s="30"/>
    </row>
    <row r="22" spans="6:11">
      <c r="H22" s="30"/>
      <c r="J22" s="30"/>
      <c r="K22" s="30"/>
    </row>
    <row r="23" spans="6:11">
      <c r="H23" s="30"/>
      <c r="J23" s="30"/>
    </row>
    <row r="24" spans="6:11">
      <c r="J24" s="30"/>
    </row>
    <row r="25" spans="6:11">
      <c r="J25" s="3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G11" sqref="G11"/>
    </sheetView>
  </sheetViews>
  <sheetFormatPr defaultColWidth="8.85546875" defaultRowHeight="15"/>
  <cols>
    <col min="2" max="2" width="15.7109375" customWidth="1"/>
    <col min="3" max="3" width="13.140625" customWidth="1"/>
  </cols>
  <sheetData>
    <row r="1" spans="1:12">
      <c r="A1" s="33" t="s">
        <v>231</v>
      </c>
      <c r="B1" s="33" t="s">
        <v>228</v>
      </c>
      <c r="C1" s="33" t="s">
        <v>117</v>
      </c>
      <c r="I1" s="47" t="s">
        <v>30</v>
      </c>
      <c r="J1" s="49" t="s">
        <v>106</v>
      </c>
    </row>
    <row r="2" spans="1:12">
      <c r="A2" t="s">
        <v>53</v>
      </c>
      <c r="B2" t="s">
        <v>229</v>
      </c>
      <c r="C2" s="30">
        <v>0</v>
      </c>
      <c r="G2" s="30"/>
      <c r="I2" t="s">
        <v>55</v>
      </c>
      <c r="J2" s="30">
        <v>0</v>
      </c>
    </row>
    <row r="3" spans="1:12">
      <c r="A3" t="s">
        <v>53</v>
      </c>
      <c r="B3" t="s">
        <v>230</v>
      </c>
      <c r="C3" s="30">
        <v>0</v>
      </c>
      <c r="G3" s="30"/>
      <c r="I3" t="s">
        <v>68</v>
      </c>
      <c r="J3" s="30">
        <v>0</v>
      </c>
    </row>
    <row r="4" spans="1:12">
      <c r="A4" t="s">
        <v>70</v>
      </c>
      <c r="B4" t="s">
        <v>229</v>
      </c>
      <c r="C4" s="30">
        <v>21.846593258072339</v>
      </c>
      <c r="G4" s="30"/>
      <c r="I4" t="s">
        <v>71</v>
      </c>
      <c r="J4" s="30">
        <v>21.846593258072339</v>
      </c>
    </row>
    <row r="5" spans="1:12">
      <c r="A5" t="s">
        <v>70</v>
      </c>
      <c r="B5" t="s">
        <v>230</v>
      </c>
      <c r="C5" s="30">
        <v>0</v>
      </c>
      <c r="G5" s="30"/>
      <c r="I5" t="s">
        <v>78</v>
      </c>
      <c r="J5" s="30">
        <v>0</v>
      </c>
    </row>
    <row r="6" spans="1:12">
      <c r="A6" t="s">
        <v>79</v>
      </c>
      <c r="B6" t="s">
        <v>229</v>
      </c>
      <c r="C6" s="30">
        <v>7.6629404116900153</v>
      </c>
      <c r="G6" s="30"/>
      <c r="I6" t="s">
        <v>80</v>
      </c>
      <c r="J6" s="30">
        <v>7.6629404116900153</v>
      </c>
    </row>
    <row r="7" spans="1:12">
      <c r="A7" t="s">
        <v>79</v>
      </c>
      <c r="B7" t="s">
        <v>230</v>
      </c>
      <c r="C7" s="30">
        <v>0</v>
      </c>
      <c r="G7" s="30"/>
      <c r="I7" t="s">
        <v>93</v>
      </c>
      <c r="J7" s="30">
        <v>0</v>
      </c>
    </row>
    <row r="8" spans="1:12">
      <c r="A8" t="s">
        <v>96</v>
      </c>
      <c r="B8" t="s">
        <v>229</v>
      </c>
      <c r="C8" s="30">
        <v>22.654837320616352</v>
      </c>
      <c r="G8" s="30"/>
      <c r="I8" t="s">
        <v>97</v>
      </c>
      <c r="J8" s="30">
        <v>22.654837320616352</v>
      </c>
    </row>
    <row r="9" spans="1:12">
      <c r="A9" t="s">
        <v>96</v>
      </c>
      <c r="B9" t="s">
        <v>230</v>
      </c>
      <c r="C9" s="30">
        <v>0</v>
      </c>
      <c r="G9" s="30"/>
      <c r="I9" t="s">
        <v>104</v>
      </c>
      <c r="J9" s="30">
        <v>0</v>
      </c>
      <c r="L9" s="30"/>
    </row>
    <row r="10" spans="1:12">
      <c r="I10" s="30"/>
      <c r="J10" s="30"/>
      <c r="L10" s="30"/>
    </row>
    <row r="11" spans="1:12">
      <c r="I11" s="30"/>
      <c r="J11" s="30"/>
      <c r="L11" s="30"/>
    </row>
    <row r="12" spans="1:12">
      <c r="I12" s="30"/>
      <c r="J12" s="30"/>
      <c r="L12" s="30"/>
    </row>
    <row r="13" spans="1:12">
      <c r="I13" s="30"/>
      <c r="J13" s="30"/>
      <c r="K13" s="49"/>
      <c r="L13" s="30"/>
    </row>
    <row r="14" spans="1:12">
      <c r="B14" s="30"/>
      <c r="I14" s="30"/>
      <c r="J14" s="30"/>
      <c r="K14" s="30"/>
      <c r="L14" s="30"/>
    </row>
    <row r="15" spans="1:12">
      <c r="B15" s="30"/>
      <c r="I15" s="30"/>
      <c r="J15" s="30"/>
      <c r="K15" s="30"/>
      <c r="L15" s="30"/>
    </row>
    <row r="16" spans="1:12">
      <c r="B16" s="30"/>
      <c r="I16" s="30"/>
      <c r="J16" s="30"/>
      <c r="K16" s="30"/>
      <c r="L16" s="30"/>
    </row>
    <row r="17" spans="2:12">
      <c r="B17" s="30"/>
      <c r="I17" s="30"/>
      <c r="J17" s="30"/>
      <c r="K17" s="30"/>
      <c r="L17" s="30"/>
    </row>
    <row r="18" spans="2:12">
      <c r="B18" s="30"/>
      <c r="I18" s="30"/>
      <c r="J18" s="30"/>
      <c r="K18" s="30"/>
      <c r="L18" s="30"/>
    </row>
    <row r="19" spans="2:12">
      <c r="B19" s="30"/>
      <c r="H19" s="30"/>
      <c r="I19" s="30"/>
      <c r="J19" s="30"/>
      <c r="K19" s="30"/>
      <c r="L19" s="30"/>
    </row>
    <row r="20" spans="2:12">
      <c r="B20" s="30"/>
      <c r="H20" s="30"/>
      <c r="I20" s="30"/>
      <c r="J20" s="30"/>
      <c r="K20" s="30"/>
    </row>
    <row r="21" spans="2:12">
      <c r="B21" s="30"/>
      <c r="H21" s="30"/>
      <c r="I21" s="30"/>
      <c r="J21" s="30"/>
      <c r="K21" s="30"/>
    </row>
    <row r="22" spans="2:12">
      <c r="H22" s="30"/>
      <c r="J22" s="30"/>
      <c r="K22" s="30"/>
    </row>
    <row r="23" spans="2:12">
      <c r="H23" s="30"/>
      <c r="I23" s="30"/>
      <c r="K23" s="30"/>
    </row>
    <row r="24" spans="2:12">
      <c r="H24" s="30"/>
      <c r="I24" s="30"/>
      <c r="K24" s="30"/>
    </row>
    <row r="25" spans="2:12">
      <c r="H25" s="30"/>
      <c r="I25" s="30"/>
      <c r="K25" s="30"/>
    </row>
    <row r="26" spans="2:12">
      <c r="I26" s="30"/>
      <c r="K26" s="30"/>
    </row>
    <row r="27" spans="2:12">
      <c r="I27" s="3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447FE3C8-93B2-45EB-831E-15ED3C83B6EC}">
  <ds:schemaRefs>
    <ds:schemaRef ds:uri="http://schemas.microsoft.com/sharepoint/v3/contenttype/forms"/>
  </ds:schemaRefs>
</ds:datastoreItem>
</file>

<file path=customXml/itemProps2.xml><?xml version="1.0" encoding="utf-8"?>
<ds:datastoreItem xmlns:ds="http://schemas.openxmlformats.org/officeDocument/2006/customXml" ds:itemID="{32751116-972F-4FBB-9611-07649B0589AC}"/>
</file>

<file path=customXml/itemProps3.xml><?xml version="1.0" encoding="utf-8"?>
<ds:datastoreItem xmlns:ds="http://schemas.openxmlformats.org/officeDocument/2006/customXml" ds:itemID="{25AB0F6D-8CB6-46CB-9DC6-2D07921FCE0A}">
  <ds:schemaRefs>
    <ds:schemaRef ds:uri="http://schemas.microsoft.com/office/2006/metadata/properties"/>
    <ds:schemaRef ds:uri="http://schemas.microsoft.com/office/infopath/2007/PartnerControls"/>
    <ds:schemaRef ds:uri="68f9834a-47db-4dd9-9f26-213cbb22c8a0"/>
    <ds:schemaRef ds:uri="50bf555d-2b28-452c-9b06-416f2f267a7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Weekly 009 input</vt:lpstr>
      <vt:lpstr>Total Number Of Ind</vt:lpstr>
      <vt:lpstr>Total Number Ind Examined </vt:lpstr>
      <vt:lpstr>Total Number of Pools Examined</vt:lpstr>
      <vt:lpstr>Total Number of WNV + Pools</vt:lpstr>
      <vt:lpstr>CITYINFRATE</vt:lpstr>
      <vt:lpstr>ZONEINFRATE</vt:lpstr>
      <vt:lpstr>InfRateTotal</vt:lpstr>
      <vt:lpstr>InfRateZone</vt:lpstr>
      <vt:lpstr>InfRateZO</vt:lpstr>
      <vt:lpstr>InfRateCI</vt:lpstr>
      <vt:lpstr>Graphs</vt:lpstr>
    </vt:vector>
  </TitlesOfParts>
  <Manager/>
  <Company>Hewlett-Packard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Fauver</dc:creator>
  <cp:keywords/>
  <dc:description/>
  <cp:lastModifiedBy>Williams,Landon</cp:lastModifiedBy>
  <cp:revision/>
  <dcterms:created xsi:type="dcterms:W3CDTF">2014-05-12T19:16:27Z</dcterms:created>
  <dcterms:modified xsi:type="dcterms:W3CDTF">2023-09-08T19:09:27Z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1325600</vt:r8>
  </property>
  <property fmtid="{D5CDD505-2E9C-101B-9397-08002B2CF9AE}" pid="4" name="MediaServiceImageTags">
    <vt:lpwstr/>
  </property>
</Properties>
</file>