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7.xml" ContentType="application/vnd.openxmlformats-officedocument.spreadsheetml.worksheet+xml"/>
  <Override PartName="/xl/chartsheets/sheet9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ol\My Drive\MargCostMeta\"/>
    </mc:Choice>
  </mc:AlternateContent>
  <xr:revisionPtr revIDLastSave="0" documentId="13_ncr:1_{26C95643-94D9-4594-8A37-385815770CF1}" xr6:coauthVersionLast="47" xr6:coauthVersionMax="47" xr10:uidLastSave="{00000000-0000-0000-0000-000000000000}"/>
  <bookViews>
    <workbookView xWindow="0" yWindow="1140" windowWidth="19200" windowHeight="10090" activeTab="3" xr2:uid="{00000000-000D-0000-FFFF-FFFF00000000}"/>
  </bookViews>
  <sheets>
    <sheet name="PRTP" sheetId="2" r:id="rId1"/>
    <sheet name="EIS" sheetId="3" r:id="rId2"/>
    <sheet name="Benchmark" sheetId="4" r:id="rId3"/>
    <sheet name="emulator" sheetId="1" r:id="rId4"/>
    <sheet name="emulator (2)" sheetId="17" r:id="rId5"/>
    <sheet name="Sheet1" sheetId="12" r:id="rId6"/>
    <sheet name="csvpar" sheetId="19" r:id="rId7"/>
    <sheet name="SCC-B (2)" sheetId="18" r:id="rId8"/>
    <sheet name="SCC-B" sheetId="7" r:id="rId9"/>
    <sheet name="rsB" sheetId="5" r:id="rId10"/>
    <sheet name="csvbm" sheetId="20" r:id="rId11"/>
    <sheet name="TimeAll" sheetId="15" r:id="rId12"/>
    <sheet name="TimeDrupp2" sheetId="13" r:id="rId13"/>
    <sheet name="TimeDrupp" sheetId="9" r:id="rId14"/>
    <sheet name="time" sheetId="8" r:id="rId15"/>
    <sheet name="RiskAll" sheetId="16" r:id="rId16"/>
    <sheet name="5%" sheetId="21" r:id="rId17"/>
    <sheet name="risk" sheetId="10" r:id="rId18"/>
    <sheet name="comparison" sheetId="22" r:id="rId19"/>
  </sheets>
  <externalReferences>
    <externalReference r:id="rId20"/>
    <externalReference r:id="rId21"/>
    <externalReference r:id="rId2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1" i="1" l="1"/>
  <c r="S41" i="1"/>
  <c r="Q41" i="1"/>
  <c r="O41" i="1"/>
  <c r="M41" i="1"/>
  <c r="K41" i="1"/>
  <c r="I41" i="1"/>
  <c r="G41" i="1"/>
  <c r="E41" i="1"/>
  <c r="C41" i="1"/>
  <c r="U30" i="1"/>
  <c r="S30" i="1"/>
  <c r="Q30" i="1"/>
  <c r="O30" i="1"/>
  <c r="M30" i="1"/>
  <c r="K30" i="1"/>
  <c r="I30" i="1"/>
  <c r="G30" i="1"/>
  <c r="E30" i="1"/>
  <c r="C30" i="1"/>
  <c r="U39" i="1"/>
  <c r="S39" i="1"/>
  <c r="Q39" i="1"/>
  <c r="O39" i="1"/>
  <c r="M39" i="1"/>
  <c r="K39" i="1"/>
  <c r="I39" i="1"/>
  <c r="G39" i="1"/>
  <c r="E39" i="1"/>
  <c r="C39" i="1"/>
  <c r="U28" i="1"/>
  <c r="S28" i="1"/>
  <c r="Q28" i="1"/>
  <c r="O28" i="1"/>
  <c r="M28" i="1"/>
  <c r="K28" i="1"/>
  <c r="I28" i="1"/>
  <c r="G28" i="1"/>
  <c r="E28" i="1"/>
  <c r="C28" i="1"/>
  <c r="U37" i="1"/>
  <c r="S37" i="1"/>
  <c r="Q37" i="1"/>
  <c r="O37" i="1"/>
  <c r="M37" i="1"/>
  <c r="K37" i="1"/>
  <c r="I37" i="1"/>
  <c r="G37" i="1"/>
  <c r="E37" i="1"/>
  <c r="C37" i="1"/>
  <c r="U26" i="1"/>
  <c r="S26" i="1"/>
  <c r="Q26" i="1"/>
  <c r="O26" i="1"/>
  <c r="M26" i="1"/>
  <c r="K26" i="1"/>
  <c r="I26" i="1"/>
  <c r="G26" i="1"/>
  <c r="E26" i="1"/>
  <c r="C26" i="1"/>
  <c r="U35" i="1"/>
  <c r="S35" i="1"/>
  <c r="Q35" i="1"/>
  <c r="O35" i="1"/>
  <c r="M35" i="1"/>
  <c r="K35" i="1"/>
  <c r="I35" i="1"/>
  <c r="G35" i="1"/>
  <c r="E35" i="1"/>
  <c r="C35" i="1"/>
  <c r="U24" i="1"/>
  <c r="S24" i="1"/>
  <c r="Q24" i="1"/>
  <c r="O24" i="1"/>
  <c r="M24" i="1"/>
  <c r="K24" i="1"/>
  <c r="I24" i="1"/>
  <c r="G24" i="1"/>
  <c r="E24" i="1"/>
  <c r="C24" i="1"/>
  <c r="U33" i="1"/>
  <c r="S33" i="1"/>
  <c r="Q33" i="1"/>
  <c r="O33" i="1"/>
  <c r="M33" i="1"/>
  <c r="K33" i="1"/>
  <c r="I33" i="1"/>
  <c r="G33" i="1"/>
  <c r="E33" i="1"/>
  <c r="C33" i="1"/>
  <c r="U22" i="1"/>
  <c r="S22" i="1"/>
  <c r="Q22" i="1"/>
  <c r="O22" i="1"/>
  <c r="M22" i="1"/>
  <c r="K22" i="1"/>
  <c r="I22" i="1"/>
  <c r="G22" i="1"/>
  <c r="E22" i="1"/>
  <c r="C22" i="1"/>
  <c r="U42" i="1"/>
  <c r="S42" i="1"/>
  <c r="Q42" i="1"/>
  <c r="O42" i="1"/>
  <c r="M42" i="1"/>
  <c r="K42" i="1"/>
  <c r="I42" i="1"/>
  <c r="G42" i="1"/>
  <c r="E42" i="1"/>
  <c r="C42" i="1"/>
  <c r="U31" i="1"/>
  <c r="S31" i="1"/>
  <c r="Q31" i="1"/>
  <c r="O31" i="1"/>
  <c r="M31" i="1"/>
  <c r="K31" i="1"/>
  <c r="I31" i="1"/>
  <c r="G31" i="1"/>
  <c r="E31" i="1"/>
  <c r="C31" i="1"/>
  <c r="U40" i="1"/>
  <c r="S40" i="1"/>
  <c r="Q40" i="1"/>
  <c r="O40" i="1"/>
  <c r="M40" i="1"/>
  <c r="K40" i="1"/>
  <c r="I40" i="1"/>
  <c r="G40" i="1"/>
  <c r="E40" i="1"/>
  <c r="C40" i="1"/>
  <c r="U29" i="1"/>
  <c r="S29" i="1"/>
  <c r="Q29" i="1"/>
  <c r="O29" i="1"/>
  <c r="M29" i="1"/>
  <c r="K29" i="1"/>
  <c r="I29" i="1"/>
  <c r="G29" i="1"/>
  <c r="E29" i="1"/>
  <c r="C29" i="1"/>
  <c r="U38" i="1"/>
  <c r="S38" i="1"/>
  <c r="Q38" i="1"/>
  <c r="O38" i="1"/>
  <c r="M38" i="1"/>
  <c r="K38" i="1"/>
  <c r="I38" i="1"/>
  <c r="G38" i="1"/>
  <c r="E38" i="1"/>
  <c r="C38" i="1"/>
  <c r="U27" i="1"/>
  <c r="S27" i="1"/>
  <c r="Q27" i="1"/>
  <c r="O27" i="1"/>
  <c r="M27" i="1"/>
  <c r="K27" i="1"/>
  <c r="I27" i="1"/>
  <c r="G27" i="1"/>
  <c r="E27" i="1"/>
  <c r="C27" i="1"/>
  <c r="U36" i="1"/>
  <c r="S36" i="1"/>
  <c r="Q36" i="1"/>
  <c r="O36" i="1"/>
  <c r="M36" i="1"/>
  <c r="K36" i="1"/>
  <c r="I36" i="1"/>
  <c r="G36" i="1"/>
  <c r="E36" i="1"/>
  <c r="C36" i="1"/>
  <c r="U25" i="1"/>
  <c r="S25" i="1"/>
  <c r="Q25" i="1"/>
  <c r="O25" i="1"/>
  <c r="M25" i="1"/>
  <c r="K25" i="1"/>
  <c r="I25" i="1"/>
  <c r="G25" i="1"/>
  <c r="E25" i="1"/>
  <c r="C25" i="1"/>
  <c r="U34" i="1"/>
  <c r="S34" i="1"/>
  <c r="Q34" i="1"/>
  <c r="O34" i="1"/>
  <c r="M34" i="1"/>
  <c r="K34" i="1"/>
  <c r="I34" i="1"/>
  <c r="G34" i="1"/>
  <c r="E34" i="1"/>
  <c r="C34" i="1"/>
  <c r="U23" i="1"/>
  <c r="S23" i="1"/>
  <c r="Q23" i="1"/>
  <c r="O23" i="1"/>
  <c r="M23" i="1"/>
  <c r="K23" i="1"/>
  <c r="I23" i="1"/>
  <c r="G23" i="1"/>
  <c r="E23" i="1"/>
  <c r="C23" i="1"/>
  <c r="C1" i="22"/>
  <c r="D1" i="22" s="1"/>
  <c r="E1" i="22" s="1"/>
  <c r="F1" i="22" s="1"/>
  <c r="G1" i="22" s="1"/>
  <c r="H1" i="22" s="1"/>
  <c r="I1" i="22" s="1"/>
  <c r="J1" i="22" s="1"/>
  <c r="K1" i="22" s="1"/>
  <c r="L1" i="22" s="1"/>
  <c r="M1" i="22" s="1"/>
  <c r="N1" i="22" s="1"/>
  <c r="O1" i="22" s="1"/>
  <c r="P1" i="22" s="1"/>
  <c r="Q1" i="22" s="1"/>
  <c r="R1" i="22" s="1"/>
  <c r="S1" i="22" s="1"/>
  <c r="T1" i="22" s="1"/>
  <c r="T22" i="21" l="1"/>
  <c r="T44" i="21" s="1"/>
  <c r="S22" i="21"/>
  <c r="S44" i="21" s="1"/>
  <c r="R22" i="21"/>
  <c r="R44" i="21" s="1"/>
  <c r="Q22" i="21"/>
  <c r="Q44" i="21" s="1"/>
  <c r="P22" i="21"/>
  <c r="P44" i="21" s="1"/>
  <c r="O22" i="21"/>
  <c r="O44" i="21" s="1"/>
  <c r="N22" i="21"/>
  <c r="N44" i="21" s="1"/>
  <c r="M22" i="21"/>
  <c r="M44" i="21" s="1"/>
  <c r="L22" i="21"/>
  <c r="L44" i="21" s="1"/>
  <c r="K22" i="21"/>
  <c r="K44" i="21" s="1"/>
  <c r="J22" i="21"/>
  <c r="J44" i="21" s="1"/>
  <c r="I22" i="21"/>
  <c r="I44" i="21" s="1"/>
  <c r="H22" i="21"/>
  <c r="H44" i="21" s="1"/>
  <c r="G22" i="21"/>
  <c r="G44" i="21" s="1"/>
  <c r="F22" i="21"/>
  <c r="F44" i="21" s="1"/>
  <c r="E22" i="21"/>
  <c r="D22" i="21"/>
  <c r="D44" i="21" s="1"/>
  <c r="C22" i="21"/>
  <c r="B22" i="21"/>
  <c r="B44" i="21" s="1"/>
  <c r="T21" i="21"/>
  <c r="T43" i="21" s="1"/>
  <c r="S21" i="21"/>
  <c r="S43" i="21" s="1"/>
  <c r="R21" i="21"/>
  <c r="R43" i="21" s="1"/>
  <c r="Q21" i="21"/>
  <c r="Q43" i="21" s="1"/>
  <c r="P21" i="21"/>
  <c r="P43" i="21" s="1"/>
  <c r="O21" i="21"/>
  <c r="O43" i="21" s="1"/>
  <c r="N21" i="21"/>
  <c r="N43" i="21" s="1"/>
  <c r="M21" i="21"/>
  <c r="M43" i="21" s="1"/>
  <c r="L21" i="21"/>
  <c r="L43" i="21" s="1"/>
  <c r="K21" i="21"/>
  <c r="K43" i="21" s="1"/>
  <c r="J21" i="21"/>
  <c r="J43" i="21" s="1"/>
  <c r="I21" i="21"/>
  <c r="I43" i="21" s="1"/>
  <c r="H21" i="21"/>
  <c r="H43" i="21" s="1"/>
  <c r="G21" i="21"/>
  <c r="G43" i="21" s="1"/>
  <c r="F21" i="21"/>
  <c r="F43" i="21" s="1"/>
  <c r="E21" i="21"/>
  <c r="E43" i="21" s="1"/>
  <c r="D21" i="21"/>
  <c r="D43" i="21" s="1"/>
  <c r="C21" i="21"/>
  <c r="C43" i="21" s="1"/>
  <c r="B21" i="21"/>
  <c r="B43" i="21" s="1"/>
  <c r="T20" i="21"/>
  <c r="T42" i="21" s="1"/>
  <c r="S20" i="21"/>
  <c r="S42" i="21" s="1"/>
  <c r="R20" i="21"/>
  <c r="R42" i="21" s="1"/>
  <c r="Q20" i="21"/>
  <c r="Q42" i="21" s="1"/>
  <c r="P20" i="21"/>
  <c r="P42" i="21" s="1"/>
  <c r="O20" i="21"/>
  <c r="O42" i="21" s="1"/>
  <c r="N20" i="21"/>
  <c r="N42" i="21" s="1"/>
  <c r="M20" i="21"/>
  <c r="M42" i="21" s="1"/>
  <c r="L20" i="21"/>
  <c r="L42" i="21" s="1"/>
  <c r="K20" i="21"/>
  <c r="K42" i="21" s="1"/>
  <c r="J20" i="21"/>
  <c r="J42" i="21" s="1"/>
  <c r="I20" i="21"/>
  <c r="I42" i="21" s="1"/>
  <c r="H20" i="21"/>
  <c r="H42" i="21" s="1"/>
  <c r="G20" i="21"/>
  <c r="G42" i="21" s="1"/>
  <c r="F20" i="21"/>
  <c r="F42" i="21" s="1"/>
  <c r="E20" i="21"/>
  <c r="E42" i="21" s="1"/>
  <c r="D20" i="21"/>
  <c r="D42" i="21" s="1"/>
  <c r="C20" i="21"/>
  <c r="C42" i="21" s="1"/>
  <c r="B20" i="21"/>
  <c r="B42" i="21" s="1"/>
  <c r="T19" i="21"/>
  <c r="T41" i="21" s="1"/>
  <c r="S19" i="21"/>
  <c r="S41" i="21" s="1"/>
  <c r="R19" i="21"/>
  <c r="R41" i="21" s="1"/>
  <c r="Q19" i="21"/>
  <c r="Q41" i="21" s="1"/>
  <c r="P19" i="21"/>
  <c r="P41" i="21" s="1"/>
  <c r="O19" i="21"/>
  <c r="O41" i="21" s="1"/>
  <c r="N19" i="21"/>
  <c r="N41" i="21" s="1"/>
  <c r="M19" i="21"/>
  <c r="M41" i="21" s="1"/>
  <c r="L19" i="21"/>
  <c r="L41" i="21" s="1"/>
  <c r="K19" i="21"/>
  <c r="K41" i="21" s="1"/>
  <c r="J19" i="21"/>
  <c r="J41" i="21" s="1"/>
  <c r="I19" i="21"/>
  <c r="I41" i="21" s="1"/>
  <c r="H19" i="21"/>
  <c r="H41" i="21" s="1"/>
  <c r="G19" i="21"/>
  <c r="G41" i="21" s="1"/>
  <c r="F19" i="21"/>
  <c r="F41" i="21" s="1"/>
  <c r="E19" i="21"/>
  <c r="E41" i="21" s="1"/>
  <c r="D19" i="21"/>
  <c r="D41" i="21" s="1"/>
  <c r="C19" i="21"/>
  <c r="C41" i="21" s="1"/>
  <c r="B19" i="21"/>
  <c r="B41" i="21" s="1"/>
  <c r="T18" i="21"/>
  <c r="T40" i="21" s="1"/>
  <c r="S18" i="21"/>
  <c r="S40" i="21" s="1"/>
  <c r="R18" i="21"/>
  <c r="R40" i="21" s="1"/>
  <c r="Q18" i="21"/>
  <c r="Q40" i="21" s="1"/>
  <c r="P18" i="21"/>
  <c r="P40" i="21" s="1"/>
  <c r="O18" i="21"/>
  <c r="O40" i="21" s="1"/>
  <c r="N18" i="21"/>
  <c r="N40" i="21" s="1"/>
  <c r="M18" i="21"/>
  <c r="M40" i="21" s="1"/>
  <c r="L18" i="21"/>
  <c r="L40" i="21" s="1"/>
  <c r="K18" i="21"/>
  <c r="J18" i="21"/>
  <c r="J40" i="21" s="1"/>
  <c r="I18" i="21"/>
  <c r="I40" i="21" s="1"/>
  <c r="H18" i="21"/>
  <c r="H40" i="21" s="1"/>
  <c r="G18" i="21"/>
  <c r="G40" i="21" s="1"/>
  <c r="F18" i="21"/>
  <c r="F40" i="21" s="1"/>
  <c r="E18" i="21"/>
  <c r="E40" i="21" s="1"/>
  <c r="D18" i="21"/>
  <c r="D40" i="21" s="1"/>
  <c r="C18" i="21"/>
  <c r="C40" i="21" s="1"/>
  <c r="B18" i="21"/>
  <c r="B40" i="21" s="1"/>
  <c r="T17" i="21"/>
  <c r="T39" i="21" s="1"/>
  <c r="S17" i="21"/>
  <c r="S39" i="21" s="1"/>
  <c r="R17" i="21"/>
  <c r="R39" i="21" s="1"/>
  <c r="Q17" i="21"/>
  <c r="Q39" i="21" s="1"/>
  <c r="P17" i="21"/>
  <c r="P39" i="21" s="1"/>
  <c r="O17" i="21"/>
  <c r="O39" i="21" s="1"/>
  <c r="N17" i="21"/>
  <c r="N39" i="21" s="1"/>
  <c r="M17" i="21"/>
  <c r="M39" i="21" s="1"/>
  <c r="L17" i="21"/>
  <c r="L39" i="21" s="1"/>
  <c r="K17" i="21"/>
  <c r="K39" i="21" s="1"/>
  <c r="J17" i="21"/>
  <c r="J39" i="21" s="1"/>
  <c r="I17" i="21"/>
  <c r="I39" i="21" s="1"/>
  <c r="H17" i="21"/>
  <c r="H39" i="21" s="1"/>
  <c r="G17" i="21"/>
  <c r="G39" i="21" s="1"/>
  <c r="F17" i="21"/>
  <c r="F39" i="21" s="1"/>
  <c r="E17" i="21"/>
  <c r="E39" i="21" s="1"/>
  <c r="D17" i="21"/>
  <c r="D39" i="21" s="1"/>
  <c r="C17" i="21"/>
  <c r="C39" i="21" s="1"/>
  <c r="B17" i="21"/>
  <c r="B39" i="21" s="1"/>
  <c r="T16" i="21"/>
  <c r="T38" i="21" s="1"/>
  <c r="S16" i="21"/>
  <c r="S38" i="21" s="1"/>
  <c r="R16" i="21"/>
  <c r="R38" i="21" s="1"/>
  <c r="Q16" i="21"/>
  <c r="Q38" i="21" s="1"/>
  <c r="P16" i="21"/>
  <c r="P38" i="21" s="1"/>
  <c r="O16" i="21"/>
  <c r="O38" i="21" s="1"/>
  <c r="N16" i="21"/>
  <c r="N38" i="21" s="1"/>
  <c r="M16" i="21"/>
  <c r="M38" i="21" s="1"/>
  <c r="L16" i="21"/>
  <c r="L38" i="21" s="1"/>
  <c r="K16" i="21"/>
  <c r="K38" i="21" s="1"/>
  <c r="J16" i="21"/>
  <c r="J38" i="21" s="1"/>
  <c r="I16" i="21"/>
  <c r="I38" i="21" s="1"/>
  <c r="H16" i="21"/>
  <c r="H38" i="21" s="1"/>
  <c r="G16" i="21"/>
  <c r="G38" i="21" s="1"/>
  <c r="F16" i="21"/>
  <c r="F38" i="21" s="1"/>
  <c r="E16" i="21"/>
  <c r="E38" i="21" s="1"/>
  <c r="D16" i="21"/>
  <c r="D38" i="21" s="1"/>
  <c r="C16" i="21"/>
  <c r="B16" i="21"/>
  <c r="B38" i="21" s="1"/>
  <c r="T15" i="21"/>
  <c r="T37" i="21" s="1"/>
  <c r="S15" i="21"/>
  <c r="S37" i="21" s="1"/>
  <c r="R15" i="21"/>
  <c r="R37" i="21" s="1"/>
  <c r="Q15" i="21"/>
  <c r="Q37" i="21" s="1"/>
  <c r="P15" i="21"/>
  <c r="P37" i="21" s="1"/>
  <c r="O15" i="21"/>
  <c r="O37" i="21" s="1"/>
  <c r="N15" i="21"/>
  <c r="M15" i="21"/>
  <c r="M37" i="21" s="1"/>
  <c r="L15" i="21"/>
  <c r="K15" i="21"/>
  <c r="K37" i="21" s="1"/>
  <c r="J15" i="21"/>
  <c r="J37" i="21" s="1"/>
  <c r="I15" i="21"/>
  <c r="I37" i="21" s="1"/>
  <c r="H15" i="21"/>
  <c r="H37" i="21" s="1"/>
  <c r="G15" i="21"/>
  <c r="G37" i="21" s="1"/>
  <c r="F15" i="21"/>
  <c r="F37" i="21" s="1"/>
  <c r="E15" i="21"/>
  <c r="E37" i="21" s="1"/>
  <c r="D15" i="21"/>
  <c r="D37" i="21" s="1"/>
  <c r="C15" i="21"/>
  <c r="C37" i="21" s="1"/>
  <c r="B15" i="21"/>
  <c r="B37" i="21" s="1"/>
  <c r="T14" i="21"/>
  <c r="T36" i="21" s="1"/>
  <c r="S14" i="21"/>
  <c r="S36" i="21" s="1"/>
  <c r="R14" i="21"/>
  <c r="R36" i="21" s="1"/>
  <c r="Q14" i="21"/>
  <c r="Q36" i="21" s="1"/>
  <c r="P14" i="21"/>
  <c r="P36" i="21" s="1"/>
  <c r="O14" i="21"/>
  <c r="O36" i="21" s="1"/>
  <c r="N14" i="21"/>
  <c r="N36" i="21" s="1"/>
  <c r="M14" i="21"/>
  <c r="L14" i="21"/>
  <c r="L36" i="21" s="1"/>
  <c r="K14" i="21"/>
  <c r="K36" i="21" s="1"/>
  <c r="J14" i="21"/>
  <c r="J36" i="21" s="1"/>
  <c r="I14" i="21"/>
  <c r="I36" i="21" s="1"/>
  <c r="H14" i="21"/>
  <c r="H36" i="21" s="1"/>
  <c r="G14" i="21"/>
  <c r="G36" i="21" s="1"/>
  <c r="F14" i="21"/>
  <c r="F36" i="21" s="1"/>
  <c r="E14" i="21"/>
  <c r="E36" i="21" s="1"/>
  <c r="D14" i="21"/>
  <c r="D36" i="21" s="1"/>
  <c r="C14" i="21"/>
  <c r="C36" i="21" s="1"/>
  <c r="B14" i="21"/>
  <c r="B36" i="21" s="1"/>
  <c r="T13" i="21"/>
  <c r="T35" i="21" s="1"/>
  <c r="S13" i="21"/>
  <c r="S35" i="21" s="1"/>
  <c r="R13" i="21"/>
  <c r="R35" i="21" s="1"/>
  <c r="Q13" i="21"/>
  <c r="Q35" i="21" s="1"/>
  <c r="P13" i="21"/>
  <c r="P35" i="21" s="1"/>
  <c r="O13" i="21"/>
  <c r="O35" i="21" s="1"/>
  <c r="N13" i="21"/>
  <c r="N35" i="21" s="1"/>
  <c r="M13" i="21"/>
  <c r="M35" i="21" s="1"/>
  <c r="L13" i="21"/>
  <c r="L35" i="21" s="1"/>
  <c r="K13" i="21"/>
  <c r="K35" i="21" s="1"/>
  <c r="J13" i="21"/>
  <c r="I13" i="21"/>
  <c r="I35" i="21" s="1"/>
  <c r="H13" i="21"/>
  <c r="H35" i="21" s="1"/>
  <c r="G13" i="21"/>
  <c r="G35" i="21" s="1"/>
  <c r="F13" i="21"/>
  <c r="F35" i="21" s="1"/>
  <c r="E13" i="21"/>
  <c r="D13" i="21"/>
  <c r="D35" i="21" s="1"/>
  <c r="C13" i="21"/>
  <c r="C35" i="21" s="1"/>
  <c r="B13" i="21"/>
  <c r="B35" i="21" s="1"/>
  <c r="T12" i="21"/>
  <c r="T34" i="21" s="1"/>
  <c r="S12" i="21"/>
  <c r="S34" i="21" s="1"/>
  <c r="R12" i="21"/>
  <c r="R34" i="21" s="1"/>
  <c r="Q12" i="21"/>
  <c r="Q34" i="21" s="1"/>
  <c r="P12" i="21"/>
  <c r="P34" i="21" s="1"/>
  <c r="O12" i="21"/>
  <c r="O34" i="21" s="1"/>
  <c r="N12" i="21"/>
  <c r="M12" i="21"/>
  <c r="M34" i="21" s="1"/>
  <c r="L12" i="21"/>
  <c r="K12" i="21"/>
  <c r="K34" i="21" s="1"/>
  <c r="J12" i="21"/>
  <c r="J34" i="21" s="1"/>
  <c r="I12" i="21"/>
  <c r="H12" i="21"/>
  <c r="G12" i="21"/>
  <c r="G34" i="21" s="1"/>
  <c r="F12" i="21"/>
  <c r="E12" i="21"/>
  <c r="E34" i="21" s="1"/>
  <c r="D12" i="21"/>
  <c r="C12" i="21"/>
  <c r="B12" i="21"/>
  <c r="T11" i="21"/>
  <c r="T33" i="21" s="1"/>
  <c r="S11" i="21"/>
  <c r="S33" i="21" s="1"/>
  <c r="R11" i="21"/>
  <c r="R33" i="21" s="1"/>
  <c r="Q11" i="21"/>
  <c r="Q33" i="21" s="1"/>
  <c r="P11" i="21"/>
  <c r="P33" i="21" s="1"/>
  <c r="O11" i="21"/>
  <c r="O33" i="21" s="1"/>
  <c r="N11" i="21"/>
  <c r="N33" i="21" s="1"/>
  <c r="M11" i="21"/>
  <c r="M33" i="21" s="1"/>
  <c r="L11" i="21"/>
  <c r="K11" i="21"/>
  <c r="J11" i="21"/>
  <c r="I11" i="21"/>
  <c r="I33" i="21" s="1"/>
  <c r="H11" i="21"/>
  <c r="H33" i="21" s="1"/>
  <c r="G11" i="21"/>
  <c r="G33" i="21" s="1"/>
  <c r="F11" i="21"/>
  <c r="F33" i="21" s="1"/>
  <c r="E11" i="21"/>
  <c r="E33" i="21" s="1"/>
  <c r="D11" i="21"/>
  <c r="C11" i="21"/>
  <c r="B11" i="21"/>
  <c r="B33" i="21" s="1"/>
  <c r="T10" i="21"/>
  <c r="T32" i="21" s="1"/>
  <c r="S10" i="21"/>
  <c r="S32" i="21" s="1"/>
  <c r="R10" i="21"/>
  <c r="Q10" i="21"/>
  <c r="Q32" i="21" s="1"/>
  <c r="P10" i="21"/>
  <c r="P32" i="21" s="1"/>
  <c r="O10" i="21"/>
  <c r="O32" i="21" s="1"/>
  <c r="N10" i="21"/>
  <c r="M10" i="21"/>
  <c r="M32" i="21" s="1"/>
  <c r="L10" i="21"/>
  <c r="K10" i="21"/>
  <c r="J10" i="21"/>
  <c r="I10" i="21"/>
  <c r="H10" i="21"/>
  <c r="G10" i="21"/>
  <c r="F10" i="21"/>
  <c r="E10" i="21"/>
  <c r="D10" i="21"/>
  <c r="C10" i="21"/>
  <c r="B10" i="21"/>
  <c r="T9" i="21"/>
  <c r="T31" i="21" s="1"/>
  <c r="S9" i="21"/>
  <c r="S31" i="21" s="1"/>
  <c r="R9" i="21"/>
  <c r="R31" i="21" s="1"/>
  <c r="Q9" i="21"/>
  <c r="Q31" i="21" s="1"/>
  <c r="P9" i="21"/>
  <c r="P31" i="21" s="1"/>
  <c r="O9" i="21"/>
  <c r="O31" i="21" s="1"/>
  <c r="N9" i="21"/>
  <c r="N31" i="21" s="1"/>
  <c r="M9" i="21"/>
  <c r="L9" i="21"/>
  <c r="K9" i="21"/>
  <c r="J9" i="21"/>
  <c r="I9" i="21"/>
  <c r="I31" i="21" s="1"/>
  <c r="H9" i="21"/>
  <c r="G9" i="21"/>
  <c r="F9" i="21"/>
  <c r="F31" i="21" s="1"/>
  <c r="E9" i="21"/>
  <c r="D9" i="21"/>
  <c r="D31" i="21" s="1"/>
  <c r="C9" i="21"/>
  <c r="B9" i="21"/>
  <c r="B31" i="21" s="1"/>
  <c r="T8" i="21"/>
  <c r="T30" i="21" s="1"/>
  <c r="S8" i="21"/>
  <c r="S30" i="21" s="1"/>
  <c r="R8" i="21"/>
  <c r="R30" i="21" s="1"/>
  <c r="Q8" i="21"/>
  <c r="Q30" i="21" s="1"/>
  <c r="P8" i="21"/>
  <c r="P30" i="21" s="1"/>
  <c r="O8" i="21"/>
  <c r="O30" i="21" s="1"/>
  <c r="N8" i="21"/>
  <c r="M8" i="21"/>
  <c r="M30" i="21" s="1"/>
  <c r="L8" i="21"/>
  <c r="K8" i="21"/>
  <c r="K30" i="21" s="1"/>
  <c r="J8" i="21"/>
  <c r="I8" i="21"/>
  <c r="H8" i="21"/>
  <c r="G8" i="21"/>
  <c r="F8" i="21"/>
  <c r="E8" i="21"/>
  <c r="D8" i="21"/>
  <c r="C8" i="21"/>
  <c r="B8" i="21"/>
  <c r="T7" i="21"/>
  <c r="T29" i="21" s="1"/>
  <c r="S7" i="21"/>
  <c r="S29" i="21" s="1"/>
  <c r="R7" i="21"/>
  <c r="R29" i="21" s="1"/>
  <c r="Q7" i="21"/>
  <c r="Q29" i="21" s="1"/>
  <c r="P7" i="21"/>
  <c r="O7" i="21"/>
  <c r="O29" i="21" s="1"/>
  <c r="N7" i="21"/>
  <c r="N29" i="21" s="1"/>
  <c r="M7" i="21"/>
  <c r="M29" i="21" s="1"/>
  <c r="L7" i="21"/>
  <c r="K7" i="21"/>
  <c r="J7" i="21"/>
  <c r="I7" i="21"/>
  <c r="H7" i="21"/>
  <c r="G7" i="21"/>
  <c r="F7" i="21"/>
  <c r="E7" i="21"/>
  <c r="D7" i="21"/>
  <c r="C7" i="21"/>
  <c r="B7" i="21"/>
  <c r="T6" i="21"/>
  <c r="T28" i="21" s="1"/>
  <c r="S6" i="21"/>
  <c r="S28" i="21" s="1"/>
  <c r="R6" i="21"/>
  <c r="Q6" i="21"/>
  <c r="Q28" i="21" s="1"/>
  <c r="P6" i="21"/>
  <c r="O6" i="21"/>
  <c r="O28" i="21" s="1"/>
  <c r="N6" i="21"/>
  <c r="M6" i="21"/>
  <c r="M28" i="21" s="1"/>
  <c r="L6" i="21"/>
  <c r="K6" i="21"/>
  <c r="J6" i="21"/>
  <c r="I6" i="21"/>
  <c r="H6" i="21"/>
  <c r="G6" i="21"/>
  <c r="F6" i="21"/>
  <c r="E6" i="21"/>
  <c r="D6" i="21"/>
  <c r="C6" i="21"/>
  <c r="B6" i="21"/>
  <c r="T5" i="21"/>
  <c r="T27" i="21" s="1"/>
  <c r="S5" i="21"/>
  <c r="S27" i="21" s="1"/>
  <c r="R5" i="21"/>
  <c r="Q5" i="21"/>
  <c r="Q27" i="21" s="1"/>
  <c r="P5" i="21"/>
  <c r="O5" i="21"/>
  <c r="O27" i="21" s="1"/>
  <c r="N5" i="21"/>
  <c r="N27" i="21" s="1"/>
  <c r="M5" i="21"/>
  <c r="M27" i="21" s="1"/>
  <c r="L5" i="21"/>
  <c r="K5" i="21"/>
  <c r="J5" i="21"/>
  <c r="I5" i="21"/>
  <c r="H5" i="21"/>
  <c r="G5" i="21"/>
  <c r="F5" i="21"/>
  <c r="E5" i="21"/>
  <c r="D5" i="21"/>
  <c r="C5" i="21"/>
  <c r="B5" i="21"/>
  <c r="T4" i="21"/>
  <c r="T26" i="21" s="1"/>
  <c r="S4" i="21"/>
  <c r="S26" i="21" s="1"/>
  <c r="R4" i="21"/>
  <c r="Q4" i="21"/>
  <c r="P4" i="21"/>
  <c r="O4" i="21"/>
  <c r="O26" i="21" s="1"/>
  <c r="N4" i="21"/>
  <c r="M4" i="21"/>
  <c r="M26" i="21" s="1"/>
  <c r="L4" i="21"/>
  <c r="K4" i="21"/>
  <c r="J4" i="21"/>
  <c r="I4" i="21"/>
  <c r="H4" i="21"/>
  <c r="G4" i="21"/>
  <c r="F4" i="21"/>
  <c r="E4" i="21"/>
  <c r="D4" i="21"/>
  <c r="C4" i="21"/>
  <c r="B4" i="21"/>
  <c r="T3" i="21"/>
  <c r="T25" i="21" s="1"/>
  <c r="S3" i="21"/>
  <c r="S25" i="21" s="1"/>
  <c r="R3" i="21"/>
  <c r="Q3" i="21"/>
  <c r="Q25" i="21" s="1"/>
  <c r="P3" i="21"/>
  <c r="P25" i="21" s="1"/>
  <c r="O3" i="21"/>
  <c r="O25" i="21" s="1"/>
  <c r="N3" i="21"/>
  <c r="M3" i="21"/>
  <c r="M25" i="21" s="1"/>
  <c r="L3" i="21"/>
  <c r="K3" i="21"/>
  <c r="J3" i="21"/>
  <c r="I3" i="21"/>
  <c r="H3" i="21"/>
  <c r="G3" i="21"/>
  <c r="F3" i="21"/>
  <c r="E3" i="21"/>
  <c r="D3" i="21"/>
  <c r="C3" i="21"/>
  <c r="B3" i="21"/>
  <c r="T2" i="21"/>
  <c r="T24" i="21" s="1"/>
  <c r="S2" i="21"/>
  <c r="S24" i="21" s="1"/>
  <c r="R2" i="21"/>
  <c r="Q2" i="21"/>
  <c r="Q24" i="21" s="1"/>
  <c r="P2" i="21"/>
  <c r="P24" i="21" s="1"/>
  <c r="O2" i="21"/>
  <c r="O24" i="21" s="1"/>
  <c r="N2" i="21"/>
  <c r="M2" i="21"/>
  <c r="M24" i="21" s="1"/>
  <c r="L2" i="21"/>
  <c r="K2" i="21"/>
  <c r="J2" i="21"/>
  <c r="I2" i="21"/>
  <c r="H2" i="21"/>
  <c r="G2" i="21"/>
  <c r="F2" i="21"/>
  <c r="E2" i="21"/>
  <c r="D2" i="21"/>
  <c r="C2" i="21"/>
  <c r="B2" i="21"/>
  <c r="A3" i="21"/>
  <c r="A4" i="21" s="1"/>
  <c r="A5" i="21" l="1"/>
  <c r="A6" i="21" l="1"/>
  <c r="A7" i="21" l="1"/>
  <c r="A8" i="21" l="1"/>
  <c r="A9" i="21" l="1"/>
  <c r="A10" i="21" l="1"/>
  <c r="A11" i="21" l="1"/>
  <c r="A12" i="21" l="1"/>
  <c r="A13" i="21" l="1"/>
  <c r="A14" i="21" l="1"/>
  <c r="A15" i="21" l="1"/>
  <c r="A16" i="21" l="1"/>
  <c r="A17" i="21" l="1"/>
  <c r="A18" i="21" l="1"/>
  <c r="A19" i="21" l="1"/>
  <c r="A20" i="21" l="1"/>
  <c r="A21" i="21" l="1"/>
  <c r="A22" i="21" l="1"/>
  <c r="A26" i="20" l="1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1" i="20"/>
  <c r="A60" i="19"/>
  <c r="A57" i="19"/>
  <c r="A54" i="19"/>
  <c r="A51" i="19"/>
  <c r="A48" i="19"/>
  <c r="A45" i="19"/>
  <c r="A42" i="19"/>
  <c r="A39" i="19"/>
  <c r="A36" i="19"/>
  <c r="A33" i="19"/>
  <c r="A30" i="19"/>
  <c r="A27" i="19"/>
  <c r="A24" i="19"/>
  <c r="A21" i="19"/>
  <c r="A18" i="19"/>
  <c r="A15" i="19"/>
  <c r="A12" i="19"/>
  <c r="A9" i="19"/>
  <c r="A6" i="19"/>
  <c r="A59" i="19"/>
  <c r="A56" i="19"/>
  <c r="A53" i="19"/>
  <c r="A50" i="19"/>
  <c r="A47" i="19"/>
  <c r="A44" i="19"/>
  <c r="A41" i="19"/>
  <c r="A38" i="19"/>
  <c r="A35" i="19"/>
  <c r="A32" i="19"/>
  <c r="A29" i="19"/>
  <c r="A26" i="19"/>
  <c r="A23" i="19"/>
  <c r="A20" i="19"/>
  <c r="A17" i="19"/>
  <c r="A14" i="19"/>
  <c r="A11" i="19"/>
  <c r="A8" i="19"/>
  <c r="A5" i="19"/>
  <c r="A58" i="19"/>
  <c r="A55" i="19"/>
  <c r="A52" i="19"/>
  <c r="A49" i="19"/>
  <c r="A46" i="19"/>
  <c r="A43" i="19"/>
  <c r="A40" i="19"/>
  <c r="A37" i="19"/>
  <c r="A34" i="19"/>
  <c r="A31" i="19"/>
  <c r="A28" i="19"/>
  <c r="A25" i="19"/>
  <c r="A22" i="19"/>
  <c r="A19" i="19"/>
  <c r="A16" i="19"/>
  <c r="A13" i="19"/>
  <c r="A10" i="19"/>
  <c r="A7" i="19"/>
  <c r="A4" i="19"/>
  <c r="A3" i="19"/>
  <c r="A2" i="19"/>
  <c r="A1" i="19"/>
  <c r="D60" i="19"/>
  <c r="C60" i="19"/>
  <c r="B60" i="19"/>
  <c r="D59" i="19"/>
  <c r="C59" i="19"/>
  <c r="B59" i="19"/>
  <c r="D58" i="19"/>
  <c r="C58" i="19"/>
  <c r="B58" i="19"/>
  <c r="D57" i="19"/>
  <c r="C57" i="19"/>
  <c r="B57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D52" i="19"/>
  <c r="C52" i="19"/>
  <c r="B52" i="19"/>
  <c r="D51" i="19"/>
  <c r="C51" i="19"/>
  <c r="B51" i="19"/>
  <c r="D50" i="19"/>
  <c r="C50" i="19"/>
  <c r="B50" i="19"/>
  <c r="D49" i="19"/>
  <c r="C49" i="19"/>
  <c r="B49" i="19"/>
  <c r="D48" i="19"/>
  <c r="C48" i="19"/>
  <c r="B48" i="19"/>
  <c r="D47" i="19"/>
  <c r="C47" i="19"/>
  <c r="B47" i="19"/>
  <c r="D46" i="19"/>
  <c r="C46" i="19"/>
  <c r="B46" i="19"/>
  <c r="D45" i="19"/>
  <c r="C45" i="19"/>
  <c r="B45" i="19"/>
  <c r="D44" i="19"/>
  <c r="C44" i="19"/>
  <c r="B44" i="19"/>
  <c r="D43" i="19"/>
  <c r="C43" i="19"/>
  <c r="B43" i="19"/>
  <c r="D42" i="19"/>
  <c r="C42" i="19"/>
  <c r="B42" i="19"/>
  <c r="D41" i="19"/>
  <c r="C41" i="19"/>
  <c r="B41" i="19"/>
  <c r="D40" i="19"/>
  <c r="C40" i="19"/>
  <c r="B40" i="19"/>
  <c r="D39" i="19"/>
  <c r="C39" i="19"/>
  <c r="B39" i="19"/>
  <c r="D38" i="19"/>
  <c r="C38" i="19"/>
  <c r="B38" i="19"/>
  <c r="D37" i="19"/>
  <c r="C37" i="19"/>
  <c r="B37" i="19"/>
  <c r="D36" i="19"/>
  <c r="C36" i="19"/>
  <c r="B36" i="19"/>
  <c r="D35" i="19"/>
  <c r="C35" i="19"/>
  <c r="B35" i="19"/>
  <c r="D34" i="19"/>
  <c r="C34" i="19"/>
  <c r="B34" i="19"/>
  <c r="D33" i="19"/>
  <c r="C33" i="19"/>
  <c r="B33" i="19"/>
  <c r="D32" i="19"/>
  <c r="C32" i="19"/>
  <c r="B32" i="19"/>
  <c r="D31" i="19"/>
  <c r="C31" i="19"/>
  <c r="B31" i="19"/>
  <c r="D30" i="19"/>
  <c r="C30" i="19"/>
  <c r="B30" i="19"/>
  <c r="D29" i="19"/>
  <c r="C29" i="19"/>
  <c r="B29" i="19"/>
  <c r="D28" i="19"/>
  <c r="C28" i="19"/>
  <c r="B28" i="19"/>
  <c r="D27" i="19"/>
  <c r="C27" i="19"/>
  <c r="B27" i="19"/>
  <c r="D26" i="19"/>
  <c r="C26" i="19"/>
  <c r="B26" i="19"/>
  <c r="D25" i="19"/>
  <c r="C25" i="19"/>
  <c r="B25" i="19"/>
  <c r="D24" i="19"/>
  <c r="C24" i="19"/>
  <c r="B24" i="19"/>
  <c r="D23" i="19"/>
  <c r="C23" i="19"/>
  <c r="B23" i="19"/>
  <c r="D22" i="19"/>
  <c r="C22" i="19"/>
  <c r="B22" i="19"/>
  <c r="D21" i="19"/>
  <c r="C21" i="19"/>
  <c r="B21" i="19"/>
  <c r="D20" i="19"/>
  <c r="C20" i="19"/>
  <c r="B20" i="19"/>
  <c r="D19" i="19"/>
  <c r="C19" i="19"/>
  <c r="B19" i="19"/>
  <c r="D18" i="19"/>
  <c r="C18" i="19"/>
  <c r="B18" i="19"/>
  <c r="D17" i="19"/>
  <c r="C17" i="19"/>
  <c r="B17" i="19"/>
  <c r="D16" i="19"/>
  <c r="C16" i="19"/>
  <c r="B16" i="19"/>
  <c r="D15" i="19"/>
  <c r="C15" i="19"/>
  <c r="B15" i="19"/>
  <c r="D14" i="19"/>
  <c r="C14" i="19"/>
  <c r="B14" i="19"/>
  <c r="D13" i="19"/>
  <c r="C13" i="19"/>
  <c r="B13" i="19"/>
  <c r="D12" i="19"/>
  <c r="C12" i="19"/>
  <c r="B12" i="19"/>
  <c r="D11" i="19"/>
  <c r="C11" i="19"/>
  <c r="B11" i="19"/>
  <c r="D10" i="19"/>
  <c r="C10" i="19"/>
  <c r="B10" i="19"/>
  <c r="D9" i="19"/>
  <c r="C9" i="19"/>
  <c r="B9" i="19"/>
  <c r="D8" i="19"/>
  <c r="C8" i="19"/>
  <c r="B8" i="19"/>
  <c r="D7" i="19"/>
  <c r="C7" i="19"/>
  <c r="B7" i="19"/>
  <c r="D6" i="19"/>
  <c r="C6" i="19"/>
  <c r="B6" i="19"/>
  <c r="D5" i="19"/>
  <c r="C5" i="19"/>
  <c r="B5" i="19"/>
  <c r="D4" i="19"/>
  <c r="C4" i="19"/>
  <c r="B4" i="19"/>
  <c r="D3" i="19"/>
  <c r="C3" i="19"/>
  <c r="B3" i="19"/>
  <c r="D2" i="19"/>
  <c r="C2" i="19"/>
  <c r="B2" i="19"/>
  <c r="D1" i="19"/>
  <c r="C1" i="19"/>
  <c r="B1" i="19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D1" i="17" l="1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Q1" i="17" s="1"/>
  <c r="R1" i="17" s="1"/>
  <c r="S1" i="17" s="1"/>
  <c r="T1" i="17" s="1"/>
  <c r="U1" i="17" s="1"/>
  <c r="AA21" i="8"/>
  <c r="Y21" i="8"/>
  <c r="W21" i="8"/>
  <c r="V21" i="8"/>
  <c r="AA20" i="8"/>
  <c r="Y20" i="8"/>
  <c r="W20" i="8"/>
  <c r="V20" i="8"/>
  <c r="W19" i="8"/>
  <c r="W18" i="8"/>
  <c r="W17" i="8"/>
  <c r="W16" i="8"/>
  <c r="W15" i="8"/>
  <c r="W14" i="8"/>
  <c r="X20" i="8" l="1"/>
  <c r="Z20" i="8"/>
  <c r="AB20" i="8"/>
  <c r="X21" i="8"/>
  <c r="AB21" i="8"/>
  <c r="Z21" i="8"/>
  <c r="AV3" i="10" l="1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F140" i="12" l="1"/>
  <c r="E140" i="12"/>
  <c r="D140" i="12"/>
  <c r="C140" i="12"/>
  <c r="B140" i="12"/>
  <c r="A140" i="12"/>
  <c r="F139" i="12"/>
  <c r="E139" i="12"/>
  <c r="D139" i="12"/>
  <c r="C139" i="12"/>
  <c r="B139" i="12"/>
  <c r="A139" i="12"/>
  <c r="F138" i="12"/>
  <c r="E138" i="12"/>
  <c r="D138" i="12"/>
  <c r="C138" i="12"/>
  <c r="B138" i="12"/>
  <c r="A138" i="12"/>
  <c r="F137" i="12"/>
  <c r="E137" i="12"/>
  <c r="D137" i="12"/>
  <c r="C137" i="12"/>
  <c r="B137" i="12"/>
  <c r="A137" i="12"/>
  <c r="F136" i="12"/>
  <c r="E136" i="12"/>
  <c r="D136" i="12"/>
  <c r="C136" i="12"/>
  <c r="B136" i="12"/>
  <c r="A136" i="12"/>
  <c r="F135" i="12"/>
  <c r="E135" i="12"/>
  <c r="D135" i="12"/>
  <c r="C135" i="12"/>
  <c r="B135" i="12"/>
  <c r="A135" i="12"/>
  <c r="F134" i="12"/>
  <c r="E134" i="12"/>
  <c r="D134" i="12"/>
  <c r="C134" i="12"/>
  <c r="B134" i="12"/>
  <c r="A134" i="12"/>
  <c r="F133" i="12"/>
  <c r="E133" i="12"/>
  <c r="D133" i="12"/>
  <c r="C133" i="12"/>
  <c r="B133" i="12"/>
  <c r="A133" i="12"/>
  <c r="F132" i="12"/>
  <c r="E132" i="12"/>
  <c r="D132" i="12"/>
  <c r="C132" i="12"/>
  <c r="B132" i="12"/>
  <c r="A132" i="12"/>
  <c r="F131" i="12"/>
  <c r="E131" i="12"/>
  <c r="D131" i="12"/>
  <c r="C131" i="12"/>
  <c r="B131" i="12"/>
  <c r="A131" i="12"/>
  <c r="F130" i="12"/>
  <c r="E130" i="12"/>
  <c r="D130" i="12"/>
  <c r="C130" i="12"/>
  <c r="B130" i="12"/>
  <c r="A130" i="12"/>
  <c r="F129" i="12"/>
  <c r="E129" i="12"/>
  <c r="D129" i="12"/>
  <c r="C129" i="12"/>
  <c r="B129" i="12"/>
  <c r="A129" i="12"/>
  <c r="F128" i="12"/>
  <c r="E128" i="12"/>
  <c r="D128" i="12"/>
  <c r="C128" i="12"/>
  <c r="B128" i="12"/>
  <c r="A128" i="12"/>
  <c r="F127" i="12"/>
  <c r="E127" i="12"/>
  <c r="D127" i="12"/>
  <c r="C127" i="12"/>
  <c r="B127" i="12"/>
  <c r="A127" i="12"/>
  <c r="F126" i="12"/>
  <c r="E126" i="12"/>
  <c r="D126" i="12"/>
  <c r="C126" i="12"/>
  <c r="B126" i="12"/>
  <c r="A126" i="12"/>
  <c r="F125" i="12"/>
  <c r="E125" i="12"/>
  <c r="D125" i="12"/>
  <c r="C125" i="12"/>
  <c r="B125" i="12"/>
  <c r="A125" i="12"/>
  <c r="F124" i="12"/>
  <c r="E124" i="12"/>
  <c r="D124" i="12"/>
  <c r="C124" i="12"/>
  <c r="B124" i="12"/>
  <c r="A124" i="12"/>
  <c r="F123" i="12"/>
  <c r="E123" i="12"/>
  <c r="D123" i="12"/>
  <c r="C123" i="12"/>
  <c r="B123" i="12"/>
  <c r="A123" i="12"/>
  <c r="F122" i="12"/>
  <c r="E122" i="12"/>
  <c r="D122" i="12"/>
  <c r="C122" i="12"/>
  <c r="B122" i="12"/>
  <c r="A122" i="12"/>
  <c r="F121" i="12"/>
  <c r="E121" i="12"/>
  <c r="D121" i="12"/>
  <c r="C121" i="12"/>
  <c r="B121" i="12"/>
  <c r="A121" i="12"/>
  <c r="F120" i="12"/>
  <c r="E120" i="12"/>
  <c r="D120" i="12"/>
  <c r="C120" i="12"/>
  <c r="B120" i="12"/>
  <c r="A120" i="12"/>
  <c r="F119" i="12"/>
  <c r="E119" i="12"/>
  <c r="D119" i="12"/>
  <c r="C119" i="12"/>
  <c r="B119" i="12"/>
  <c r="A119" i="12"/>
  <c r="F118" i="12"/>
  <c r="E118" i="12"/>
  <c r="D118" i="12"/>
  <c r="C118" i="12"/>
  <c r="B118" i="12"/>
  <c r="A118" i="12"/>
  <c r="F117" i="12"/>
  <c r="E117" i="12"/>
  <c r="D117" i="12"/>
  <c r="C117" i="12"/>
  <c r="B117" i="12"/>
  <c r="A117" i="12"/>
  <c r="F116" i="12"/>
  <c r="E116" i="12"/>
  <c r="D116" i="12"/>
  <c r="C116" i="12"/>
  <c r="B116" i="12"/>
  <c r="A116" i="12"/>
  <c r="F115" i="12"/>
  <c r="E115" i="12"/>
  <c r="D115" i="12"/>
  <c r="C115" i="12"/>
  <c r="B115" i="12"/>
  <c r="A115" i="12"/>
  <c r="F114" i="12"/>
  <c r="E114" i="12"/>
  <c r="D114" i="12"/>
  <c r="C114" i="12"/>
  <c r="B114" i="12"/>
  <c r="A114" i="12"/>
  <c r="F113" i="12"/>
  <c r="E113" i="12"/>
  <c r="D113" i="12"/>
  <c r="C113" i="12"/>
  <c r="B113" i="12"/>
  <c r="A113" i="12"/>
  <c r="F112" i="12"/>
  <c r="E112" i="12"/>
  <c r="D112" i="12"/>
  <c r="C112" i="12"/>
  <c r="B112" i="12"/>
  <c r="A112" i="12"/>
  <c r="F111" i="12"/>
  <c r="E111" i="12"/>
  <c r="D111" i="12"/>
  <c r="C111" i="12"/>
  <c r="B111" i="12"/>
  <c r="A111" i="12"/>
  <c r="F110" i="12"/>
  <c r="E110" i="12"/>
  <c r="D110" i="12"/>
  <c r="C110" i="12"/>
  <c r="B110" i="12"/>
  <c r="A110" i="12"/>
  <c r="F109" i="12"/>
  <c r="E109" i="12"/>
  <c r="D109" i="12"/>
  <c r="C109" i="12"/>
  <c r="B109" i="12"/>
  <c r="A109" i="12"/>
  <c r="F108" i="12"/>
  <c r="E108" i="12"/>
  <c r="D108" i="12"/>
  <c r="C108" i="12"/>
  <c r="B108" i="12"/>
  <c r="A108" i="12"/>
  <c r="F107" i="12"/>
  <c r="E107" i="12"/>
  <c r="D107" i="12"/>
  <c r="C107" i="12"/>
  <c r="B107" i="12"/>
  <c r="A107" i="12"/>
  <c r="F106" i="12"/>
  <c r="E106" i="12"/>
  <c r="D106" i="12"/>
  <c r="C106" i="12"/>
  <c r="B106" i="12"/>
  <c r="A106" i="12"/>
  <c r="F105" i="12"/>
  <c r="E105" i="12"/>
  <c r="D105" i="12"/>
  <c r="C105" i="12"/>
  <c r="B105" i="12"/>
  <c r="A105" i="12"/>
  <c r="F104" i="12"/>
  <c r="E104" i="12"/>
  <c r="D104" i="12"/>
  <c r="C104" i="12"/>
  <c r="B104" i="12"/>
  <c r="A104" i="12"/>
  <c r="F103" i="12"/>
  <c r="E103" i="12"/>
  <c r="D103" i="12"/>
  <c r="C103" i="12"/>
  <c r="B103" i="12"/>
  <c r="A103" i="12"/>
  <c r="F102" i="12"/>
  <c r="E102" i="12"/>
  <c r="D102" i="12"/>
  <c r="C102" i="12"/>
  <c r="B102" i="12"/>
  <c r="A102" i="12"/>
  <c r="F101" i="12"/>
  <c r="E101" i="12"/>
  <c r="D101" i="12"/>
  <c r="C101" i="12"/>
  <c r="B101" i="12"/>
  <c r="A101" i="12"/>
  <c r="F100" i="12"/>
  <c r="E100" i="12"/>
  <c r="D100" i="12"/>
  <c r="C100" i="12"/>
  <c r="B100" i="12"/>
  <c r="A100" i="12"/>
  <c r="F99" i="12"/>
  <c r="E99" i="12"/>
  <c r="D99" i="12"/>
  <c r="C99" i="12"/>
  <c r="B99" i="12"/>
  <c r="A99" i="12"/>
  <c r="F98" i="12"/>
  <c r="E98" i="12"/>
  <c r="D98" i="12"/>
  <c r="C98" i="12"/>
  <c r="B98" i="12"/>
  <c r="A98" i="12"/>
  <c r="F97" i="12"/>
  <c r="E97" i="12"/>
  <c r="D97" i="12"/>
  <c r="C97" i="12"/>
  <c r="B97" i="12"/>
  <c r="A97" i="12"/>
  <c r="F96" i="12"/>
  <c r="E96" i="12"/>
  <c r="D96" i="12"/>
  <c r="C96" i="12"/>
  <c r="B96" i="12"/>
  <c r="A96" i="12"/>
  <c r="F95" i="12"/>
  <c r="E95" i="12"/>
  <c r="D95" i="12"/>
  <c r="C95" i="12"/>
  <c r="B95" i="12"/>
  <c r="A95" i="12"/>
  <c r="F94" i="12"/>
  <c r="E94" i="12"/>
  <c r="D94" i="12"/>
  <c r="C94" i="12"/>
  <c r="B94" i="12"/>
  <c r="A94" i="12"/>
  <c r="F93" i="12"/>
  <c r="E93" i="12"/>
  <c r="D93" i="12"/>
  <c r="C93" i="12"/>
  <c r="B93" i="12"/>
  <c r="A93" i="12"/>
  <c r="F92" i="12"/>
  <c r="E92" i="12"/>
  <c r="D92" i="12"/>
  <c r="C92" i="12"/>
  <c r="B92" i="12"/>
  <c r="A92" i="12"/>
  <c r="F91" i="12"/>
  <c r="E91" i="12"/>
  <c r="D91" i="12"/>
  <c r="C91" i="12"/>
  <c r="B91" i="12"/>
  <c r="A91" i="12"/>
  <c r="F90" i="12"/>
  <c r="E90" i="12"/>
  <c r="D90" i="12"/>
  <c r="C90" i="12"/>
  <c r="B90" i="12"/>
  <c r="A90" i="12"/>
  <c r="F89" i="12"/>
  <c r="E89" i="12"/>
  <c r="D89" i="12"/>
  <c r="C89" i="12"/>
  <c r="B89" i="12"/>
  <c r="A89" i="12"/>
  <c r="F88" i="12"/>
  <c r="E88" i="12"/>
  <c r="D88" i="12"/>
  <c r="C88" i="12"/>
  <c r="B88" i="12"/>
  <c r="A88" i="12"/>
  <c r="F87" i="12"/>
  <c r="E87" i="12"/>
  <c r="D87" i="12"/>
  <c r="C87" i="12"/>
  <c r="B87" i="12"/>
  <c r="A87" i="12"/>
  <c r="F86" i="12"/>
  <c r="E86" i="12"/>
  <c r="D86" i="12"/>
  <c r="C86" i="12"/>
  <c r="B86" i="12"/>
  <c r="A86" i="12"/>
  <c r="F85" i="12"/>
  <c r="E85" i="12"/>
  <c r="D85" i="12"/>
  <c r="C85" i="12"/>
  <c r="B85" i="12"/>
  <c r="A85" i="12"/>
  <c r="F84" i="12"/>
  <c r="E84" i="12"/>
  <c r="D84" i="12"/>
  <c r="C84" i="12"/>
  <c r="B84" i="12"/>
  <c r="A84" i="12"/>
  <c r="F83" i="12"/>
  <c r="E83" i="12"/>
  <c r="D83" i="12"/>
  <c r="C83" i="12"/>
  <c r="B83" i="12"/>
  <c r="A83" i="12"/>
  <c r="F82" i="12"/>
  <c r="E82" i="12"/>
  <c r="D82" i="12"/>
  <c r="C82" i="12"/>
  <c r="B82" i="12"/>
  <c r="A82" i="12"/>
  <c r="F81" i="12"/>
  <c r="E81" i="12"/>
  <c r="D81" i="12"/>
  <c r="C81" i="12"/>
  <c r="B81" i="12"/>
  <c r="A81" i="12"/>
  <c r="F80" i="12"/>
  <c r="E80" i="12"/>
  <c r="D80" i="12"/>
  <c r="C80" i="12"/>
  <c r="B80" i="12"/>
  <c r="A80" i="12"/>
  <c r="F79" i="12"/>
  <c r="E79" i="12"/>
  <c r="D79" i="12"/>
  <c r="C79" i="12"/>
  <c r="B79" i="12"/>
  <c r="A79" i="12"/>
  <c r="F78" i="12"/>
  <c r="E78" i="12"/>
  <c r="D78" i="12"/>
  <c r="C78" i="12"/>
  <c r="B78" i="12"/>
  <c r="A78" i="12"/>
  <c r="F77" i="12"/>
  <c r="E77" i="12"/>
  <c r="D77" i="12"/>
  <c r="C77" i="12"/>
  <c r="B77" i="12"/>
  <c r="A77" i="12"/>
  <c r="F76" i="12"/>
  <c r="E76" i="12"/>
  <c r="D76" i="12"/>
  <c r="C76" i="12"/>
  <c r="B76" i="12"/>
  <c r="A76" i="12"/>
  <c r="F75" i="12"/>
  <c r="E75" i="12"/>
  <c r="D75" i="12"/>
  <c r="C75" i="12"/>
  <c r="B75" i="12"/>
  <c r="A75" i="12"/>
  <c r="F74" i="12"/>
  <c r="E74" i="12"/>
  <c r="D74" i="12"/>
  <c r="C74" i="12"/>
  <c r="B74" i="12"/>
  <c r="A74" i="12"/>
  <c r="F73" i="12"/>
  <c r="E73" i="12"/>
  <c r="D73" i="12"/>
  <c r="C73" i="12"/>
  <c r="B73" i="12"/>
  <c r="A73" i="12"/>
  <c r="F72" i="12"/>
  <c r="E72" i="12"/>
  <c r="D72" i="12"/>
  <c r="C72" i="12"/>
  <c r="B72" i="12"/>
  <c r="A72" i="12"/>
  <c r="F71" i="12"/>
  <c r="E71" i="12"/>
  <c r="D71" i="12"/>
  <c r="C71" i="12"/>
  <c r="B71" i="12"/>
  <c r="A71" i="12"/>
  <c r="F70" i="12"/>
  <c r="E70" i="12"/>
  <c r="D70" i="12"/>
  <c r="C70" i="12"/>
  <c r="B70" i="12"/>
  <c r="A70" i="12"/>
  <c r="F69" i="12"/>
  <c r="E69" i="12"/>
  <c r="D69" i="12"/>
  <c r="C69" i="12"/>
  <c r="B69" i="12"/>
  <c r="A69" i="12"/>
  <c r="F68" i="12"/>
  <c r="E68" i="12"/>
  <c r="D68" i="12"/>
  <c r="C68" i="12"/>
  <c r="B68" i="12"/>
  <c r="A68" i="12"/>
  <c r="F67" i="12"/>
  <c r="E67" i="12"/>
  <c r="D67" i="12"/>
  <c r="C67" i="12"/>
  <c r="B67" i="12"/>
  <c r="A67" i="12"/>
  <c r="F66" i="12"/>
  <c r="E66" i="12"/>
  <c r="D66" i="12"/>
  <c r="C66" i="12"/>
  <c r="B66" i="12"/>
  <c r="A66" i="12"/>
  <c r="F65" i="12"/>
  <c r="E65" i="12"/>
  <c r="D65" i="12"/>
  <c r="C65" i="12"/>
  <c r="B65" i="12"/>
  <c r="A65" i="12"/>
  <c r="F64" i="12"/>
  <c r="E64" i="12"/>
  <c r="D64" i="12"/>
  <c r="C64" i="12"/>
  <c r="B64" i="12"/>
  <c r="A64" i="12"/>
  <c r="F63" i="12"/>
  <c r="E63" i="12"/>
  <c r="D63" i="12"/>
  <c r="C63" i="12"/>
  <c r="B63" i="12"/>
  <c r="A63" i="12"/>
  <c r="F62" i="12"/>
  <c r="E62" i="12"/>
  <c r="D62" i="12"/>
  <c r="C62" i="12"/>
  <c r="B62" i="12"/>
  <c r="A62" i="12"/>
  <c r="F61" i="12"/>
  <c r="E61" i="12"/>
  <c r="D61" i="12"/>
  <c r="C61" i="12"/>
  <c r="B61" i="12"/>
  <c r="A61" i="12"/>
  <c r="F60" i="12"/>
  <c r="E60" i="12"/>
  <c r="D60" i="12"/>
  <c r="C60" i="12"/>
  <c r="B60" i="12"/>
  <c r="A60" i="12"/>
  <c r="F59" i="12"/>
  <c r="E59" i="12"/>
  <c r="D59" i="12"/>
  <c r="C59" i="12"/>
  <c r="B59" i="12"/>
  <c r="A59" i="12"/>
  <c r="F58" i="12"/>
  <c r="E58" i="12"/>
  <c r="D58" i="12"/>
  <c r="C58" i="12"/>
  <c r="B58" i="12"/>
  <c r="A58" i="12"/>
  <c r="F57" i="12"/>
  <c r="E57" i="12"/>
  <c r="D57" i="12"/>
  <c r="C57" i="12"/>
  <c r="B57" i="12"/>
  <c r="A57" i="12"/>
  <c r="F56" i="12"/>
  <c r="E56" i="12"/>
  <c r="D56" i="12"/>
  <c r="C56" i="12"/>
  <c r="B56" i="12"/>
  <c r="A56" i="12"/>
  <c r="F55" i="12"/>
  <c r="E55" i="12"/>
  <c r="D55" i="12"/>
  <c r="C55" i="12"/>
  <c r="B55" i="12"/>
  <c r="A55" i="12"/>
  <c r="F54" i="12"/>
  <c r="E54" i="12"/>
  <c r="D54" i="12"/>
  <c r="C54" i="12"/>
  <c r="B54" i="12"/>
  <c r="A54" i="12"/>
  <c r="F53" i="12"/>
  <c r="E53" i="12"/>
  <c r="D53" i="12"/>
  <c r="C53" i="12"/>
  <c r="B53" i="12"/>
  <c r="A53" i="12"/>
  <c r="F52" i="12"/>
  <c r="E52" i="12"/>
  <c r="D52" i="12"/>
  <c r="C52" i="12"/>
  <c r="B52" i="12"/>
  <c r="A52" i="12"/>
  <c r="F51" i="12"/>
  <c r="E51" i="12"/>
  <c r="D51" i="12"/>
  <c r="C51" i="12"/>
  <c r="B51" i="12"/>
  <c r="A51" i="12"/>
  <c r="F50" i="12"/>
  <c r="E50" i="12"/>
  <c r="D50" i="12"/>
  <c r="C50" i="12"/>
  <c r="B50" i="12"/>
  <c r="A50" i="12"/>
  <c r="F49" i="12"/>
  <c r="E49" i="12"/>
  <c r="D49" i="12"/>
  <c r="C49" i="12"/>
  <c r="B49" i="12"/>
  <c r="A49" i="12"/>
  <c r="F48" i="12"/>
  <c r="E48" i="12"/>
  <c r="D48" i="12"/>
  <c r="C48" i="12"/>
  <c r="B48" i="12"/>
  <c r="A48" i="12"/>
  <c r="F47" i="12"/>
  <c r="E47" i="12"/>
  <c r="D47" i="12"/>
  <c r="C47" i="12"/>
  <c r="B47" i="12"/>
  <c r="A47" i="12"/>
  <c r="F46" i="12"/>
  <c r="E46" i="12"/>
  <c r="D46" i="12"/>
  <c r="C46" i="12"/>
  <c r="B46" i="12"/>
  <c r="A46" i="12"/>
  <c r="F45" i="12"/>
  <c r="E45" i="12"/>
  <c r="D45" i="12"/>
  <c r="C45" i="12"/>
  <c r="B45" i="12"/>
  <c r="A45" i="12"/>
  <c r="F44" i="12"/>
  <c r="E44" i="12"/>
  <c r="D44" i="12"/>
  <c r="C44" i="12"/>
  <c r="B44" i="12"/>
  <c r="A44" i="12"/>
  <c r="F43" i="12"/>
  <c r="E43" i="12"/>
  <c r="D43" i="12"/>
  <c r="C43" i="12"/>
  <c r="B43" i="12"/>
  <c r="A43" i="12"/>
  <c r="F42" i="12"/>
  <c r="E42" i="12"/>
  <c r="D42" i="12"/>
  <c r="C42" i="12"/>
  <c r="B42" i="12"/>
  <c r="A42" i="12"/>
  <c r="F41" i="12"/>
  <c r="E41" i="12"/>
  <c r="D41" i="12"/>
  <c r="C41" i="12"/>
  <c r="B41" i="12"/>
  <c r="A41" i="12"/>
  <c r="F40" i="12"/>
  <c r="E40" i="12"/>
  <c r="D40" i="12"/>
  <c r="C40" i="12"/>
  <c r="B40" i="12"/>
  <c r="A40" i="12"/>
  <c r="F39" i="12"/>
  <c r="E39" i="12"/>
  <c r="D39" i="12"/>
  <c r="C39" i="12"/>
  <c r="B39" i="12"/>
  <c r="A39" i="12"/>
  <c r="F38" i="12"/>
  <c r="E38" i="12"/>
  <c r="D38" i="12"/>
  <c r="C38" i="12"/>
  <c r="B38" i="12"/>
  <c r="A38" i="12"/>
  <c r="F37" i="12"/>
  <c r="E37" i="12"/>
  <c r="D37" i="12"/>
  <c r="C37" i="12"/>
  <c r="B37" i="12"/>
  <c r="A37" i="12"/>
  <c r="F36" i="12"/>
  <c r="E36" i="12"/>
  <c r="D36" i="12"/>
  <c r="C36" i="12"/>
  <c r="B36" i="12"/>
  <c r="A36" i="12"/>
  <c r="F35" i="12"/>
  <c r="E35" i="12"/>
  <c r="D35" i="12"/>
  <c r="C35" i="12"/>
  <c r="B35" i="12"/>
  <c r="A35" i="12"/>
  <c r="F34" i="12"/>
  <c r="E34" i="12"/>
  <c r="D34" i="12"/>
  <c r="C34" i="12"/>
  <c r="B34" i="12"/>
  <c r="A34" i="12"/>
  <c r="F33" i="12"/>
  <c r="E33" i="12"/>
  <c r="D33" i="12"/>
  <c r="C33" i="12"/>
  <c r="B33" i="12"/>
  <c r="A33" i="12"/>
  <c r="F32" i="12"/>
  <c r="E32" i="12"/>
  <c r="D32" i="12"/>
  <c r="C32" i="12"/>
  <c r="B32" i="12"/>
  <c r="A32" i="12"/>
  <c r="F31" i="12"/>
  <c r="E31" i="12"/>
  <c r="D31" i="12"/>
  <c r="C31" i="12"/>
  <c r="B31" i="12"/>
  <c r="A31" i="12"/>
  <c r="F30" i="12"/>
  <c r="E30" i="12"/>
  <c r="D30" i="12"/>
  <c r="C30" i="12"/>
  <c r="B30" i="12"/>
  <c r="A30" i="12"/>
  <c r="F29" i="12"/>
  <c r="E29" i="12"/>
  <c r="D29" i="12"/>
  <c r="C29" i="12"/>
  <c r="B29" i="12"/>
  <c r="A29" i="12"/>
  <c r="F28" i="12"/>
  <c r="E28" i="12"/>
  <c r="D28" i="12"/>
  <c r="C28" i="12"/>
  <c r="B28" i="12"/>
  <c r="A28" i="12"/>
  <c r="F27" i="12"/>
  <c r="E27" i="12"/>
  <c r="D27" i="12"/>
  <c r="C27" i="12"/>
  <c r="B27" i="12"/>
  <c r="A27" i="12"/>
  <c r="F26" i="12"/>
  <c r="E26" i="12"/>
  <c r="D26" i="12"/>
  <c r="C26" i="12"/>
  <c r="B26" i="12"/>
  <c r="A26" i="12"/>
  <c r="F25" i="12"/>
  <c r="E25" i="12"/>
  <c r="D25" i="12"/>
  <c r="C25" i="12"/>
  <c r="B25" i="12"/>
  <c r="A25" i="12"/>
  <c r="F24" i="12"/>
  <c r="E24" i="12"/>
  <c r="D24" i="12"/>
  <c r="C24" i="12"/>
  <c r="B24" i="12"/>
  <c r="A24" i="12"/>
  <c r="F23" i="12"/>
  <c r="E23" i="12"/>
  <c r="D23" i="12"/>
  <c r="C23" i="12"/>
  <c r="B23" i="12"/>
  <c r="A23" i="12"/>
  <c r="F22" i="12"/>
  <c r="E22" i="12"/>
  <c r="D22" i="12"/>
  <c r="C22" i="12"/>
  <c r="B22" i="12"/>
  <c r="A22" i="12"/>
  <c r="F21" i="12"/>
  <c r="E21" i="12"/>
  <c r="D21" i="12"/>
  <c r="C21" i="12"/>
  <c r="B21" i="12"/>
  <c r="A21" i="12"/>
  <c r="F20" i="12"/>
  <c r="E20" i="12"/>
  <c r="D20" i="12"/>
  <c r="C20" i="12"/>
  <c r="B20" i="12"/>
  <c r="A20" i="12"/>
  <c r="F19" i="12"/>
  <c r="E19" i="12"/>
  <c r="D19" i="12"/>
  <c r="C19" i="12"/>
  <c r="B19" i="12"/>
  <c r="A19" i="12"/>
  <c r="F18" i="12"/>
  <c r="E18" i="12"/>
  <c r="D18" i="12"/>
  <c r="C18" i="12"/>
  <c r="B18" i="12"/>
  <c r="A18" i="12"/>
  <c r="F17" i="12"/>
  <c r="E17" i="12"/>
  <c r="D17" i="12"/>
  <c r="C17" i="12"/>
  <c r="B17" i="12"/>
  <c r="A17" i="12"/>
  <c r="F16" i="12"/>
  <c r="E16" i="12"/>
  <c r="D16" i="12"/>
  <c r="C16" i="12"/>
  <c r="B16" i="12"/>
  <c r="A16" i="12"/>
  <c r="F15" i="12"/>
  <c r="E15" i="12"/>
  <c r="D15" i="12"/>
  <c r="C15" i="12"/>
  <c r="B15" i="12"/>
  <c r="A15" i="12"/>
  <c r="F14" i="12"/>
  <c r="E14" i="12"/>
  <c r="D14" i="12"/>
  <c r="C14" i="12"/>
  <c r="B14" i="12"/>
  <c r="A14" i="12"/>
  <c r="F13" i="12"/>
  <c r="E13" i="12"/>
  <c r="D13" i="12"/>
  <c r="C13" i="12"/>
  <c r="B13" i="12"/>
  <c r="A13" i="12"/>
  <c r="F12" i="12"/>
  <c r="E12" i="12"/>
  <c r="D12" i="12"/>
  <c r="C12" i="12"/>
  <c r="B12" i="12"/>
  <c r="A12" i="12"/>
  <c r="F11" i="12"/>
  <c r="E11" i="12"/>
  <c r="D11" i="12"/>
  <c r="C11" i="12"/>
  <c r="B11" i="12"/>
  <c r="A11" i="12"/>
  <c r="F10" i="12"/>
  <c r="E10" i="12"/>
  <c r="D10" i="12"/>
  <c r="C10" i="12"/>
  <c r="B10" i="12"/>
  <c r="A10" i="12"/>
  <c r="F9" i="12"/>
  <c r="E9" i="12"/>
  <c r="D9" i="12"/>
  <c r="C9" i="12"/>
  <c r="B9" i="12"/>
  <c r="A9" i="12"/>
  <c r="F8" i="12"/>
  <c r="E8" i="12"/>
  <c r="D8" i="12"/>
  <c r="C8" i="12"/>
  <c r="B8" i="12"/>
  <c r="A8" i="12"/>
  <c r="F7" i="12"/>
  <c r="E7" i="12"/>
  <c r="D7" i="12"/>
  <c r="C7" i="12"/>
  <c r="B7" i="12"/>
  <c r="A7" i="12"/>
  <c r="F6" i="12"/>
  <c r="E6" i="12"/>
  <c r="D6" i="12"/>
  <c r="C6" i="12"/>
  <c r="B6" i="12"/>
  <c r="A6" i="12"/>
  <c r="F5" i="12"/>
  <c r="E5" i="12"/>
  <c r="D5" i="12"/>
  <c r="C5" i="12"/>
  <c r="B5" i="12"/>
  <c r="A5" i="12"/>
  <c r="F4" i="12"/>
  <c r="E4" i="12"/>
  <c r="D4" i="12"/>
  <c r="C4" i="12"/>
  <c r="B4" i="12"/>
  <c r="A4" i="12"/>
  <c r="F3" i="12"/>
  <c r="E3" i="12"/>
  <c r="D3" i="12"/>
  <c r="C3" i="12"/>
  <c r="B3" i="12"/>
  <c r="A3" i="12"/>
  <c r="F2" i="12"/>
  <c r="E2" i="12"/>
  <c r="D2" i="12"/>
  <c r="C2" i="12"/>
  <c r="B2" i="12"/>
  <c r="A2" i="12"/>
  <c r="F1" i="12"/>
  <c r="E1" i="12"/>
  <c r="D1" i="12"/>
  <c r="C1" i="12"/>
  <c r="B1" i="12"/>
  <c r="A1" i="12"/>
  <c r="H137" i="12" l="1"/>
  <c r="H131" i="12"/>
  <c r="H129" i="12"/>
  <c r="H119" i="12"/>
  <c r="H115" i="12"/>
  <c r="H111" i="12"/>
  <c r="H103" i="12"/>
  <c r="H97" i="12"/>
  <c r="H95" i="12"/>
  <c r="H88" i="12"/>
  <c r="H87" i="12"/>
  <c r="H84" i="12"/>
  <c r="H81" i="12"/>
  <c r="H77" i="12"/>
  <c r="H69" i="12"/>
  <c r="H63" i="12"/>
  <c r="H61" i="12"/>
  <c r="H53" i="12"/>
  <c r="H47" i="12"/>
  <c r="H45" i="12"/>
  <c r="H35" i="12"/>
  <c r="H31" i="12"/>
  <c r="H27" i="12"/>
  <c r="H19" i="12"/>
  <c r="H13" i="12"/>
  <c r="H11" i="12"/>
  <c r="H3" i="12"/>
  <c r="L140" i="12"/>
  <c r="K140" i="12"/>
  <c r="J140" i="12"/>
  <c r="I140" i="12"/>
  <c r="H140" i="12"/>
  <c r="L139" i="12"/>
  <c r="K139" i="12"/>
  <c r="J139" i="12"/>
  <c r="I139" i="12"/>
  <c r="H139" i="12"/>
  <c r="L138" i="12"/>
  <c r="K138" i="12"/>
  <c r="J138" i="12"/>
  <c r="I138" i="12"/>
  <c r="H138" i="12"/>
  <c r="L137" i="12"/>
  <c r="K137" i="12"/>
  <c r="J137" i="12"/>
  <c r="I137" i="12"/>
  <c r="L136" i="12"/>
  <c r="K136" i="12"/>
  <c r="J136" i="12"/>
  <c r="I136" i="12"/>
  <c r="H136" i="12"/>
  <c r="L133" i="12"/>
  <c r="K133" i="12"/>
  <c r="J133" i="12"/>
  <c r="I133" i="12"/>
  <c r="H133" i="12"/>
  <c r="L132" i="12"/>
  <c r="K132" i="12"/>
  <c r="J132" i="12"/>
  <c r="I132" i="12"/>
  <c r="H132" i="12"/>
  <c r="L131" i="12"/>
  <c r="K131" i="12"/>
  <c r="J131" i="12"/>
  <c r="I131" i="12"/>
  <c r="L130" i="12"/>
  <c r="K130" i="12"/>
  <c r="J130" i="12"/>
  <c r="I130" i="12"/>
  <c r="H130" i="12"/>
  <c r="L129" i="12"/>
  <c r="K129" i="12"/>
  <c r="J129" i="12"/>
  <c r="I129" i="12"/>
  <c r="L126" i="12"/>
  <c r="K126" i="12"/>
  <c r="J126" i="12"/>
  <c r="I126" i="12"/>
  <c r="H126" i="12"/>
  <c r="L125" i="12"/>
  <c r="K125" i="12"/>
  <c r="J125" i="12"/>
  <c r="I125" i="12"/>
  <c r="H125" i="12"/>
  <c r="L124" i="12"/>
  <c r="K124" i="12"/>
  <c r="J124" i="12"/>
  <c r="I124" i="12"/>
  <c r="H124" i="12"/>
  <c r="L123" i="12"/>
  <c r="K123" i="12"/>
  <c r="J123" i="12"/>
  <c r="I123" i="12"/>
  <c r="H123" i="12"/>
  <c r="L122" i="12"/>
  <c r="K122" i="12"/>
  <c r="J122" i="12"/>
  <c r="I122" i="12"/>
  <c r="H122" i="12"/>
  <c r="L119" i="12"/>
  <c r="K119" i="12"/>
  <c r="J119" i="12"/>
  <c r="I119" i="12"/>
  <c r="L118" i="12"/>
  <c r="K118" i="12"/>
  <c r="J118" i="12"/>
  <c r="I118" i="12"/>
  <c r="H118" i="12"/>
  <c r="L117" i="12"/>
  <c r="K117" i="12"/>
  <c r="J117" i="12"/>
  <c r="I117" i="12"/>
  <c r="H117" i="12"/>
  <c r="L116" i="12"/>
  <c r="K116" i="12"/>
  <c r="J116" i="12"/>
  <c r="I116" i="12"/>
  <c r="H116" i="12"/>
  <c r="L115" i="12"/>
  <c r="K115" i="12"/>
  <c r="J115" i="12"/>
  <c r="I115" i="12"/>
  <c r="L112" i="12"/>
  <c r="K112" i="12"/>
  <c r="J112" i="12"/>
  <c r="I112" i="12"/>
  <c r="H112" i="12"/>
  <c r="L111" i="12"/>
  <c r="K111" i="12"/>
  <c r="J111" i="12"/>
  <c r="I111" i="12"/>
  <c r="L110" i="12"/>
  <c r="K110" i="12"/>
  <c r="J110" i="12"/>
  <c r="I110" i="12"/>
  <c r="H110" i="12"/>
  <c r="L109" i="12"/>
  <c r="K109" i="12"/>
  <c r="J109" i="12"/>
  <c r="I109" i="12"/>
  <c r="H109" i="12"/>
  <c r="L108" i="12"/>
  <c r="K108" i="12"/>
  <c r="J108" i="12"/>
  <c r="I108" i="12"/>
  <c r="H108" i="12"/>
  <c r="L105" i="12"/>
  <c r="K105" i="12"/>
  <c r="J105" i="12"/>
  <c r="I105" i="12"/>
  <c r="H105" i="12"/>
  <c r="L104" i="12"/>
  <c r="K104" i="12"/>
  <c r="J104" i="12"/>
  <c r="I104" i="12"/>
  <c r="H104" i="12"/>
  <c r="L103" i="12"/>
  <c r="K103" i="12"/>
  <c r="J103" i="12"/>
  <c r="I103" i="12"/>
  <c r="L102" i="12"/>
  <c r="K102" i="12"/>
  <c r="J102" i="12"/>
  <c r="I102" i="12"/>
  <c r="H102" i="12"/>
  <c r="L101" i="12"/>
  <c r="K101" i="12"/>
  <c r="J101" i="12"/>
  <c r="I101" i="12"/>
  <c r="H101" i="12"/>
  <c r="L98" i="12"/>
  <c r="K98" i="12"/>
  <c r="J98" i="12"/>
  <c r="I98" i="12"/>
  <c r="H98" i="12"/>
  <c r="L97" i="12"/>
  <c r="K97" i="12"/>
  <c r="J97" i="12"/>
  <c r="I97" i="12"/>
  <c r="L96" i="12"/>
  <c r="K96" i="12"/>
  <c r="J96" i="12"/>
  <c r="I96" i="12"/>
  <c r="H96" i="12"/>
  <c r="L95" i="12"/>
  <c r="K95" i="12"/>
  <c r="J95" i="12"/>
  <c r="I95" i="12"/>
  <c r="L94" i="12"/>
  <c r="K94" i="12"/>
  <c r="J94" i="12"/>
  <c r="I94" i="12"/>
  <c r="H94" i="12"/>
  <c r="L91" i="12"/>
  <c r="K91" i="12"/>
  <c r="J91" i="12"/>
  <c r="I91" i="12"/>
  <c r="H91" i="12"/>
  <c r="L90" i="12"/>
  <c r="K90" i="12"/>
  <c r="J90" i="12"/>
  <c r="I90" i="12"/>
  <c r="H90" i="12"/>
  <c r="L89" i="12"/>
  <c r="K89" i="12"/>
  <c r="J89" i="12"/>
  <c r="I89" i="12"/>
  <c r="H89" i="12"/>
  <c r="L88" i="12"/>
  <c r="K88" i="12"/>
  <c r="J88" i="12"/>
  <c r="I88" i="12"/>
  <c r="L87" i="12"/>
  <c r="K87" i="12"/>
  <c r="J87" i="12"/>
  <c r="I87" i="12"/>
  <c r="L84" i="12"/>
  <c r="K84" i="12"/>
  <c r="J84" i="12"/>
  <c r="I84" i="12"/>
  <c r="L83" i="12"/>
  <c r="K83" i="12"/>
  <c r="J83" i="12"/>
  <c r="I83" i="12"/>
  <c r="H83" i="12"/>
  <c r="L82" i="12"/>
  <c r="K82" i="12"/>
  <c r="J82" i="12"/>
  <c r="I82" i="12"/>
  <c r="H82" i="12"/>
  <c r="L81" i="12"/>
  <c r="K81" i="12"/>
  <c r="J81" i="12"/>
  <c r="I81" i="12"/>
  <c r="L80" i="12"/>
  <c r="K80" i="12"/>
  <c r="J80" i="12"/>
  <c r="I80" i="12"/>
  <c r="H80" i="12"/>
  <c r="L77" i="12"/>
  <c r="K77" i="12"/>
  <c r="J77" i="12"/>
  <c r="I77" i="12"/>
  <c r="L76" i="12"/>
  <c r="K76" i="12"/>
  <c r="J76" i="12"/>
  <c r="I76" i="12"/>
  <c r="H76" i="12"/>
  <c r="L75" i="12"/>
  <c r="K75" i="12"/>
  <c r="J75" i="12"/>
  <c r="I75" i="12"/>
  <c r="H75" i="12"/>
  <c r="L74" i="12"/>
  <c r="K74" i="12"/>
  <c r="J74" i="12"/>
  <c r="I74" i="12"/>
  <c r="H74" i="12"/>
  <c r="L73" i="12"/>
  <c r="K73" i="12"/>
  <c r="J73" i="12"/>
  <c r="I73" i="12"/>
  <c r="H73" i="12"/>
  <c r="L70" i="12"/>
  <c r="K70" i="12"/>
  <c r="J70" i="12"/>
  <c r="I70" i="12"/>
  <c r="H70" i="12"/>
  <c r="L69" i="12"/>
  <c r="K69" i="12"/>
  <c r="J69" i="12"/>
  <c r="I69" i="12"/>
  <c r="L68" i="12"/>
  <c r="K68" i="12"/>
  <c r="J68" i="12"/>
  <c r="I68" i="12"/>
  <c r="H68" i="12"/>
  <c r="L67" i="12"/>
  <c r="K67" i="12"/>
  <c r="J67" i="12"/>
  <c r="I67" i="12"/>
  <c r="H67" i="12"/>
  <c r="L66" i="12"/>
  <c r="K66" i="12"/>
  <c r="J66" i="12"/>
  <c r="I66" i="12"/>
  <c r="H66" i="12"/>
  <c r="L63" i="12"/>
  <c r="K63" i="12"/>
  <c r="J63" i="12"/>
  <c r="I63" i="12"/>
  <c r="L62" i="12"/>
  <c r="K62" i="12"/>
  <c r="J62" i="12"/>
  <c r="I62" i="12"/>
  <c r="H62" i="12"/>
  <c r="L61" i="12"/>
  <c r="K61" i="12"/>
  <c r="J61" i="12"/>
  <c r="I61" i="12"/>
  <c r="L60" i="12"/>
  <c r="K60" i="12"/>
  <c r="J60" i="12"/>
  <c r="I60" i="12"/>
  <c r="H60" i="12"/>
  <c r="L59" i="12"/>
  <c r="K59" i="12"/>
  <c r="J59" i="12"/>
  <c r="I59" i="12"/>
  <c r="H59" i="12"/>
  <c r="L56" i="12"/>
  <c r="K56" i="12"/>
  <c r="J56" i="12"/>
  <c r="I56" i="12"/>
  <c r="H56" i="12"/>
  <c r="L55" i="12"/>
  <c r="K55" i="12"/>
  <c r="J55" i="12"/>
  <c r="I55" i="12"/>
  <c r="H55" i="12"/>
  <c r="L54" i="12"/>
  <c r="K54" i="12"/>
  <c r="J54" i="12"/>
  <c r="I54" i="12"/>
  <c r="H54" i="12"/>
  <c r="L53" i="12"/>
  <c r="K53" i="12"/>
  <c r="J53" i="12"/>
  <c r="I53" i="12"/>
  <c r="L52" i="12"/>
  <c r="K52" i="12"/>
  <c r="J52" i="12"/>
  <c r="I52" i="12"/>
  <c r="H52" i="12"/>
  <c r="L49" i="12"/>
  <c r="K49" i="12"/>
  <c r="J49" i="12"/>
  <c r="I49" i="12"/>
  <c r="H49" i="12"/>
  <c r="L48" i="12"/>
  <c r="K48" i="12"/>
  <c r="J48" i="12"/>
  <c r="I48" i="12"/>
  <c r="H48" i="12"/>
  <c r="L47" i="12"/>
  <c r="K47" i="12"/>
  <c r="J47" i="12"/>
  <c r="I47" i="12"/>
  <c r="L46" i="12"/>
  <c r="K46" i="12"/>
  <c r="J46" i="12"/>
  <c r="I46" i="12"/>
  <c r="H46" i="12"/>
  <c r="L45" i="12"/>
  <c r="K45" i="12"/>
  <c r="J45" i="12"/>
  <c r="I45" i="12"/>
  <c r="L42" i="12"/>
  <c r="K42" i="12"/>
  <c r="J42" i="12"/>
  <c r="I42" i="12"/>
  <c r="H42" i="12"/>
  <c r="L41" i="12"/>
  <c r="K41" i="12"/>
  <c r="J41" i="12"/>
  <c r="I41" i="12"/>
  <c r="H41" i="12"/>
  <c r="L40" i="12"/>
  <c r="K40" i="12"/>
  <c r="J40" i="12"/>
  <c r="I40" i="12"/>
  <c r="H40" i="12"/>
  <c r="L39" i="12"/>
  <c r="K39" i="12"/>
  <c r="J39" i="12"/>
  <c r="I39" i="12"/>
  <c r="H39" i="12"/>
  <c r="L38" i="12"/>
  <c r="K38" i="12"/>
  <c r="J38" i="12"/>
  <c r="I38" i="12"/>
  <c r="H38" i="12"/>
  <c r="L35" i="12"/>
  <c r="K35" i="12"/>
  <c r="J35" i="12"/>
  <c r="I35" i="12"/>
  <c r="L34" i="12"/>
  <c r="K34" i="12"/>
  <c r="J34" i="12"/>
  <c r="I34" i="12"/>
  <c r="H34" i="12"/>
  <c r="L33" i="12"/>
  <c r="K33" i="12"/>
  <c r="J33" i="12"/>
  <c r="I33" i="12"/>
  <c r="H33" i="12"/>
  <c r="L32" i="12"/>
  <c r="K32" i="12"/>
  <c r="J32" i="12"/>
  <c r="I32" i="12"/>
  <c r="H32" i="12"/>
  <c r="L31" i="12"/>
  <c r="K31" i="12"/>
  <c r="J31" i="12"/>
  <c r="I31" i="12"/>
  <c r="L28" i="12"/>
  <c r="K28" i="12"/>
  <c r="J28" i="12"/>
  <c r="I28" i="12"/>
  <c r="H28" i="12"/>
  <c r="L27" i="12"/>
  <c r="K27" i="12"/>
  <c r="J27" i="12"/>
  <c r="I27" i="12"/>
  <c r="L26" i="12"/>
  <c r="K26" i="12"/>
  <c r="J26" i="12"/>
  <c r="I26" i="12"/>
  <c r="H26" i="12"/>
  <c r="L25" i="12"/>
  <c r="K25" i="12"/>
  <c r="J25" i="12"/>
  <c r="I25" i="12"/>
  <c r="H25" i="12"/>
  <c r="L24" i="12"/>
  <c r="K24" i="12"/>
  <c r="J24" i="12"/>
  <c r="I24" i="12"/>
  <c r="H24" i="12"/>
  <c r="L21" i="12"/>
  <c r="K21" i="12"/>
  <c r="J21" i="12"/>
  <c r="I21" i="12"/>
  <c r="H21" i="12"/>
  <c r="L20" i="12"/>
  <c r="K20" i="12"/>
  <c r="J20" i="12"/>
  <c r="I20" i="12"/>
  <c r="H20" i="12"/>
  <c r="L19" i="12"/>
  <c r="K19" i="12"/>
  <c r="J19" i="12"/>
  <c r="I19" i="12"/>
  <c r="L18" i="12"/>
  <c r="K18" i="12"/>
  <c r="J18" i="12"/>
  <c r="I18" i="12"/>
  <c r="H18" i="12"/>
  <c r="L17" i="12"/>
  <c r="K17" i="12"/>
  <c r="J17" i="12"/>
  <c r="I17" i="12"/>
  <c r="H17" i="12"/>
  <c r="L14" i="12"/>
  <c r="K14" i="12"/>
  <c r="J14" i="12"/>
  <c r="I14" i="12"/>
  <c r="H14" i="12"/>
  <c r="L13" i="12"/>
  <c r="K13" i="12"/>
  <c r="J13" i="12"/>
  <c r="I13" i="12"/>
  <c r="L12" i="12"/>
  <c r="K12" i="12"/>
  <c r="J12" i="12"/>
  <c r="I12" i="12"/>
  <c r="H12" i="12"/>
  <c r="L11" i="12"/>
  <c r="K11" i="12"/>
  <c r="J11" i="12"/>
  <c r="I11" i="12"/>
  <c r="L10" i="12"/>
  <c r="K10" i="12"/>
  <c r="J10" i="12"/>
  <c r="I10" i="12"/>
  <c r="H10" i="12"/>
  <c r="L7" i="12"/>
  <c r="K7" i="12"/>
  <c r="J7" i="12"/>
  <c r="I7" i="12"/>
  <c r="H7" i="12"/>
  <c r="L6" i="12"/>
  <c r="K6" i="12"/>
  <c r="J6" i="12"/>
  <c r="I6" i="12"/>
  <c r="H6" i="12"/>
  <c r="L5" i="12"/>
  <c r="K5" i="12"/>
  <c r="J5" i="12"/>
  <c r="I5" i="12"/>
  <c r="H5" i="12"/>
  <c r="L4" i="12"/>
  <c r="K4" i="12"/>
  <c r="J4" i="12"/>
  <c r="I4" i="12"/>
  <c r="H4" i="12"/>
  <c r="L3" i="12"/>
  <c r="K3" i="12"/>
  <c r="J3" i="12"/>
  <c r="I3" i="12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3" i="10"/>
  <c r="A4" i="10"/>
  <c r="C2" i="10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W13" i="8"/>
  <c r="W12" i="8"/>
  <c r="W11" i="8"/>
  <c r="W10" i="8"/>
  <c r="W9" i="8"/>
  <c r="W8" i="8"/>
  <c r="W7" i="8"/>
  <c r="W6" i="8"/>
  <c r="W5" i="8"/>
  <c r="W4" i="8"/>
  <c r="W3" i="8"/>
  <c r="A4" i="8"/>
  <c r="A5" i="8" s="1"/>
  <c r="C2" i="8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W28" i="5"/>
  <c r="C26" i="20" s="1"/>
  <c r="V28" i="5"/>
  <c r="V27" i="5"/>
  <c r="B25" i="20" s="1"/>
  <c r="V26" i="5"/>
  <c r="B24" i="20" s="1"/>
  <c r="V25" i="5"/>
  <c r="B23" i="20" s="1"/>
  <c r="V24" i="5"/>
  <c r="B22" i="20" s="1"/>
  <c r="V23" i="5"/>
  <c r="B21" i="20" s="1"/>
  <c r="V22" i="5"/>
  <c r="B20" i="20" s="1"/>
  <c r="V21" i="5"/>
  <c r="B19" i="20" s="1"/>
  <c r="V20" i="5"/>
  <c r="B18" i="20" s="1"/>
  <c r="V19" i="5"/>
  <c r="B17" i="20" s="1"/>
  <c r="V18" i="5"/>
  <c r="B16" i="20" s="1"/>
  <c r="V17" i="5"/>
  <c r="B15" i="20" s="1"/>
  <c r="V16" i="5"/>
  <c r="B14" i="20" s="1"/>
  <c r="V15" i="5"/>
  <c r="B13" i="20" s="1"/>
  <c r="V14" i="5"/>
  <c r="B12" i="20" s="1"/>
  <c r="V13" i="5"/>
  <c r="B11" i="20" s="1"/>
  <c r="V12" i="5"/>
  <c r="B10" i="20" s="1"/>
  <c r="V11" i="5"/>
  <c r="B9" i="20" s="1"/>
  <c r="V10" i="5"/>
  <c r="B8" i="20" s="1"/>
  <c r="V9" i="5"/>
  <c r="B7" i="20" s="1"/>
  <c r="V8" i="5"/>
  <c r="B6" i="20" s="1"/>
  <c r="V7" i="5"/>
  <c r="B5" i="20" s="1"/>
  <c r="V6" i="5"/>
  <c r="B4" i="20" s="1"/>
  <c r="V5" i="5"/>
  <c r="B3" i="20" s="1"/>
  <c r="V4" i="5"/>
  <c r="B2" i="20" s="1"/>
  <c r="V3" i="5"/>
  <c r="B1" i="20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A3" i="5"/>
  <c r="X28" i="5" l="1"/>
  <c r="B26" i="20"/>
  <c r="T23" i="8"/>
  <c r="O23" i="8"/>
  <c r="Q23" i="8"/>
  <c r="F23" i="8"/>
  <c r="R23" i="8"/>
  <c r="L23" i="8"/>
  <c r="M23" i="8"/>
  <c r="I23" i="8"/>
  <c r="J23" i="8"/>
  <c r="G23" i="8"/>
  <c r="S23" i="8"/>
  <c r="N23" i="8"/>
  <c r="D23" i="8"/>
  <c r="C23" i="8"/>
  <c r="B23" i="8"/>
  <c r="H23" i="8"/>
  <c r="K23" i="8"/>
  <c r="E23" i="8"/>
  <c r="P23" i="8"/>
  <c r="A6" i="8"/>
  <c r="AK5" i="8"/>
  <c r="AV5" i="8"/>
  <c r="AJ5" i="8"/>
  <c r="AU5" i="8"/>
  <c r="AI5" i="8"/>
  <c r="AT5" i="8"/>
  <c r="AH5" i="8"/>
  <c r="AS5" i="8"/>
  <c r="AG5" i="8"/>
  <c r="AR5" i="8"/>
  <c r="AF5" i="8"/>
  <c r="AQ5" i="8"/>
  <c r="AE5" i="8"/>
  <c r="AP5" i="8"/>
  <c r="AD5" i="8"/>
  <c r="AO5" i="8"/>
  <c r="AN5" i="8"/>
  <c r="AM5" i="8"/>
  <c r="AL5" i="8"/>
  <c r="AR4" i="8"/>
  <c r="AF4" i="8"/>
  <c r="AQ4" i="8"/>
  <c r="AE4" i="8"/>
  <c r="AP4" i="8"/>
  <c r="AD4" i="8"/>
  <c r="AO4" i="8"/>
  <c r="AN4" i="8"/>
  <c r="AM4" i="8"/>
  <c r="AL4" i="8"/>
  <c r="AK4" i="8"/>
  <c r="AV4" i="8"/>
  <c r="AJ4" i="8"/>
  <c r="AU4" i="8"/>
  <c r="AI4" i="8"/>
  <c r="AT4" i="8"/>
  <c r="AH4" i="8"/>
  <c r="AS4" i="8"/>
  <c r="AG4" i="8"/>
  <c r="A5" i="10"/>
  <c r="AT4" i="10"/>
  <c r="AH4" i="10"/>
  <c r="AS4" i="10"/>
  <c r="AG4" i="10"/>
  <c r="AR4" i="10"/>
  <c r="AF4" i="10"/>
  <c r="AQ4" i="10"/>
  <c r="AE4" i="10"/>
  <c r="AP4" i="10"/>
  <c r="AD4" i="10"/>
  <c r="AO4" i="10"/>
  <c r="AN4" i="10"/>
  <c r="AV4" i="10"/>
  <c r="AM4" i="10"/>
  <c r="AL4" i="10"/>
  <c r="AK4" i="10"/>
  <c r="AJ4" i="10"/>
  <c r="AI4" i="10"/>
  <c r="AU4" i="10"/>
  <c r="A4" i="5"/>
  <c r="A7" i="8" l="1"/>
  <c r="AP6" i="8"/>
  <c r="AD6" i="8"/>
  <c r="AO6" i="8"/>
  <c r="AN6" i="8"/>
  <c r="AM6" i="8"/>
  <c r="AL6" i="8"/>
  <c r="AK6" i="8"/>
  <c r="AV6" i="8"/>
  <c r="AJ6" i="8"/>
  <c r="AU6" i="8"/>
  <c r="AI6" i="8"/>
  <c r="AT6" i="8"/>
  <c r="AH6" i="8"/>
  <c r="AS6" i="8"/>
  <c r="AG6" i="8"/>
  <c r="AR6" i="8"/>
  <c r="AF6" i="8"/>
  <c r="AQ6" i="8"/>
  <c r="AE6" i="8"/>
  <c r="A6" i="10"/>
  <c r="AM5" i="10"/>
  <c r="AO5" i="10"/>
  <c r="AL5" i="10"/>
  <c r="AK5" i="10"/>
  <c r="AV5" i="10"/>
  <c r="AJ5" i="10"/>
  <c r="AU5" i="10"/>
  <c r="AI5" i="10"/>
  <c r="AT5" i="10"/>
  <c r="AH5" i="10"/>
  <c r="AQ5" i="10"/>
  <c r="AS5" i="10"/>
  <c r="AG5" i="10"/>
  <c r="AE5" i="10"/>
  <c r="AR5" i="10"/>
  <c r="AF5" i="10"/>
  <c r="AP5" i="10"/>
  <c r="AD5" i="10"/>
  <c r="AN5" i="10"/>
  <c r="A5" i="5"/>
  <c r="A8" i="8" l="1"/>
  <c r="AU7" i="8"/>
  <c r="AI7" i="8"/>
  <c r="AT7" i="8"/>
  <c r="AH7" i="8"/>
  <c r="AS7" i="8"/>
  <c r="AG7" i="8"/>
  <c r="AR7" i="8"/>
  <c r="AF7" i="8"/>
  <c r="AQ7" i="8"/>
  <c r="AE7" i="8"/>
  <c r="AP7" i="8"/>
  <c r="AD7" i="8"/>
  <c r="AO7" i="8"/>
  <c r="AN7" i="8"/>
  <c r="AM7" i="8"/>
  <c r="AL7" i="8"/>
  <c r="AK7" i="8"/>
  <c r="AV7" i="8"/>
  <c r="AJ7" i="8"/>
  <c r="A7" i="10"/>
  <c r="AR6" i="10"/>
  <c r="AF6" i="10"/>
  <c r="AQ6" i="10"/>
  <c r="AE6" i="10"/>
  <c r="AP6" i="10"/>
  <c r="AD6" i="10"/>
  <c r="AO6" i="10"/>
  <c r="AN6" i="10"/>
  <c r="AM6" i="10"/>
  <c r="AH6" i="10"/>
  <c r="AL6" i="10"/>
  <c r="AV6" i="10"/>
  <c r="AT6" i="10"/>
  <c r="AK6" i="10"/>
  <c r="AJ6" i="10"/>
  <c r="AU6" i="10"/>
  <c r="AI6" i="10"/>
  <c r="AS6" i="10"/>
  <c r="AG6" i="10"/>
  <c r="A6" i="5"/>
  <c r="A9" i="8" l="1"/>
  <c r="AN8" i="8"/>
  <c r="AM8" i="8"/>
  <c r="AL8" i="8"/>
  <c r="AK8" i="8"/>
  <c r="AV8" i="8"/>
  <c r="AJ8" i="8"/>
  <c r="AU8" i="8"/>
  <c r="AI8" i="8"/>
  <c r="AT8" i="8"/>
  <c r="AH8" i="8"/>
  <c r="AS8" i="8"/>
  <c r="AG8" i="8"/>
  <c r="AR8" i="8"/>
  <c r="AF8" i="8"/>
  <c r="AQ8" i="8"/>
  <c r="AE8" i="8"/>
  <c r="AP8" i="8"/>
  <c r="AD8" i="8"/>
  <c r="AO8" i="8"/>
  <c r="A8" i="10"/>
  <c r="AK7" i="10"/>
  <c r="AV7" i="10"/>
  <c r="AJ7" i="10"/>
  <c r="AU7" i="10"/>
  <c r="AI7" i="10"/>
  <c r="AT7" i="10"/>
  <c r="AH7" i="10"/>
  <c r="AS7" i="10"/>
  <c r="AG7" i="10"/>
  <c r="AR7" i="10"/>
  <c r="AF7" i="10"/>
  <c r="AQ7" i="10"/>
  <c r="AE7" i="10"/>
  <c r="AP7" i="10"/>
  <c r="AD7" i="10"/>
  <c r="AO7" i="10"/>
  <c r="AN7" i="10"/>
  <c r="AM7" i="10"/>
  <c r="AL7" i="10"/>
  <c r="A7" i="5"/>
  <c r="A10" i="8" l="1"/>
  <c r="AS9" i="8"/>
  <c r="AG9" i="8"/>
  <c r="AR9" i="8"/>
  <c r="AF9" i="8"/>
  <c r="AQ9" i="8"/>
  <c r="AE9" i="8"/>
  <c r="AP9" i="8"/>
  <c r="AD9" i="8"/>
  <c r="AO9" i="8"/>
  <c r="AN9" i="8"/>
  <c r="AM9" i="8"/>
  <c r="AL9" i="8"/>
  <c r="AK9" i="8"/>
  <c r="AV9" i="8"/>
  <c r="AJ9" i="8"/>
  <c r="AU9" i="8"/>
  <c r="AI9" i="8"/>
  <c r="AT9" i="8"/>
  <c r="AH9" i="8"/>
  <c r="A9" i="10"/>
  <c r="AP8" i="10"/>
  <c r="AD8" i="10"/>
  <c r="AO8" i="10"/>
  <c r="AN8" i="10"/>
  <c r="AM8" i="10"/>
  <c r="AL8" i="10"/>
  <c r="AK8" i="10"/>
  <c r="AH8" i="10"/>
  <c r="AV8" i="10"/>
  <c r="AJ8" i="10"/>
  <c r="AT8" i="10"/>
  <c r="AR8" i="10"/>
  <c r="AU8" i="10"/>
  <c r="AI8" i="10"/>
  <c r="AF8" i="10"/>
  <c r="AS8" i="10"/>
  <c r="AG8" i="10"/>
  <c r="AQ8" i="10"/>
  <c r="AE8" i="10"/>
  <c r="A8" i="5"/>
  <c r="A11" i="8" l="1"/>
  <c r="AL10" i="8"/>
  <c r="AK10" i="8"/>
  <c r="AV10" i="8"/>
  <c r="AJ10" i="8"/>
  <c r="AU10" i="8"/>
  <c r="AI10" i="8"/>
  <c r="AT10" i="8"/>
  <c r="AH10" i="8"/>
  <c r="AS10" i="8"/>
  <c r="AG10" i="8"/>
  <c r="AR10" i="8"/>
  <c r="AF10" i="8"/>
  <c r="AQ10" i="8"/>
  <c r="AE10" i="8"/>
  <c r="AP10" i="8"/>
  <c r="AD10" i="8"/>
  <c r="AO10" i="8"/>
  <c r="AN10" i="8"/>
  <c r="AM10" i="8"/>
  <c r="A10" i="10"/>
  <c r="AU9" i="10"/>
  <c r="AI9" i="10"/>
  <c r="AT9" i="10"/>
  <c r="AH9" i="10"/>
  <c r="AS9" i="10"/>
  <c r="AG9" i="10"/>
  <c r="AR9" i="10"/>
  <c r="AF9" i="10"/>
  <c r="AQ9" i="10"/>
  <c r="AE9" i="10"/>
  <c r="AP9" i="10"/>
  <c r="AD9" i="10"/>
  <c r="AO9" i="10"/>
  <c r="AN9" i="10"/>
  <c r="AM9" i="10"/>
  <c r="AL9" i="10"/>
  <c r="AK9" i="10"/>
  <c r="AJ9" i="10"/>
  <c r="AV9" i="10"/>
  <c r="A9" i="5"/>
  <c r="A12" i="8" l="1"/>
  <c r="AQ11" i="8"/>
  <c r="AE11" i="8"/>
  <c r="AP11" i="8"/>
  <c r="AD11" i="8"/>
  <c r="AO11" i="8"/>
  <c r="AN11" i="8"/>
  <c r="AM11" i="8"/>
  <c r="AL11" i="8"/>
  <c r="AK11" i="8"/>
  <c r="AV11" i="8"/>
  <c r="AJ11" i="8"/>
  <c r="AU11" i="8"/>
  <c r="AI11" i="8"/>
  <c r="AT11" i="8"/>
  <c r="AH11" i="8"/>
  <c r="AS11" i="8"/>
  <c r="AG11" i="8"/>
  <c r="AR11" i="8"/>
  <c r="AF11" i="8"/>
  <c r="A11" i="10"/>
  <c r="AN10" i="10"/>
  <c r="AM10" i="10"/>
  <c r="AL10" i="10"/>
  <c r="AK10" i="10"/>
  <c r="AV10" i="10"/>
  <c r="AJ10" i="10"/>
  <c r="AU10" i="10"/>
  <c r="AI10" i="10"/>
  <c r="AF10" i="10"/>
  <c r="AT10" i="10"/>
  <c r="AH10" i="10"/>
  <c r="AR10" i="10"/>
  <c r="AP10" i="10"/>
  <c r="AS10" i="10"/>
  <c r="AG10" i="10"/>
  <c r="AD10" i="10"/>
  <c r="AQ10" i="10"/>
  <c r="AE10" i="10"/>
  <c r="AO10" i="10"/>
  <c r="A10" i="5"/>
  <c r="A13" i="8" l="1"/>
  <c r="A14" i="8" s="1"/>
  <c r="AV12" i="8"/>
  <c r="AJ12" i="8"/>
  <c r="AU12" i="8"/>
  <c r="AI12" i="8"/>
  <c r="AT12" i="8"/>
  <c r="AH12" i="8"/>
  <c r="AS12" i="8"/>
  <c r="AG12" i="8"/>
  <c r="AR12" i="8"/>
  <c r="AF12" i="8"/>
  <c r="AQ12" i="8"/>
  <c r="AE12" i="8"/>
  <c r="AP12" i="8"/>
  <c r="AD12" i="8"/>
  <c r="AO12" i="8"/>
  <c r="AN12" i="8"/>
  <c r="AM12" i="8"/>
  <c r="AL12" i="8"/>
  <c r="AK12" i="8"/>
  <c r="A12" i="10"/>
  <c r="AS11" i="10"/>
  <c r="AG11" i="10"/>
  <c r="AR11" i="10"/>
  <c r="AF11" i="10"/>
  <c r="AQ11" i="10"/>
  <c r="AE11" i="10"/>
  <c r="AP11" i="10"/>
  <c r="AD11" i="10"/>
  <c r="AO11" i="10"/>
  <c r="AN11" i="10"/>
  <c r="AM11" i="10"/>
  <c r="AL11" i="10"/>
  <c r="AK11" i="10"/>
  <c r="AV11" i="10"/>
  <c r="AJ11" i="10"/>
  <c r="AU11" i="10"/>
  <c r="AI11" i="10"/>
  <c r="AT11" i="10"/>
  <c r="AH11" i="10"/>
  <c r="A11" i="5"/>
  <c r="A15" i="8" l="1"/>
  <c r="AK14" i="8"/>
  <c r="AV14" i="8"/>
  <c r="AJ14" i="8"/>
  <c r="AU14" i="8"/>
  <c r="AI14" i="8"/>
  <c r="AT14" i="8"/>
  <c r="AH14" i="8"/>
  <c r="AS14" i="8"/>
  <c r="AG14" i="8"/>
  <c r="AR14" i="8"/>
  <c r="AF14" i="8"/>
  <c r="AQ14" i="8"/>
  <c r="AE14" i="8"/>
  <c r="AP14" i="8"/>
  <c r="AD14" i="8"/>
  <c r="AO14" i="8"/>
  <c r="AN14" i="8"/>
  <c r="AM14" i="8"/>
  <c r="AL14" i="8"/>
  <c r="AO13" i="8"/>
  <c r="AN13" i="8"/>
  <c r="AM13" i="8"/>
  <c r="AL13" i="8"/>
  <c r="AK13" i="8"/>
  <c r="AV13" i="8"/>
  <c r="AJ13" i="8"/>
  <c r="AU13" i="8"/>
  <c r="AI13" i="8"/>
  <c r="AT13" i="8"/>
  <c r="AH13" i="8"/>
  <c r="AS13" i="8"/>
  <c r="AG13" i="8"/>
  <c r="AR13" i="8"/>
  <c r="AF13" i="8"/>
  <c r="AQ13" i="8"/>
  <c r="AE13" i="8"/>
  <c r="AP13" i="8"/>
  <c r="AD13" i="8"/>
  <c r="A13" i="10"/>
  <c r="AL12" i="10"/>
  <c r="AK12" i="10"/>
  <c r="AV12" i="10"/>
  <c r="AJ12" i="10"/>
  <c r="AU12" i="10"/>
  <c r="AI12" i="10"/>
  <c r="AT12" i="10"/>
  <c r="AH12" i="10"/>
  <c r="AS12" i="10"/>
  <c r="AG12" i="10"/>
  <c r="AP12" i="10"/>
  <c r="AR12" i="10"/>
  <c r="AF12" i="10"/>
  <c r="AD12" i="10"/>
  <c r="AQ12" i="10"/>
  <c r="AE12" i="10"/>
  <c r="AO12" i="10"/>
  <c r="AN12" i="10"/>
  <c r="AM12" i="10"/>
  <c r="A12" i="5"/>
  <c r="A16" i="8" l="1"/>
  <c r="AP15" i="8"/>
  <c r="AD15" i="8"/>
  <c r="AO15" i="8"/>
  <c r="AN15" i="8"/>
  <c r="AM15" i="8"/>
  <c r="AL15" i="8"/>
  <c r="AK15" i="8"/>
  <c r="AV15" i="8"/>
  <c r="AJ15" i="8"/>
  <c r="AU15" i="8"/>
  <c r="AI15" i="8"/>
  <c r="AT15" i="8"/>
  <c r="AH15" i="8"/>
  <c r="AS15" i="8"/>
  <c r="AG15" i="8"/>
  <c r="AR15" i="8"/>
  <c r="AF15" i="8"/>
  <c r="AQ15" i="8"/>
  <c r="AE15" i="8"/>
  <c r="AQ13" i="10"/>
  <c r="AE13" i="10"/>
  <c r="AP13" i="10"/>
  <c r="AD13" i="10"/>
  <c r="AO13" i="10"/>
  <c r="AN13" i="10"/>
  <c r="AM13" i="10"/>
  <c r="AL13" i="10"/>
  <c r="AK13" i="10"/>
  <c r="AU13" i="10"/>
  <c r="AV13" i="10"/>
  <c r="AJ13" i="10"/>
  <c r="AI13" i="10"/>
  <c r="AT13" i="10"/>
  <c r="AH13" i="10"/>
  <c r="AS13" i="10"/>
  <c r="AR13" i="10"/>
  <c r="AG13" i="10"/>
  <c r="AF13" i="10"/>
  <c r="A14" i="10"/>
  <c r="A13" i="5"/>
  <c r="A17" i="8" l="1"/>
  <c r="AU16" i="8"/>
  <c r="AI16" i="8"/>
  <c r="AT16" i="8"/>
  <c r="AH16" i="8"/>
  <c r="AS16" i="8"/>
  <c r="AG16" i="8"/>
  <c r="AR16" i="8"/>
  <c r="AF16" i="8"/>
  <c r="AQ16" i="8"/>
  <c r="AE16" i="8"/>
  <c r="AP16" i="8"/>
  <c r="AD16" i="8"/>
  <c r="AO16" i="8"/>
  <c r="AN16" i="8"/>
  <c r="AM16" i="8"/>
  <c r="AL16" i="8"/>
  <c r="AK16" i="8"/>
  <c r="AV16" i="8"/>
  <c r="AJ16" i="8"/>
  <c r="A15" i="10"/>
  <c r="AV14" i="10"/>
  <c r="AJ14" i="10"/>
  <c r="AU14" i="10"/>
  <c r="AI14" i="10"/>
  <c r="AT14" i="10"/>
  <c r="AH14" i="10"/>
  <c r="AS14" i="10"/>
  <c r="AG14" i="10"/>
  <c r="AR14" i="10"/>
  <c r="AF14" i="10"/>
  <c r="AQ14" i="10"/>
  <c r="AE14" i="10"/>
  <c r="AP14" i="10"/>
  <c r="AD14" i="10"/>
  <c r="AO14" i="10"/>
  <c r="AN14" i="10"/>
  <c r="AM14" i="10"/>
  <c r="AL14" i="10"/>
  <c r="AK14" i="10"/>
  <c r="A14" i="5"/>
  <c r="A18" i="8" l="1"/>
  <c r="AN17" i="8"/>
  <c r="AM17" i="8"/>
  <c r="AL17" i="8"/>
  <c r="AK17" i="8"/>
  <c r="AV17" i="8"/>
  <c r="AJ17" i="8"/>
  <c r="AU17" i="8"/>
  <c r="AI17" i="8"/>
  <c r="AT17" i="8"/>
  <c r="AH17" i="8"/>
  <c r="AS17" i="8"/>
  <c r="AG17" i="8"/>
  <c r="AR17" i="8"/>
  <c r="AF17" i="8"/>
  <c r="AQ17" i="8"/>
  <c r="AE17" i="8"/>
  <c r="AP17" i="8"/>
  <c r="AD17" i="8"/>
  <c r="AO17" i="8"/>
  <c r="A16" i="10"/>
  <c r="AO15" i="10"/>
  <c r="AN15" i="10"/>
  <c r="AS15" i="10"/>
  <c r="AM15" i="10"/>
  <c r="AL15" i="10"/>
  <c r="AK15" i="10"/>
  <c r="AV15" i="10"/>
  <c r="AJ15" i="10"/>
  <c r="AG15" i="10"/>
  <c r="AU15" i="10"/>
  <c r="AI15" i="10"/>
  <c r="AT15" i="10"/>
  <c r="AH15" i="10"/>
  <c r="AR15" i="10"/>
  <c r="AF15" i="10"/>
  <c r="AQ15" i="10"/>
  <c r="AD15" i="10"/>
  <c r="AP15" i="10"/>
  <c r="AE15" i="10"/>
  <c r="A15" i="5"/>
  <c r="A19" i="8" l="1"/>
  <c r="AS18" i="8"/>
  <c r="AG18" i="8"/>
  <c r="AR18" i="8"/>
  <c r="AF18" i="8"/>
  <c r="AQ18" i="8"/>
  <c r="AE18" i="8"/>
  <c r="AP18" i="8"/>
  <c r="AD18" i="8"/>
  <c r="AO18" i="8"/>
  <c r="AN18" i="8"/>
  <c r="AM18" i="8"/>
  <c r="AL18" i="8"/>
  <c r="AK18" i="8"/>
  <c r="AV18" i="8"/>
  <c r="AJ18" i="8"/>
  <c r="AU18" i="8"/>
  <c r="AI18" i="8"/>
  <c r="AT18" i="8"/>
  <c r="AH18" i="8"/>
  <c r="A17" i="10"/>
  <c r="AT16" i="10"/>
  <c r="AH16" i="10"/>
  <c r="AJ16" i="10"/>
  <c r="AS16" i="10"/>
  <c r="AG16" i="10"/>
  <c r="AR16" i="10"/>
  <c r="AF16" i="10"/>
  <c r="AQ16" i="10"/>
  <c r="AE16" i="10"/>
  <c r="AP16" i="10"/>
  <c r="AD16" i="10"/>
  <c r="AO16" i="10"/>
  <c r="AV16" i="10"/>
  <c r="AN16" i="10"/>
  <c r="AL16" i="10"/>
  <c r="AM16" i="10"/>
  <c r="AK16" i="10"/>
  <c r="AU16" i="10"/>
  <c r="AI16" i="10"/>
  <c r="A16" i="5"/>
  <c r="A20" i="8" l="1"/>
  <c r="AL19" i="8"/>
  <c r="AK19" i="8"/>
  <c r="AV19" i="8"/>
  <c r="AJ19" i="8"/>
  <c r="AU19" i="8"/>
  <c r="AI19" i="8"/>
  <c r="AT19" i="8"/>
  <c r="AH19" i="8"/>
  <c r="AS19" i="8"/>
  <c r="AG19" i="8"/>
  <c r="AR19" i="8"/>
  <c r="AF19" i="8"/>
  <c r="AQ19" i="8"/>
  <c r="AE19" i="8"/>
  <c r="AP19" i="8"/>
  <c r="AD19" i="8"/>
  <c r="AO19" i="8"/>
  <c r="AN19" i="8"/>
  <c r="AM19" i="8"/>
  <c r="A18" i="10"/>
  <c r="AM17" i="10"/>
  <c r="AQ17" i="10"/>
  <c r="AL17" i="10"/>
  <c r="AK17" i="10"/>
  <c r="AV17" i="10"/>
  <c r="AJ17" i="10"/>
  <c r="AU17" i="10"/>
  <c r="AI17" i="10"/>
  <c r="AT17" i="10"/>
  <c r="AH17" i="10"/>
  <c r="AS17" i="10"/>
  <c r="AG17" i="10"/>
  <c r="AR17" i="10"/>
  <c r="AF17" i="10"/>
  <c r="AE17" i="10"/>
  <c r="AP17" i="10"/>
  <c r="AD17" i="10"/>
  <c r="AO17" i="10"/>
  <c r="AN17" i="10"/>
  <c r="A17" i="5"/>
  <c r="A21" i="8" l="1"/>
  <c r="AQ20" i="8"/>
  <c r="AE20" i="8"/>
  <c r="AP20" i="8"/>
  <c r="AD20" i="8"/>
  <c r="AO20" i="8"/>
  <c r="AN20" i="8"/>
  <c r="AM20" i="8"/>
  <c r="AL20" i="8"/>
  <c r="AK20" i="8"/>
  <c r="AV20" i="8"/>
  <c r="AJ20" i="8"/>
  <c r="AU20" i="8"/>
  <c r="AI20" i="8"/>
  <c r="AT20" i="8"/>
  <c r="AH20" i="8"/>
  <c r="AS20" i="8"/>
  <c r="AG20" i="8"/>
  <c r="AR20" i="8"/>
  <c r="AF20" i="8"/>
  <c r="A19" i="10"/>
  <c r="AR18" i="10"/>
  <c r="AF18" i="10"/>
  <c r="AQ18" i="10"/>
  <c r="AE18" i="10"/>
  <c r="AP18" i="10"/>
  <c r="AD18" i="10"/>
  <c r="AO18" i="10"/>
  <c r="AN18" i="10"/>
  <c r="AM18" i="10"/>
  <c r="AJ18" i="10"/>
  <c r="AL18" i="10"/>
  <c r="AK18" i="10"/>
  <c r="AV18" i="10"/>
  <c r="AU18" i="10"/>
  <c r="AI18" i="10"/>
  <c r="AT18" i="10"/>
  <c r="AH18" i="10"/>
  <c r="AS18" i="10"/>
  <c r="AG18" i="10"/>
  <c r="A18" i="5"/>
  <c r="AV21" i="8" l="1"/>
  <c r="AJ21" i="8"/>
  <c r="AU21" i="8"/>
  <c r="AI21" i="8"/>
  <c r="AT21" i="8"/>
  <c r="AH21" i="8"/>
  <c r="AS21" i="8"/>
  <c r="AG21" i="8"/>
  <c r="AR21" i="8"/>
  <c r="AF21" i="8"/>
  <c r="AQ21" i="8"/>
  <c r="AE21" i="8"/>
  <c r="AP21" i="8"/>
  <c r="AD21" i="8"/>
  <c r="AO21" i="8"/>
  <c r="AN21" i="8"/>
  <c r="AM21" i="8"/>
  <c r="AL21" i="8"/>
  <c r="AK21" i="8"/>
  <c r="A20" i="10"/>
  <c r="AK19" i="10"/>
  <c r="AV19" i="10"/>
  <c r="AJ19" i="10"/>
  <c r="AU19" i="10"/>
  <c r="AI19" i="10"/>
  <c r="AT19" i="10"/>
  <c r="AH19" i="10"/>
  <c r="AS19" i="10"/>
  <c r="AG19" i="10"/>
  <c r="AR19" i="10"/>
  <c r="AF19" i="10"/>
  <c r="AQ19" i="10"/>
  <c r="AE19" i="10"/>
  <c r="AO19" i="10"/>
  <c r="AM19" i="10"/>
  <c r="AP19" i="10"/>
  <c r="AD19" i="10"/>
  <c r="AN19" i="10"/>
  <c r="AL19" i="10"/>
  <c r="A19" i="5"/>
  <c r="A21" i="10" l="1"/>
  <c r="AP20" i="10"/>
  <c r="AD20" i="10"/>
  <c r="AO20" i="10"/>
  <c r="AN20" i="10"/>
  <c r="AM20" i="10"/>
  <c r="AL20" i="10"/>
  <c r="AT20" i="10"/>
  <c r="AK20" i="10"/>
  <c r="AH20" i="10"/>
  <c r="AV20" i="10"/>
  <c r="AJ20" i="10"/>
  <c r="AU20" i="10"/>
  <c r="AI20" i="10"/>
  <c r="AF20" i="10"/>
  <c r="AS20" i="10"/>
  <c r="AG20" i="10"/>
  <c r="AR20" i="10"/>
  <c r="AQ20" i="10"/>
  <c r="AE20" i="10"/>
  <c r="A20" i="5"/>
  <c r="A22" i="10" l="1"/>
  <c r="AU21" i="10"/>
  <c r="AI21" i="10"/>
  <c r="AT21" i="10"/>
  <c r="AH21" i="10"/>
  <c r="AS21" i="10"/>
  <c r="AG21" i="10"/>
  <c r="AM21" i="10"/>
  <c r="AR21" i="10"/>
  <c r="AF21" i="10"/>
  <c r="AQ21" i="10"/>
  <c r="AE21" i="10"/>
  <c r="AP21" i="10"/>
  <c r="AD21" i="10"/>
  <c r="AO21" i="10"/>
  <c r="AN21" i="10"/>
  <c r="AL21" i="10"/>
  <c r="AK21" i="10"/>
  <c r="AV21" i="10"/>
  <c r="AJ21" i="10"/>
  <c r="A21" i="5"/>
  <c r="A23" i="10" l="1"/>
  <c r="AN22" i="10"/>
  <c r="AM22" i="10"/>
  <c r="AL22" i="10"/>
  <c r="AK22" i="10"/>
  <c r="AF22" i="10"/>
  <c r="AV22" i="10"/>
  <c r="AJ22" i="10"/>
  <c r="AU22" i="10"/>
  <c r="AI22" i="10"/>
  <c r="AT22" i="10"/>
  <c r="AH22" i="10"/>
  <c r="AR22" i="10"/>
  <c r="AS22" i="10"/>
  <c r="AG22" i="10"/>
  <c r="AQ22" i="10"/>
  <c r="AE22" i="10"/>
  <c r="AP22" i="10"/>
  <c r="AD22" i="10"/>
  <c r="AO22" i="10"/>
  <c r="A22" i="5"/>
  <c r="AS23" i="10" l="1"/>
  <c r="AG23" i="10"/>
  <c r="AR23" i="10"/>
  <c r="AF23" i="10"/>
  <c r="AQ23" i="10"/>
  <c r="AE23" i="10"/>
  <c r="AP23" i="10"/>
  <c r="AD23" i="10"/>
  <c r="AO23" i="10"/>
  <c r="AN23" i="10"/>
  <c r="AM23" i="10"/>
  <c r="AL23" i="10"/>
  <c r="AK23" i="10"/>
  <c r="AV23" i="10"/>
  <c r="AJ23" i="10"/>
  <c r="AU23" i="10"/>
  <c r="AI23" i="10"/>
  <c r="AH23" i="10"/>
  <c r="AT23" i="10"/>
  <c r="A23" i="5"/>
  <c r="I25" i="10" l="1"/>
  <c r="S25" i="10"/>
  <c r="N25" i="10"/>
  <c r="J25" i="10"/>
  <c r="R25" i="10"/>
  <c r="C25" i="10"/>
  <c r="O25" i="10"/>
  <c r="K25" i="10"/>
  <c r="G25" i="10"/>
  <c r="D25" i="10"/>
  <c r="E25" i="10"/>
  <c r="M25" i="10"/>
  <c r="Q25" i="10"/>
  <c r="F25" i="10"/>
  <c r="P25" i="10"/>
  <c r="L25" i="10"/>
  <c r="H25" i="10"/>
  <c r="T25" i="10"/>
  <c r="B25" i="10"/>
  <c r="A24" i="5"/>
  <c r="A25" i="5" l="1"/>
  <c r="A26" i="5" l="1"/>
  <c r="A27" i="5" l="1"/>
  <c r="A28" i="5" l="1"/>
  <c r="S30" i="5" l="1"/>
  <c r="G30" i="5"/>
  <c r="R30" i="5"/>
  <c r="F30" i="5"/>
  <c r="M30" i="5"/>
  <c r="L30" i="5"/>
  <c r="J30" i="5"/>
  <c r="Q30" i="5"/>
  <c r="P30" i="5"/>
  <c r="N30" i="5"/>
  <c r="K30" i="5"/>
  <c r="I30" i="5"/>
  <c r="O30" i="5"/>
  <c r="H30" i="5"/>
  <c r="D30" i="5"/>
  <c r="E30" i="5"/>
  <c r="B30" i="5"/>
  <c r="T30" i="5"/>
  <c r="C30" i="5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AA19" i="8" l="1"/>
  <c r="AA6" i="8"/>
  <c r="AA10" i="8" l="1"/>
  <c r="AA11" i="8"/>
  <c r="AA12" i="8"/>
  <c r="AA13" i="8"/>
  <c r="AA14" i="8"/>
  <c r="AA3" i="8"/>
  <c r="AA15" i="8"/>
  <c r="AA16" i="8"/>
  <c r="AA5" i="8"/>
  <c r="AA17" i="8"/>
  <c r="AA18" i="8"/>
  <c r="AA4" i="8"/>
  <c r="AA8" i="8"/>
  <c r="AA9" i="8"/>
  <c r="AA20" i="10"/>
  <c r="AA13" i="10"/>
  <c r="AA21" i="10"/>
  <c r="AA22" i="10"/>
  <c r="AA23" i="10"/>
  <c r="AA15" i="10"/>
  <c r="AA7" i="10"/>
  <c r="AA16" i="10"/>
  <c r="AA5" i="10"/>
  <c r="AA17" i="10"/>
  <c r="AA19" i="10"/>
  <c r="AA8" i="10"/>
  <c r="AA9" i="10"/>
  <c r="AA6" i="10"/>
  <c r="AA10" i="10"/>
  <c r="AA11" i="10"/>
  <c r="AA14" i="10"/>
  <c r="AA18" i="10"/>
  <c r="AA7" i="8"/>
  <c r="AA12" i="10"/>
  <c r="AA4" i="10"/>
  <c r="AA3" i="10"/>
  <c r="T40" i="8" l="1"/>
  <c r="S40" i="8"/>
  <c r="D40" i="8"/>
  <c r="F40" i="8"/>
  <c r="I40" i="8"/>
  <c r="K40" i="8"/>
  <c r="J40" i="8"/>
  <c r="Q40" i="8"/>
  <c r="L40" i="8"/>
  <c r="N40" i="8"/>
  <c r="B40" i="8"/>
  <c r="H40" i="8"/>
  <c r="M40" i="8"/>
  <c r="P40" i="8"/>
  <c r="E40" i="8"/>
  <c r="O40" i="8"/>
  <c r="C40" i="8"/>
  <c r="R40" i="8"/>
  <c r="G40" i="8"/>
  <c r="B33" i="10"/>
  <c r="N33" i="10"/>
  <c r="J33" i="10"/>
  <c r="C33" i="10"/>
  <c r="Q33" i="10"/>
  <c r="L33" i="10"/>
  <c r="M33" i="10"/>
  <c r="O33" i="10"/>
  <c r="F33" i="10"/>
  <c r="K33" i="10"/>
  <c r="G33" i="10"/>
  <c r="S33" i="10"/>
  <c r="I33" i="10"/>
  <c r="T33" i="10"/>
  <c r="D33" i="10"/>
  <c r="R33" i="10"/>
  <c r="P33" i="10"/>
  <c r="E33" i="10"/>
  <c r="H33" i="10"/>
  <c r="Y18" i="8" l="1"/>
  <c r="Y19" i="8" l="1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T34" i="8" l="1"/>
  <c r="F34" i="8"/>
  <c r="I34" i="8"/>
  <c r="J34" i="8"/>
  <c r="N34" i="8"/>
  <c r="B34" i="8"/>
  <c r="H34" i="8"/>
  <c r="P34" i="8"/>
  <c r="O34" i="8"/>
  <c r="R34" i="8"/>
  <c r="L34" i="8"/>
  <c r="G34" i="8"/>
  <c r="D34" i="8"/>
  <c r="S34" i="8"/>
  <c r="C34" i="8"/>
  <c r="K34" i="8"/>
  <c r="E34" i="8"/>
  <c r="Q34" i="8"/>
  <c r="M34" i="8"/>
  <c r="Y22" i="10" l="1"/>
  <c r="Y3" i="10" l="1"/>
  <c r="Y2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O39" i="10" l="1"/>
  <c r="Q39" i="10"/>
  <c r="F39" i="10"/>
  <c r="G39" i="10"/>
  <c r="H39" i="10"/>
  <c r="C39" i="10"/>
  <c r="I39" i="10"/>
  <c r="K39" i="10"/>
  <c r="S39" i="10"/>
  <c r="D39" i="10"/>
  <c r="J39" i="10"/>
  <c r="R39" i="10"/>
  <c r="L39" i="10"/>
  <c r="T39" i="10"/>
  <c r="N39" i="10"/>
  <c r="E39" i="10"/>
  <c r="M39" i="10"/>
  <c r="P39" i="10"/>
  <c r="B39" i="10"/>
  <c r="V3" i="10" l="1"/>
  <c r="V17" i="10"/>
  <c r="V9" i="10"/>
  <c r="V21" i="10"/>
  <c r="V6" i="10"/>
  <c r="V12" i="10"/>
  <c r="V11" i="10"/>
  <c r="V23" i="10"/>
  <c r="V8" i="10"/>
  <c r="V22" i="10"/>
  <c r="V13" i="10"/>
  <c r="V5" i="10"/>
  <c r="V4" i="10"/>
  <c r="V20" i="10"/>
  <c r="V14" i="10"/>
  <c r="V18" i="10"/>
  <c r="V7" i="10"/>
  <c r="V10" i="10"/>
  <c r="V19" i="10"/>
  <c r="V16" i="10"/>
  <c r="V15" i="10"/>
  <c r="Z12" i="10" l="1"/>
  <c r="AB12" i="10"/>
  <c r="X12" i="10"/>
  <c r="Z6" i="10"/>
  <c r="AB6" i="10"/>
  <c r="X6" i="10"/>
  <c r="Z13" i="10"/>
  <c r="X13" i="10"/>
  <c r="AB13" i="10"/>
  <c r="Z10" i="10"/>
  <c r="AB10" i="10"/>
  <c r="X10" i="10"/>
  <c r="AB7" i="10"/>
  <c r="Z7" i="10"/>
  <c r="X7" i="10"/>
  <c r="Z5" i="10"/>
  <c r="X5" i="10"/>
  <c r="AB5" i="10"/>
  <c r="AB16" i="10"/>
  <c r="X16" i="10"/>
  <c r="Z16" i="10"/>
  <c r="Z15" i="10"/>
  <c r="X15" i="10"/>
  <c r="AB15" i="10"/>
  <c r="AB9" i="10"/>
  <c r="Z9" i="10"/>
  <c r="X9" i="10"/>
  <c r="Z4" i="10"/>
  <c r="X4" i="10"/>
  <c r="AB4" i="10"/>
  <c r="Z17" i="10"/>
  <c r="AB17" i="10"/>
  <c r="X17" i="10"/>
  <c r="X21" i="10"/>
  <c r="AB21" i="10"/>
  <c r="Z21" i="10"/>
  <c r="Z18" i="10"/>
  <c r="X18" i="10"/>
  <c r="AB18" i="10"/>
  <c r="AB19" i="10"/>
  <c r="Z19" i="10"/>
  <c r="X19" i="10"/>
  <c r="X14" i="10"/>
  <c r="Z14" i="10"/>
  <c r="AB14" i="10"/>
  <c r="Z22" i="10"/>
  <c r="X22" i="10"/>
  <c r="AB22" i="10"/>
  <c r="Z8" i="10"/>
  <c r="AB8" i="10"/>
  <c r="X8" i="10"/>
  <c r="X20" i="10"/>
  <c r="Z20" i="10"/>
  <c r="AB20" i="10"/>
  <c r="Z23" i="10"/>
  <c r="AB23" i="10"/>
  <c r="X23" i="10"/>
  <c r="Z11" i="10"/>
  <c r="X11" i="10"/>
  <c r="AB11" i="10"/>
  <c r="Z3" i="10"/>
  <c r="H26" i="10"/>
  <c r="X3" i="10"/>
  <c r="M26" i="10"/>
  <c r="L26" i="10"/>
  <c r="C26" i="10"/>
  <c r="F26" i="10"/>
  <c r="S26" i="10"/>
  <c r="N26" i="10"/>
  <c r="O26" i="10"/>
  <c r="D26" i="10"/>
  <c r="J26" i="10"/>
  <c r="R26" i="10"/>
  <c r="G26" i="10"/>
  <c r="AB3" i="10"/>
  <c r="T26" i="10"/>
  <c r="K26" i="10"/>
  <c r="Q26" i="10"/>
  <c r="E26" i="10"/>
  <c r="B26" i="10"/>
  <c r="B40" i="10" s="1"/>
  <c r="P26" i="10"/>
  <c r="I26" i="10"/>
  <c r="J40" i="10" l="1"/>
  <c r="J34" i="10"/>
  <c r="J28" i="10"/>
  <c r="D34" i="10"/>
  <c r="D40" i="10"/>
  <c r="D28" i="10"/>
  <c r="I40" i="10"/>
  <c r="I28" i="10"/>
  <c r="I34" i="10"/>
  <c r="O34" i="10"/>
  <c r="O40" i="10"/>
  <c r="O28" i="10"/>
  <c r="P34" i="10"/>
  <c r="P40" i="10"/>
  <c r="P28" i="10"/>
  <c r="N34" i="10"/>
  <c r="N28" i="10"/>
  <c r="N40" i="10"/>
  <c r="B28" i="10"/>
  <c r="B34" i="10"/>
  <c r="S40" i="10"/>
  <c r="S34" i="10"/>
  <c r="S28" i="10"/>
  <c r="E28" i="10"/>
  <c r="E40" i="10"/>
  <c r="E34" i="10"/>
  <c r="F34" i="10"/>
  <c r="F28" i="10"/>
  <c r="F40" i="10"/>
  <c r="Q34" i="10"/>
  <c r="Q40" i="10"/>
  <c r="Q28" i="10"/>
  <c r="C40" i="10"/>
  <c r="C28" i="10"/>
  <c r="C34" i="10"/>
  <c r="K34" i="10"/>
  <c r="K40" i="10"/>
  <c r="K28" i="10"/>
  <c r="L40" i="10"/>
  <c r="L34" i="10"/>
  <c r="L28" i="10"/>
  <c r="T34" i="10"/>
  <c r="T28" i="10"/>
  <c r="T40" i="10"/>
  <c r="M28" i="10"/>
  <c r="M34" i="10"/>
  <c r="M40" i="10"/>
  <c r="G35" i="10"/>
  <c r="M35" i="10"/>
  <c r="Q35" i="10"/>
  <c r="R35" i="10"/>
  <c r="T35" i="10"/>
  <c r="O35" i="10"/>
  <c r="N35" i="10"/>
  <c r="B35" i="10"/>
  <c r="F35" i="10"/>
  <c r="S35" i="10"/>
  <c r="K35" i="10"/>
  <c r="C35" i="10"/>
  <c r="I35" i="10"/>
  <c r="L35" i="10"/>
  <c r="D35" i="10"/>
  <c r="E35" i="10"/>
  <c r="J35" i="10"/>
  <c r="P35" i="10"/>
  <c r="H35" i="10"/>
  <c r="G29" i="10"/>
  <c r="B29" i="10"/>
  <c r="C29" i="10"/>
  <c r="S29" i="10"/>
  <c r="E29" i="10"/>
  <c r="P29" i="10"/>
  <c r="F29" i="10"/>
  <c r="R29" i="10"/>
  <c r="Q29" i="10"/>
  <c r="J29" i="10"/>
  <c r="T29" i="10"/>
  <c r="K29" i="10"/>
  <c r="O29" i="10"/>
  <c r="N29" i="10"/>
  <c r="D29" i="10"/>
  <c r="L29" i="10"/>
  <c r="M29" i="10"/>
  <c r="I29" i="10"/>
  <c r="H29" i="10"/>
  <c r="G28" i="10"/>
  <c r="G34" i="10"/>
  <c r="G40" i="10"/>
  <c r="H34" i="10"/>
  <c r="H40" i="10"/>
  <c r="H28" i="10"/>
  <c r="R28" i="10"/>
  <c r="R31" i="10" s="1"/>
  <c r="R34" i="10"/>
  <c r="R40" i="10"/>
  <c r="J41" i="10"/>
  <c r="Q41" i="10"/>
  <c r="T41" i="10"/>
  <c r="E41" i="10"/>
  <c r="H41" i="10"/>
  <c r="D41" i="10"/>
  <c r="K41" i="10"/>
  <c r="R41" i="10"/>
  <c r="P41" i="10"/>
  <c r="C41" i="10"/>
  <c r="O41" i="10"/>
  <c r="M41" i="10"/>
  <c r="L41" i="10"/>
  <c r="G41" i="10"/>
  <c r="N41" i="10"/>
  <c r="B41" i="10"/>
  <c r="S41" i="10"/>
  <c r="F41" i="10"/>
  <c r="I41" i="10"/>
  <c r="E31" i="10" l="1"/>
  <c r="I30" i="10"/>
  <c r="M42" i="10"/>
  <c r="M43" i="10"/>
  <c r="C37" i="10"/>
  <c r="C36" i="10"/>
  <c r="S31" i="10"/>
  <c r="S30" i="10"/>
  <c r="O30" i="10"/>
  <c r="O31" i="10"/>
  <c r="R43" i="10"/>
  <c r="R42" i="10"/>
  <c r="M36" i="10"/>
  <c r="M37" i="10"/>
  <c r="C30" i="10"/>
  <c r="C31" i="10"/>
  <c r="S37" i="10"/>
  <c r="S36" i="10"/>
  <c r="O43" i="10"/>
  <c r="O42" i="10"/>
  <c r="R37" i="10"/>
  <c r="R36" i="10"/>
  <c r="M31" i="10"/>
  <c r="M30" i="10"/>
  <c r="C42" i="10"/>
  <c r="C43" i="10"/>
  <c r="S42" i="10"/>
  <c r="S43" i="10"/>
  <c r="O36" i="10"/>
  <c r="O37" i="10"/>
  <c r="T42" i="10"/>
  <c r="T43" i="10"/>
  <c r="Q31" i="10"/>
  <c r="Q30" i="10"/>
  <c r="B36" i="10"/>
  <c r="B37" i="10"/>
  <c r="I37" i="10"/>
  <c r="I36" i="10"/>
  <c r="H31" i="10"/>
  <c r="H30" i="10"/>
  <c r="T31" i="10"/>
  <c r="T30" i="10"/>
  <c r="Q43" i="10"/>
  <c r="Q42" i="10"/>
  <c r="B42" i="10"/>
  <c r="B43" i="10"/>
  <c r="H42" i="10"/>
  <c r="H43" i="10"/>
  <c r="T37" i="10"/>
  <c r="T36" i="10"/>
  <c r="Q37" i="10"/>
  <c r="Q36" i="10"/>
  <c r="B31" i="10"/>
  <c r="B30" i="10"/>
  <c r="I43" i="10"/>
  <c r="I42" i="10"/>
  <c r="H37" i="10"/>
  <c r="H36" i="10"/>
  <c r="L31" i="10"/>
  <c r="L30" i="10"/>
  <c r="F43" i="10"/>
  <c r="F42" i="10"/>
  <c r="N43" i="10"/>
  <c r="N42" i="10"/>
  <c r="D30" i="10"/>
  <c r="D31" i="10"/>
  <c r="G43" i="10"/>
  <c r="G42" i="10"/>
  <c r="L36" i="10"/>
  <c r="L37" i="10"/>
  <c r="F31" i="10"/>
  <c r="F30" i="10"/>
  <c r="N30" i="10"/>
  <c r="N31" i="10"/>
  <c r="D43" i="10"/>
  <c r="D42" i="10"/>
  <c r="G36" i="10"/>
  <c r="G37" i="10"/>
  <c r="L42" i="10"/>
  <c r="L43" i="10"/>
  <c r="F36" i="10"/>
  <c r="F37" i="10"/>
  <c r="N37" i="10"/>
  <c r="N36" i="10"/>
  <c r="D36" i="10"/>
  <c r="D37" i="10"/>
  <c r="G31" i="10"/>
  <c r="G30" i="10"/>
  <c r="R30" i="10"/>
  <c r="K30" i="10"/>
  <c r="K31" i="10"/>
  <c r="E36" i="10"/>
  <c r="E37" i="10"/>
  <c r="P31" i="10"/>
  <c r="P30" i="10"/>
  <c r="J30" i="10"/>
  <c r="J31" i="10"/>
  <c r="K42" i="10"/>
  <c r="K43" i="10"/>
  <c r="E43" i="10"/>
  <c r="E42" i="10"/>
  <c r="P42" i="10"/>
  <c r="P43" i="10"/>
  <c r="J36" i="10"/>
  <c r="J37" i="10"/>
  <c r="I31" i="10"/>
  <c r="K36" i="10"/>
  <c r="K37" i="10"/>
  <c r="E30" i="10"/>
  <c r="P37" i="10"/>
  <c r="P36" i="10"/>
  <c r="J43" i="10"/>
  <c r="J42" i="10"/>
  <c r="E24" i="21" l="1"/>
  <c r="P26" i="21"/>
  <c r="B29" i="21"/>
  <c r="C27" i="21"/>
  <c r="L25" i="21"/>
  <c r="B28" i="21"/>
  <c r="J33" i="21"/>
  <c r="M31" i="21"/>
  <c r="H26" i="21"/>
  <c r="H30" i="21"/>
  <c r="K26" i="21"/>
  <c r="P27" i="21"/>
  <c r="R24" i="21"/>
  <c r="I26" i="21"/>
  <c r="R28" i="21"/>
  <c r="D32" i="21"/>
  <c r="F29" i="21"/>
  <c r="J24" i="21"/>
  <c r="C25" i="21"/>
  <c r="D24" i="21"/>
  <c r="B26" i="21"/>
  <c r="K32" i="21"/>
  <c r="L32" i="21"/>
  <c r="D26" i="21"/>
  <c r="H28" i="21"/>
  <c r="L29" i="21"/>
  <c r="Q26" i="21"/>
  <c r="R26" i="21"/>
  <c r="D33" i="21"/>
  <c r="F32" i="21"/>
  <c r="L27" i="21"/>
  <c r="C31" i="21"/>
  <c r="H24" i="21"/>
  <c r="J31" i="21"/>
  <c r="L33" i="21"/>
  <c r="M36" i="21"/>
  <c r="H32" i="21"/>
  <c r="R27" i="21"/>
  <c r="J27" i="21"/>
  <c r="K25" i="21"/>
  <c r="C38" i="21"/>
  <c r="C44" i="21"/>
  <c r="D28" i="21"/>
  <c r="E27" i="21"/>
  <c r="G29" i="21"/>
  <c r="J35" i="21"/>
  <c r="I28" i="21"/>
  <c r="K24" i="21"/>
  <c r="K28" i="21"/>
  <c r="F30" i="21"/>
  <c r="E30" i="21"/>
  <c r="F27" i="21"/>
  <c r="C30" i="21"/>
  <c r="N26" i="21"/>
  <c r="J28" i="21"/>
  <c r="J30" i="21"/>
  <c r="N30" i="21"/>
  <c r="N32" i="21"/>
  <c r="E29" i="21"/>
  <c r="L34" i="21"/>
  <c r="K31" i="21"/>
  <c r="H29" i="21"/>
  <c r="J25" i="21"/>
  <c r="G27" i="21"/>
  <c r="N25" i="21"/>
  <c r="E28" i="21"/>
  <c r="L31" i="21"/>
  <c r="K33" i="21"/>
  <c r="K27" i="21"/>
  <c r="F24" i="21"/>
  <c r="L26" i="21"/>
  <c r="D27" i="21"/>
  <c r="C32" i="21"/>
  <c r="N28" i="21"/>
  <c r="C24" i="21"/>
  <c r="N24" i="21"/>
  <c r="I27" i="21"/>
  <c r="H25" i="21"/>
  <c r="I32" i="21"/>
  <c r="I29" i="21"/>
  <c r="I24" i="21"/>
  <c r="E26" i="21"/>
  <c r="G25" i="21"/>
  <c r="B34" i="21"/>
  <c r="C34" i="21"/>
  <c r="F25" i="21"/>
  <c r="H31" i="21"/>
  <c r="K29" i="21"/>
  <c r="L30" i="21"/>
  <c r="B30" i="21"/>
  <c r="E31" i="21"/>
  <c r="G30" i="21"/>
  <c r="C26" i="21"/>
  <c r="B32" i="21"/>
  <c r="K40" i="21"/>
  <c r="I34" i="21"/>
  <c r="L37" i="21"/>
  <c r="F26" i="21"/>
  <c r="B25" i="21"/>
  <c r="J29" i="21"/>
  <c r="E44" i="21"/>
  <c r="R32" i="21"/>
  <c r="F34" i="21"/>
  <c r="J26" i="21"/>
  <c r="E35" i="21"/>
  <c r="C33" i="21"/>
  <c r="I30" i="21"/>
  <c r="G31" i="21"/>
  <c r="D29" i="21"/>
  <c r="E25" i="21"/>
  <c r="C29" i="21"/>
  <c r="R25" i="21"/>
  <c r="G24" i="21"/>
  <c r="D34" i="21"/>
  <c r="C28" i="21"/>
  <c r="L28" i="21"/>
  <c r="H27" i="21"/>
  <c r="B27" i="21"/>
  <c r="P28" i="21"/>
  <c r="B24" i="21"/>
  <c r="F28" i="21"/>
  <c r="N37" i="21"/>
  <c r="G32" i="21"/>
  <c r="E32" i="21"/>
  <c r="L24" i="21"/>
  <c r="P29" i="21"/>
  <c r="J32" i="21"/>
  <c r="G26" i="21"/>
  <c r="G28" i="21"/>
  <c r="D25" i="21"/>
  <c r="I25" i="21"/>
  <c r="N34" i="21"/>
  <c r="H34" i="21"/>
  <c r="D30" i="21" l="1"/>
  <c r="B46" i="21" s="1"/>
  <c r="V4" i="8"/>
  <c r="Z4" i="8" l="1"/>
  <c r="X4" i="8"/>
  <c r="AB4" i="8"/>
  <c r="V12" i="8"/>
  <c r="V9" i="8"/>
  <c r="V17" i="8"/>
  <c r="V14" i="8"/>
  <c r="V11" i="8"/>
  <c r="V16" i="8"/>
  <c r="V6" i="8"/>
  <c r="V5" i="8"/>
  <c r="V3" i="8"/>
  <c r="V19" i="8"/>
  <c r="V8" i="8"/>
  <c r="V7" i="8"/>
  <c r="V18" i="8"/>
  <c r="V13" i="8"/>
  <c r="V10" i="8"/>
  <c r="V15" i="8"/>
  <c r="Z13" i="8" l="1"/>
  <c r="AB13" i="8"/>
  <c r="X13" i="8"/>
  <c r="AB14" i="8"/>
  <c r="X14" i="8"/>
  <c r="Z14" i="8"/>
  <c r="X18" i="8"/>
  <c r="Z18" i="8"/>
  <c r="AB18" i="8"/>
  <c r="Z17" i="8"/>
  <c r="X17" i="8"/>
  <c r="AB17" i="8"/>
  <c r="Z5" i="8"/>
  <c r="AB5" i="8"/>
  <c r="X5" i="8"/>
  <c r="Z9" i="8"/>
  <c r="AB9" i="8"/>
  <c r="X9" i="8"/>
  <c r="X7" i="8"/>
  <c r="AB7" i="8"/>
  <c r="Z7" i="8"/>
  <c r="Z6" i="8"/>
  <c r="AB6" i="8"/>
  <c r="X6" i="8"/>
  <c r="Z12" i="8"/>
  <c r="AB12" i="8"/>
  <c r="X12" i="8"/>
  <c r="X8" i="8"/>
  <c r="Z8" i="8"/>
  <c r="AB8" i="8"/>
  <c r="AB16" i="8"/>
  <c r="X16" i="8"/>
  <c r="Z16" i="8"/>
  <c r="Z19" i="8"/>
  <c r="X19" i="8"/>
  <c r="AB19" i="8"/>
  <c r="X11" i="8"/>
  <c r="AB11" i="8"/>
  <c r="Z11" i="8"/>
  <c r="AB15" i="8"/>
  <c r="X15" i="8"/>
  <c r="Z15" i="8"/>
  <c r="N24" i="8"/>
  <c r="T24" i="8"/>
  <c r="F24" i="8"/>
  <c r="L24" i="8"/>
  <c r="C24" i="8"/>
  <c r="S24" i="8"/>
  <c r="Z3" i="8"/>
  <c r="G24" i="8"/>
  <c r="X3" i="8"/>
  <c r="M24" i="8"/>
  <c r="E24" i="8"/>
  <c r="R24" i="8"/>
  <c r="D24" i="8"/>
  <c r="Q24" i="8"/>
  <c r="K24" i="8"/>
  <c r="I24" i="8"/>
  <c r="J24" i="8"/>
  <c r="B24" i="8"/>
  <c r="H24" i="8"/>
  <c r="AB3" i="8"/>
  <c r="O24" i="8"/>
  <c r="P24" i="8"/>
  <c r="AB10" i="8"/>
  <c r="X10" i="8"/>
  <c r="Z10" i="8"/>
  <c r="S29" i="8" l="1"/>
  <c r="S35" i="8"/>
  <c r="S41" i="8"/>
  <c r="T35" i="8"/>
  <c r="T41" i="8"/>
  <c r="T29" i="8"/>
  <c r="B29" i="8"/>
  <c r="B35" i="8"/>
  <c r="B41" i="8"/>
  <c r="I29" i="8"/>
  <c r="I35" i="8"/>
  <c r="I41" i="8"/>
  <c r="Q35" i="8"/>
  <c r="Q29" i="8"/>
  <c r="Q41" i="8"/>
  <c r="N29" i="8"/>
  <c r="N35" i="8"/>
  <c r="N41" i="8"/>
  <c r="J29" i="8"/>
  <c r="J41" i="8"/>
  <c r="J35" i="8"/>
  <c r="F35" i="8"/>
  <c r="F29" i="8"/>
  <c r="F41" i="8"/>
  <c r="D41" i="8"/>
  <c r="D35" i="8"/>
  <c r="D29" i="8"/>
  <c r="R41" i="8"/>
  <c r="R35" i="8"/>
  <c r="R29" i="8"/>
  <c r="C41" i="8"/>
  <c r="C35" i="8"/>
  <c r="C29" i="8"/>
  <c r="K41" i="8"/>
  <c r="K35" i="8"/>
  <c r="K29" i="8"/>
  <c r="O29" i="8"/>
  <c r="O41" i="8"/>
  <c r="O35" i="8"/>
  <c r="P30" i="8"/>
  <c r="G30" i="8"/>
  <c r="N30" i="8"/>
  <c r="S30" i="8"/>
  <c r="O30" i="8"/>
  <c r="H30" i="8"/>
  <c r="I30" i="8"/>
  <c r="R30" i="8"/>
  <c r="M30" i="8"/>
  <c r="L30" i="8"/>
  <c r="E30" i="8"/>
  <c r="T30" i="8"/>
  <c r="F30" i="8"/>
  <c r="D30" i="8"/>
  <c r="C30" i="8"/>
  <c r="B30" i="8"/>
  <c r="J30" i="8"/>
  <c r="K30" i="8"/>
  <c r="Q30" i="8"/>
  <c r="L41" i="8"/>
  <c r="L35" i="8"/>
  <c r="L29" i="8"/>
  <c r="G35" i="8"/>
  <c r="G41" i="8"/>
  <c r="G29" i="8"/>
  <c r="E29" i="8"/>
  <c r="E35" i="8"/>
  <c r="E41" i="8"/>
  <c r="P35" i="8"/>
  <c r="P41" i="8"/>
  <c r="P29" i="8"/>
  <c r="M41" i="8"/>
  <c r="M29" i="8"/>
  <c r="M35" i="8"/>
  <c r="G42" i="8"/>
  <c r="C42" i="8"/>
  <c r="S42" i="8"/>
  <c r="R42" i="8"/>
  <c r="E42" i="8"/>
  <c r="Q42" i="8"/>
  <c r="M42" i="8"/>
  <c r="O42" i="8"/>
  <c r="N42" i="8"/>
  <c r="K42" i="8"/>
  <c r="J42" i="8"/>
  <c r="L42" i="8"/>
  <c r="I42" i="8"/>
  <c r="F42" i="8"/>
  <c r="H42" i="8"/>
  <c r="D42" i="8"/>
  <c r="B42" i="8"/>
  <c r="P42" i="8"/>
  <c r="T42" i="8"/>
  <c r="H29" i="8"/>
  <c r="H41" i="8"/>
  <c r="H35" i="8"/>
  <c r="L36" i="8"/>
  <c r="S36" i="8"/>
  <c r="K36" i="8"/>
  <c r="B36" i="8"/>
  <c r="H36" i="8"/>
  <c r="M36" i="8"/>
  <c r="P36" i="8"/>
  <c r="J36" i="8"/>
  <c r="E36" i="8"/>
  <c r="R36" i="8"/>
  <c r="C36" i="8"/>
  <c r="O36" i="8"/>
  <c r="G36" i="8"/>
  <c r="N36" i="8"/>
  <c r="F36" i="8"/>
  <c r="T36" i="8"/>
  <c r="Q36" i="8"/>
  <c r="I36" i="8"/>
  <c r="D36" i="8"/>
  <c r="P2" i="22" l="1"/>
  <c r="P32" i="8"/>
  <c r="P31" i="8"/>
  <c r="M32" i="8"/>
  <c r="M2" i="22"/>
  <c r="M31" i="8"/>
  <c r="L38" i="8"/>
  <c r="L37" i="8"/>
  <c r="L4" i="22"/>
  <c r="K2" i="22"/>
  <c r="K31" i="8"/>
  <c r="K32" i="8"/>
  <c r="F6" i="22"/>
  <c r="F43" i="8"/>
  <c r="F44" i="8"/>
  <c r="I6" i="22"/>
  <c r="I44" i="8"/>
  <c r="I43" i="8"/>
  <c r="K37" i="8"/>
  <c r="K38" i="8"/>
  <c r="K4" i="22"/>
  <c r="F2" i="22"/>
  <c r="F32" i="8"/>
  <c r="F31" i="8"/>
  <c r="I38" i="8"/>
  <c r="I37" i="8"/>
  <c r="I4" i="22"/>
  <c r="K6" i="22"/>
  <c r="K43" i="8"/>
  <c r="K44" i="8"/>
  <c r="F38" i="8"/>
  <c r="F4" i="22"/>
  <c r="F37" i="8"/>
  <c r="I32" i="8"/>
  <c r="I31" i="8"/>
  <c r="I2" i="22"/>
  <c r="C31" i="8"/>
  <c r="C32" i="8"/>
  <c r="C2" i="22"/>
  <c r="J4" i="22"/>
  <c r="J37" i="8"/>
  <c r="J38" i="8"/>
  <c r="B6" i="22"/>
  <c r="B44" i="8"/>
  <c r="B43" i="8"/>
  <c r="M6" i="22"/>
  <c r="M44" i="8"/>
  <c r="M43" i="8"/>
  <c r="C4" i="22"/>
  <c r="C37" i="8"/>
  <c r="C38" i="8"/>
  <c r="J6" i="22"/>
  <c r="J44" i="8"/>
  <c r="J43" i="8"/>
  <c r="B37" i="8"/>
  <c r="B4" i="22"/>
  <c r="B38" i="8"/>
  <c r="L6" i="22"/>
  <c r="L43" i="8"/>
  <c r="H6" i="22"/>
  <c r="H44" i="8"/>
  <c r="H43" i="8"/>
  <c r="E6" i="22"/>
  <c r="E43" i="8"/>
  <c r="E44" i="8"/>
  <c r="C6" i="22"/>
  <c r="C44" i="8"/>
  <c r="C43" i="8"/>
  <c r="J31" i="8"/>
  <c r="J32" i="8"/>
  <c r="J2" i="22"/>
  <c r="B32" i="8"/>
  <c r="B31" i="8"/>
  <c r="B2" i="22"/>
  <c r="H4" i="22"/>
  <c r="H38" i="8"/>
  <c r="H37" i="8"/>
  <c r="P4" i="22"/>
  <c r="P38" i="8"/>
  <c r="P37" i="8"/>
  <c r="E4" i="22"/>
  <c r="E37" i="8"/>
  <c r="E38" i="8"/>
  <c r="R32" i="8"/>
  <c r="R31" i="8"/>
  <c r="R2" i="22"/>
  <c r="N6" i="22"/>
  <c r="N44" i="8"/>
  <c r="N43" i="8"/>
  <c r="T32" i="8"/>
  <c r="T31" i="8"/>
  <c r="T2" i="22"/>
  <c r="H31" i="8"/>
  <c r="H32" i="8"/>
  <c r="H2" i="22"/>
  <c r="P6" i="22"/>
  <c r="P44" i="8"/>
  <c r="P43" i="8"/>
  <c r="E2" i="22"/>
  <c r="E32" i="8"/>
  <c r="E31" i="8"/>
  <c r="R38" i="8"/>
  <c r="R37" i="8"/>
  <c r="R4" i="22"/>
  <c r="N38" i="8"/>
  <c r="N37" i="8"/>
  <c r="N4" i="22"/>
  <c r="T6" i="22"/>
  <c r="T43" i="8"/>
  <c r="T44" i="8"/>
  <c r="R6" i="22"/>
  <c r="R43" i="8"/>
  <c r="R44" i="8"/>
  <c r="N32" i="8"/>
  <c r="N2" i="22"/>
  <c r="N31" i="8"/>
  <c r="T37" i="8"/>
  <c r="T4" i="22"/>
  <c r="T38" i="8"/>
  <c r="G6" i="22"/>
  <c r="G43" i="8"/>
  <c r="G44" i="8"/>
  <c r="O37" i="8"/>
  <c r="O4" i="22"/>
  <c r="O38" i="8"/>
  <c r="D32" i="8"/>
  <c r="D2" i="22"/>
  <c r="D31" i="8"/>
  <c r="Q6" i="22"/>
  <c r="Q43" i="8"/>
  <c r="Q44" i="8"/>
  <c r="S6" i="22"/>
  <c r="S43" i="8"/>
  <c r="S44" i="8"/>
  <c r="G31" i="8"/>
  <c r="G32" i="8"/>
  <c r="G2" i="22"/>
  <c r="G37" i="8"/>
  <c r="G4" i="22"/>
  <c r="G38" i="8"/>
  <c r="O6" i="22"/>
  <c r="O44" i="8"/>
  <c r="O43" i="8"/>
  <c r="D38" i="8"/>
  <c r="D4" i="22"/>
  <c r="D37" i="8"/>
  <c r="Q2" i="22"/>
  <c r="Q31" i="8"/>
  <c r="Q32" i="8"/>
  <c r="S37" i="8"/>
  <c r="S4" i="22"/>
  <c r="S38" i="8"/>
  <c r="L44" i="8"/>
  <c r="M37" i="8"/>
  <c r="M38" i="8"/>
  <c r="M4" i="22"/>
  <c r="L2" i="22"/>
  <c r="L32" i="8"/>
  <c r="L31" i="8"/>
  <c r="O2" i="22"/>
  <c r="O32" i="8"/>
  <c r="O31" i="8"/>
  <c r="D6" i="22"/>
  <c r="D44" i="8"/>
  <c r="D43" i="8"/>
  <c r="Q38" i="8"/>
  <c r="Q4" i="22"/>
  <c r="Q37" i="8"/>
  <c r="S31" i="8"/>
  <c r="S32" i="8"/>
  <c r="S2" i="22"/>
  <c r="H26" i="8" l="1"/>
  <c r="J26" i="8"/>
  <c r="G26" i="8"/>
  <c r="K26" i="8"/>
  <c r="C26" i="8"/>
  <c r="P26" i="8"/>
  <c r="F26" i="8"/>
  <c r="S26" i="8"/>
  <c r="Q26" i="8"/>
  <c r="I26" i="8"/>
  <c r="N26" i="8"/>
  <c r="L26" i="8"/>
  <c r="M26" i="8"/>
  <c r="D26" i="8"/>
  <c r="E26" i="8"/>
  <c r="O26" i="8"/>
  <c r="R26" i="8"/>
  <c r="T26" i="8"/>
  <c r="B26" i="8"/>
  <c r="T27" i="8" l="1"/>
  <c r="T38" i="5"/>
  <c r="R27" i="8"/>
  <c r="R38" i="5"/>
  <c r="O27" i="8"/>
  <c r="O38" i="5"/>
  <c r="E27" i="8"/>
  <c r="E38" i="5"/>
  <c r="D27" i="8"/>
  <c r="D38" i="5"/>
  <c r="M27" i="8"/>
  <c r="M38" i="5"/>
  <c r="L27" i="8"/>
  <c r="L38" i="5"/>
  <c r="N27" i="8"/>
  <c r="N38" i="5"/>
  <c r="I27" i="8"/>
  <c r="I38" i="5"/>
  <c r="Q27" i="8"/>
  <c r="Q38" i="5"/>
  <c r="S27" i="8"/>
  <c r="S38" i="5"/>
  <c r="F27" i="8"/>
  <c r="F38" i="5"/>
  <c r="P27" i="8"/>
  <c r="P38" i="5"/>
  <c r="C27" i="8"/>
  <c r="C38" i="5"/>
  <c r="K27" i="8"/>
  <c r="K38" i="5"/>
  <c r="G27" i="8"/>
  <c r="G38" i="5"/>
  <c r="J27" i="8"/>
  <c r="J38" i="5"/>
  <c r="H27" i="8"/>
  <c r="H38" i="5"/>
  <c r="B27" i="8"/>
  <c r="B38" i="5"/>
  <c r="W17" i="5" l="1"/>
  <c r="W21" i="5"/>
  <c r="W24" i="5"/>
  <c r="W19" i="5"/>
  <c r="W25" i="5"/>
  <c r="W16" i="5"/>
  <c r="W23" i="5"/>
  <c r="W18" i="5"/>
  <c r="W20" i="5"/>
  <c r="W27" i="5"/>
  <c r="W8" i="5"/>
  <c r="W14" i="5"/>
  <c r="W3" i="5"/>
  <c r="W12" i="5"/>
  <c r="W13" i="5"/>
  <c r="W10" i="5"/>
  <c r="W15" i="5"/>
  <c r="W11" i="5"/>
  <c r="W9" i="5"/>
  <c r="W5" i="5"/>
  <c r="W7" i="5"/>
  <c r="W4" i="5"/>
  <c r="W6" i="5"/>
  <c r="W22" i="5"/>
  <c r="W26" i="5"/>
  <c r="X8" i="5" l="1"/>
  <c r="C6" i="20"/>
  <c r="X22" i="5"/>
  <c r="C20" i="20"/>
  <c r="X4" i="5"/>
  <c r="C2" i="20"/>
  <c r="X18" i="5"/>
  <c r="C16" i="20"/>
  <c r="X6" i="5"/>
  <c r="C4" i="20"/>
  <c r="C3" i="20"/>
  <c r="X5" i="5"/>
  <c r="X23" i="5"/>
  <c r="C21" i="20"/>
  <c r="C18" i="20"/>
  <c r="X20" i="5"/>
  <c r="X16" i="5"/>
  <c r="C14" i="20"/>
  <c r="X25" i="5"/>
  <c r="C23" i="20"/>
  <c r="X27" i="5"/>
  <c r="C25" i="20"/>
  <c r="X11" i="5"/>
  <c r="C9" i="20"/>
  <c r="C17" i="20"/>
  <c r="X19" i="5"/>
  <c r="X14" i="5"/>
  <c r="C12" i="20"/>
  <c r="X13" i="5"/>
  <c r="C11" i="20"/>
  <c r="X15" i="5"/>
  <c r="C13" i="20"/>
  <c r="C5" i="20"/>
  <c r="X7" i="5"/>
  <c r="X9" i="5"/>
  <c r="C7" i="20"/>
  <c r="X10" i="5"/>
  <c r="C8" i="20"/>
  <c r="X24" i="5"/>
  <c r="C22" i="20"/>
  <c r="C10" i="20"/>
  <c r="X12" i="5"/>
  <c r="X21" i="5"/>
  <c r="C19" i="20"/>
  <c r="X26" i="5"/>
  <c r="C24" i="20"/>
  <c r="X3" i="5"/>
  <c r="C31" i="5"/>
  <c r="C33" i="5" s="1"/>
  <c r="C39" i="5" s="1"/>
  <c r="K31" i="5"/>
  <c r="K33" i="5" s="1"/>
  <c r="K39" i="5" s="1"/>
  <c r="Q31" i="5"/>
  <c r="Q33" i="5" s="1"/>
  <c r="Q39" i="5" s="1"/>
  <c r="J31" i="5"/>
  <c r="J33" i="5" s="1"/>
  <c r="J39" i="5" s="1"/>
  <c r="L31" i="5"/>
  <c r="L33" i="5" s="1"/>
  <c r="L39" i="5" s="1"/>
  <c r="I31" i="5"/>
  <c r="I33" i="5" s="1"/>
  <c r="I39" i="5" s="1"/>
  <c r="B31" i="5"/>
  <c r="B33" i="5" s="1"/>
  <c r="B39" i="5" s="1"/>
  <c r="S31" i="5"/>
  <c r="S33" i="5" s="1"/>
  <c r="S39" i="5" s="1"/>
  <c r="F31" i="5"/>
  <c r="F33" i="5" s="1"/>
  <c r="F39" i="5" s="1"/>
  <c r="T31" i="5"/>
  <c r="T33" i="5" s="1"/>
  <c r="T39" i="5" s="1"/>
  <c r="N31" i="5"/>
  <c r="N33" i="5" s="1"/>
  <c r="N39" i="5" s="1"/>
  <c r="C1" i="20"/>
  <c r="M31" i="5"/>
  <c r="M33" i="5" s="1"/>
  <c r="M39" i="5" s="1"/>
  <c r="P31" i="5"/>
  <c r="P33" i="5" s="1"/>
  <c r="P39" i="5" s="1"/>
  <c r="D31" i="5"/>
  <c r="D33" i="5" s="1"/>
  <c r="D39" i="5" s="1"/>
  <c r="O31" i="5"/>
  <c r="O33" i="5" s="1"/>
  <c r="O39" i="5" s="1"/>
  <c r="R31" i="5"/>
  <c r="R33" i="5" s="1"/>
  <c r="R39" i="5" s="1"/>
  <c r="H31" i="5"/>
  <c r="H33" i="5" s="1"/>
  <c r="H39" i="5" s="1"/>
  <c r="G31" i="5"/>
  <c r="G33" i="5" s="1"/>
  <c r="G39" i="5" s="1"/>
  <c r="E31" i="5"/>
  <c r="E33" i="5" s="1"/>
  <c r="E39" i="5" s="1"/>
  <c r="C15" i="20"/>
  <c r="X17" i="5"/>
  <c r="M12" i="22" l="1"/>
  <c r="M14" i="22"/>
  <c r="M10" i="22"/>
  <c r="C12" i="22"/>
  <c r="C14" i="22"/>
  <c r="C10" i="22"/>
  <c r="H34" i="5"/>
  <c r="H36" i="5" s="1"/>
  <c r="R34" i="5"/>
  <c r="R36" i="5" s="1"/>
  <c r="N34" i="5"/>
  <c r="N35" i="5" s="1"/>
  <c r="P34" i="5"/>
  <c r="P36" i="5" s="1"/>
  <c r="D34" i="5"/>
  <c r="D35" i="5" s="1"/>
  <c r="Q34" i="5"/>
  <c r="Q36" i="5" s="1"/>
  <c r="G34" i="5"/>
  <c r="G35" i="5" s="1"/>
  <c r="T34" i="5"/>
  <c r="T36" i="5" s="1"/>
  <c r="S34" i="5"/>
  <c r="S36" i="5" s="1"/>
  <c r="I34" i="5"/>
  <c r="I36" i="5" s="1"/>
  <c r="M34" i="5"/>
  <c r="M35" i="5" s="1"/>
  <c r="L34" i="5"/>
  <c r="L36" i="5" s="1"/>
  <c r="F34" i="5"/>
  <c r="F36" i="5" s="1"/>
  <c r="J34" i="5"/>
  <c r="J36" i="5" s="1"/>
  <c r="E34" i="5"/>
  <c r="E35" i="5" s="1"/>
  <c r="O34" i="5"/>
  <c r="O36" i="5" s="1"/>
  <c r="C34" i="5"/>
  <c r="C35" i="5" s="1"/>
  <c r="B34" i="5"/>
  <c r="B35" i="5" s="1"/>
  <c r="K34" i="5"/>
  <c r="K36" i="5" s="1"/>
  <c r="N14" i="22"/>
  <c r="N10" i="22"/>
  <c r="N12" i="22"/>
  <c r="T12" i="22"/>
  <c r="T14" i="22"/>
  <c r="T10" i="22"/>
  <c r="F12" i="22"/>
  <c r="F10" i="22"/>
  <c r="F14" i="22"/>
  <c r="E14" i="22"/>
  <c r="E12" i="22"/>
  <c r="E10" i="22"/>
  <c r="S12" i="22"/>
  <c r="S14" i="22"/>
  <c r="S10" i="22"/>
  <c r="G36" i="5"/>
  <c r="G14" i="22"/>
  <c r="G10" i="22"/>
  <c r="G12" i="22"/>
  <c r="B10" i="22"/>
  <c r="B14" i="22"/>
  <c r="B12" i="22"/>
  <c r="H10" i="22"/>
  <c r="H14" i="22"/>
  <c r="H12" i="22"/>
  <c r="I12" i="22"/>
  <c r="I10" i="22"/>
  <c r="I14" i="22"/>
  <c r="R14" i="22"/>
  <c r="R10" i="22"/>
  <c r="R12" i="22"/>
  <c r="L14" i="22"/>
  <c r="L12" i="22"/>
  <c r="L10" i="22"/>
  <c r="O10" i="22"/>
  <c r="O14" i="22"/>
  <c r="O12" i="22"/>
  <c r="J12" i="22"/>
  <c r="J14" i="22"/>
  <c r="J10" i="22"/>
  <c r="D14" i="22"/>
  <c r="D10" i="22"/>
  <c r="D12" i="22"/>
  <c r="Q12" i="22"/>
  <c r="Q14" i="22"/>
  <c r="Q10" i="22"/>
  <c r="P10" i="22"/>
  <c r="P14" i="22"/>
  <c r="P12" i="22"/>
  <c r="K14" i="22"/>
  <c r="K10" i="22"/>
  <c r="K12" i="22"/>
  <c r="K35" i="5" l="1"/>
  <c r="T35" i="5"/>
  <c r="S35" i="5"/>
  <c r="I35" i="5"/>
  <c r="Q35" i="5"/>
  <c r="F35" i="5"/>
  <c r="H35" i="5"/>
  <c r="L35" i="5"/>
  <c r="M36" i="5"/>
  <c r="O35" i="5"/>
  <c r="D36" i="5"/>
  <c r="C36" i="5"/>
  <c r="P35" i="5"/>
  <c r="J35" i="5"/>
  <c r="R35" i="5"/>
  <c r="B36" i="5"/>
  <c r="E36" i="5"/>
  <c r="N36" i="5"/>
</calcChain>
</file>

<file path=xl/sharedStrings.xml><?xml version="1.0" encoding="utf-8"?>
<sst xmlns="http://schemas.openxmlformats.org/spreadsheetml/2006/main" count="1572" uniqueCount="126">
  <si>
    <t/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</si>
  <si>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</si>
  <si>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</si>
  <si>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</si>
  <si>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</si>
  <si>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</si>
  <si>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</si>
  <si>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</si>
  <si>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</si>
  <si>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</si>
  <si>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</si>
  <si>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</si>
  <si>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</si>
  <si>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</si>
  <si>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</si>
  <si>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</si>
  <si>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</si>
  <si>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</si>
  <si>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</si>
  <si>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</si>
  <si>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</si>
  <si>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VARIABLES</t>
  </si>
  <si>
    <t>scc</t>
  </si>
  <si>
    <t>prtp</t>
  </si>
  <si>
    <t>eis</t>
  </si>
  <si>
    <t>benchmark</t>
  </si>
  <si>
    <t>Constant</t>
  </si>
  <si>
    <t>Observations</t>
  </si>
  <si>
    <t>R-squared</t>
  </si>
  <si>
    <t>Standard errors in parentheses</t>
  </si>
  <si>
    <t>*** p&lt;0.01, ** p&lt;0.05, * p&lt;0.1</t>
  </si>
  <si>
    <t>Benchmark</t>
  </si>
  <si>
    <t>SCC</t>
  </si>
  <si>
    <t>Total</t>
  </si>
  <si>
    <t>Difference</t>
  </si>
  <si>
    <t>Diff</t>
  </si>
  <si>
    <t>Drupp</t>
  </si>
  <si>
    <t>year</t>
  </si>
  <si>
    <t>902</t>
  </si>
  <si>
    <t>4,890</t>
  </si>
  <si>
    <t>0.121</t>
  </si>
  <si>
    <t>Havranek</t>
  </si>
  <si>
    <t>Groom</t>
  </si>
  <si>
    <t>Matousek</t>
  </si>
  <si>
    <t>------------------------------------------------------------------------------</t>
  </si>
  <si>
    <t>-------------+----------------------------------------------------------------</t>
  </si>
  <si>
    <t>uqreg</t>
  </si>
  <si>
    <t>puretime</t>
  </si>
  <si>
    <t>intertemp</t>
  </si>
  <si>
    <t>levelimp</t>
  </si>
  <si>
    <t>[iweight=cq],</t>
  </si>
  <si>
    <t>q(0.05)</t>
  </si>
  <si>
    <t>method(regr</t>
  </si>
  <si>
    <t>&gt;</t>
  </si>
  <si>
    <t>ess)</t>
  </si>
  <si>
    <t>|</t>
  </si>
  <si>
    <t>Delta-method</t>
  </si>
  <si>
    <t>RIF(scc)</t>
  </si>
  <si>
    <t>Coefficient</t>
  </si>
  <si>
    <t>std.</t>
  </si>
  <si>
    <t>err.</t>
  </si>
  <si>
    <t>z</t>
  </si>
  <si>
    <t>P&gt;|z|</t>
  </si>
  <si>
    <t>[95%</t>
  </si>
  <si>
    <t>conf.</t>
  </si>
  <si>
    <t>interval]</t>
  </si>
  <si>
    <t>Distributional</t>
  </si>
  <si>
    <t>Statistic:</t>
  </si>
  <si>
    <t>.</t>
  </si>
  <si>
    <t>*outreg2</t>
  </si>
  <si>
    <t>using</t>
  </si>
  <si>
    <t>emulator2.xls</t>
  </si>
  <si>
    <t>esttab</t>
  </si>
  <si>
    <t>e(V)</t>
  </si>
  <si>
    <t>vc2.csv,</t>
  </si>
  <si>
    <t>append</t>
  </si>
  <si>
    <t>(output</t>
  </si>
  <si>
    <t>written</t>
  </si>
  <si>
    <t>to</t>
  </si>
  <si>
    <t>vc2.csv)</t>
  </si>
  <si>
    <t>q(0.1)</t>
  </si>
  <si>
    <t>method(regre</t>
  </si>
  <si>
    <t>ss)</t>
  </si>
  <si>
    <t>q(0.15)</t>
  </si>
  <si>
    <t>q(0.2)</t>
  </si>
  <si>
    <t>q(0.25)</t>
  </si>
  <si>
    <t>q(0.3)</t>
  </si>
  <si>
    <t>q(0.35)</t>
  </si>
  <si>
    <t>q(0.4)</t>
  </si>
  <si>
    <t>q(0.45)</t>
  </si>
  <si>
    <t>q(0.5)</t>
  </si>
  <si>
    <t>q(0.55)</t>
  </si>
  <si>
    <t>q(0.6)</t>
  </si>
  <si>
    <t>q(0.65)</t>
  </si>
  <si>
    <t>q(0.7)</t>
  </si>
  <si>
    <t>q(0.75)</t>
  </si>
  <si>
    <t>q(0.8)</t>
  </si>
  <si>
    <t>q(0.85)</t>
  </si>
  <si>
    <t>q(0.9)</t>
  </si>
  <si>
    <t>q(0.95)</t>
  </si>
  <si>
    <t>Target</t>
  </si>
  <si>
    <t>Risk+time</t>
  </si>
  <si>
    <t>Nesje</t>
  </si>
  <si>
    <t>Risk+time+impact</t>
  </si>
  <si>
    <t>&amp;</t>
  </si>
  <si>
    <t>\\</t>
  </si>
  <si>
    <t>mean</t>
  </si>
  <si>
    <t>median</t>
  </si>
  <si>
    <t>5\%</t>
  </si>
  <si>
    <t>10\%</t>
  </si>
  <si>
    <t>15\%</t>
  </si>
  <si>
    <t>20\%</t>
  </si>
  <si>
    <t>25\%</t>
  </si>
  <si>
    <t>30\%</t>
  </si>
  <si>
    <t>35\%</t>
  </si>
  <si>
    <t>40\%</t>
  </si>
  <si>
    <t>45\%</t>
  </si>
  <si>
    <t>55\%</t>
  </si>
  <si>
    <t>60\%</t>
  </si>
  <si>
    <t>65\%</t>
  </si>
  <si>
    <t>70\%</t>
  </si>
  <si>
    <t>75\%</t>
  </si>
  <si>
    <t>80\%</t>
  </si>
  <si>
    <t>85\%</t>
  </si>
  <si>
    <t>90\%</t>
  </si>
  <si>
    <t>95\%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</si>
</sst>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9" x14ac:knownFonts="1">
    <font>
      <sz val="10"/>
      <name val="Calibri"/>
      <family val="2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0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9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9.xml"/><Relationship Id="rId26" Type="http://schemas.openxmlformats.org/officeDocument/2006/relationships/calcChain" Target="calcChain.xml"/><Relationship Id="rId3" Type="http://schemas.openxmlformats.org/officeDocument/2006/relationships/chartsheet" Target="chart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8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9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2.xml"/><Relationship Id="rId15" Type="http://schemas.openxmlformats.org/officeDocument/2006/relationships/worksheet" Target="worksheets/sheet7.xml"/><Relationship Id="rId23" Type="http://schemas.openxmlformats.org/officeDocument/2006/relationships/theme" Target="theme/theme1.xml"/><Relationship Id="rId10" Type="http://schemas.openxmlformats.org/officeDocument/2006/relationships/worksheet" Target="worksheets/sheet5.xml"/><Relationship Id="rId19" Type="http://schemas.openxmlformats.org/officeDocument/2006/relationships/worksheet" Target="worksheets/sheet10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Relationship Id="rId22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emulator!$C$6:$U$6</c:f>
                <c:numCache>
                  <c:formatCode>General</c:formatCode>
                  <c:ptCount val="19"/>
                  <c:pt idx="0">
                    <c:v>3.0979999999999999</c:v>
                  </c:pt>
                  <c:pt idx="1">
                    <c:v>4.9560000000000004</c:v>
                  </c:pt>
                  <c:pt idx="2">
                    <c:v>4.1740000000000004</c:v>
                  </c:pt>
                  <c:pt idx="3">
                    <c:v>3.3769999999999998</c:v>
                  </c:pt>
                  <c:pt idx="4">
                    <c:v>3.972</c:v>
                  </c:pt>
                  <c:pt idx="5">
                    <c:v>4.0540000000000003</c:v>
                  </c:pt>
                  <c:pt idx="6">
                    <c:v>5.4889999999999999</c:v>
                  </c:pt>
                  <c:pt idx="7">
                    <c:v>5.891</c:v>
                  </c:pt>
                  <c:pt idx="8">
                    <c:v>6.516</c:v>
                  </c:pt>
                  <c:pt idx="9">
                    <c:v>7.6660000000000004</c:v>
                  </c:pt>
                  <c:pt idx="10">
                    <c:v>8.4670000000000005</c:v>
                  </c:pt>
                  <c:pt idx="11">
                    <c:v>9.57</c:v>
                  </c:pt>
                  <c:pt idx="12">
                    <c:v>16.899999999999999</c:v>
                  </c:pt>
                  <c:pt idx="13">
                    <c:v>23.72</c:v>
                  </c:pt>
                  <c:pt idx="14">
                    <c:v>32.630000000000003</c:v>
                  </c:pt>
                  <c:pt idx="15">
                    <c:v>22.21</c:v>
                  </c:pt>
                  <c:pt idx="16">
                    <c:v>24.32</c:v>
                  </c:pt>
                  <c:pt idx="17">
                    <c:v>57.62</c:v>
                  </c:pt>
                  <c:pt idx="18">
                    <c:v>154.19999999999999</c:v>
                  </c:pt>
                </c:numCache>
              </c:numRef>
            </c:plus>
            <c:minus>
              <c:numRef>
                <c:f>emulator!$C$6:$U$6</c:f>
                <c:numCache>
                  <c:formatCode>General</c:formatCode>
                  <c:ptCount val="19"/>
                  <c:pt idx="0">
                    <c:v>3.0979999999999999</c:v>
                  </c:pt>
                  <c:pt idx="1">
                    <c:v>4.9560000000000004</c:v>
                  </c:pt>
                  <c:pt idx="2">
                    <c:v>4.1740000000000004</c:v>
                  </c:pt>
                  <c:pt idx="3">
                    <c:v>3.3769999999999998</c:v>
                  </c:pt>
                  <c:pt idx="4">
                    <c:v>3.972</c:v>
                  </c:pt>
                  <c:pt idx="5">
                    <c:v>4.0540000000000003</c:v>
                  </c:pt>
                  <c:pt idx="6">
                    <c:v>5.4889999999999999</c:v>
                  </c:pt>
                  <c:pt idx="7">
                    <c:v>5.891</c:v>
                  </c:pt>
                  <c:pt idx="8">
                    <c:v>6.516</c:v>
                  </c:pt>
                  <c:pt idx="9">
                    <c:v>7.6660000000000004</c:v>
                  </c:pt>
                  <c:pt idx="10">
                    <c:v>8.4670000000000005</c:v>
                  </c:pt>
                  <c:pt idx="11">
                    <c:v>9.57</c:v>
                  </c:pt>
                  <c:pt idx="12">
                    <c:v>16.899999999999999</c:v>
                  </c:pt>
                  <c:pt idx="13">
                    <c:v>23.72</c:v>
                  </c:pt>
                  <c:pt idx="14">
                    <c:v>32.630000000000003</c:v>
                  </c:pt>
                  <c:pt idx="15">
                    <c:v>22.21</c:v>
                  </c:pt>
                  <c:pt idx="16">
                    <c:v>24.32</c:v>
                  </c:pt>
                  <c:pt idx="17">
                    <c:v>57.62</c:v>
                  </c:pt>
                  <c:pt idx="18">
                    <c:v>154.19999999999999</c:v>
                  </c:pt>
                </c:numCache>
              </c:numRef>
            </c:minus>
            <c:spPr>
              <a:noFill/>
              <a:ln w="635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emulator!$C$1:$U$1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emulator!$C$5:$U$5</c:f>
              <c:numCache>
                <c:formatCode>0.00</c:formatCode>
                <c:ptCount val="19"/>
                <c:pt idx="0">
                  <c:v>-10.91</c:v>
                </c:pt>
                <c:pt idx="1">
                  <c:v>-16.54</c:v>
                </c:pt>
                <c:pt idx="2">
                  <c:v>-21.47</c:v>
                </c:pt>
                <c:pt idx="3">
                  <c:v>-23.14</c:v>
                </c:pt>
                <c:pt idx="4">
                  <c:v>-29.54</c:v>
                </c:pt>
                <c:pt idx="5">
                  <c:v>-39.29</c:v>
                </c:pt>
                <c:pt idx="6">
                  <c:v>-47.96</c:v>
                </c:pt>
                <c:pt idx="7">
                  <c:v>-54.92</c:v>
                </c:pt>
                <c:pt idx="8">
                  <c:v>-56.6</c:v>
                </c:pt>
                <c:pt idx="9">
                  <c:v>-65.709999999999994</c:v>
                </c:pt>
                <c:pt idx="10">
                  <c:v>-77.48</c:v>
                </c:pt>
                <c:pt idx="11">
                  <c:v>-82.88</c:v>
                </c:pt>
                <c:pt idx="12">
                  <c:v>-91.82</c:v>
                </c:pt>
                <c:pt idx="13">
                  <c:v>-125.7</c:v>
                </c:pt>
                <c:pt idx="14">
                  <c:v>-170</c:v>
                </c:pt>
                <c:pt idx="15">
                  <c:v>-215.3</c:v>
                </c:pt>
                <c:pt idx="16">
                  <c:v>-193.4</c:v>
                </c:pt>
                <c:pt idx="17">
                  <c:v>-227.5</c:v>
                </c:pt>
                <c:pt idx="18">
                  <c:v>-328.8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7-48F4-970B-F4B8DCF02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34664111"/>
        <c:axId val="634668431"/>
      </c:barChart>
      <c:catAx>
        <c:axId val="63466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percentile of the distribution of the social cost of 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668431"/>
        <c:crosses val="autoZero"/>
        <c:auto val="1"/>
        <c:lblAlgn val="ctr"/>
        <c:lblOffset val="100"/>
        <c:noMultiLvlLbl val="0"/>
      </c:catAx>
      <c:valAx>
        <c:axId val="634668431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dollar per tonne of carbon per percent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66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emulator!$C$8:$U$8</c:f>
                <c:numCache>
                  <c:formatCode>General</c:formatCode>
                  <c:ptCount val="19"/>
                  <c:pt idx="0">
                    <c:v>5.5430000000000001</c:v>
                  </c:pt>
                  <c:pt idx="1">
                    <c:v>8.8680000000000003</c:v>
                  </c:pt>
                  <c:pt idx="2">
                    <c:v>7.468</c:v>
                  </c:pt>
                  <c:pt idx="3">
                    <c:v>6.0419999999999998</c:v>
                  </c:pt>
                  <c:pt idx="4">
                    <c:v>7.1059999999999999</c:v>
                  </c:pt>
                  <c:pt idx="5">
                    <c:v>7.2539999999999996</c:v>
                  </c:pt>
                  <c:pt idx="6">
                    <c:v>9.8219999999999992</c:v>
                  </c:pt>
                  <c:pt idx="7">
                    <c:v>10.54</c:v>
                  </c:pt>
                  <c:pt idx="8">
                    <c:v>11.66</c:v>
                  </c:pt>
                  <c:pt idx="9">
                    <c:v>13.72</c:v>
                  </c:pt>
                  <c:pt idx="10">
                    <c:v>15.15</c:v>
                  </c:pt>
                  <c:pt idx="11">
                    <c:v>17.12</c:v>
                  </c:pt>
                  <c:pt idx="12">
                    <c:v>30.24</c:v>
                  </c:pt>
                  <c:pt idx="13">
                    <c:v>42.44</c:v>
                  </c:pt>
                  <c:pt idx="14">
                    <c:v>58.38</c:v>
                  </c:pt>
                  <c:pt idx="15">
                    <c:v>39.75</c:v>
                  </c:pt>
                  <c:pt idx="16">
                    <c:v>43.51</c:v>
                  </c:pt>
                  <c:pt idx="17">
                    <c:v>103.1</c:v>
                  </c:pt>
                  <c:pt idx="18">
                    <c:v>276</c:v>
                  </c:pt>
                </c:numCache>
              </c:numRef>
            </c:plus>
            <c:minus>
              <c:numRef>
                <c:f>emulator!$C$8:$U$8</c:f>
                <c:numCache>
                  <c:formatCode>General</c:formatCode>
                  <c:ptCount val="19"/>
                  <c:pt idx="0">
                    <c:v>5.5430000000000001</c:v>
                  </c:pt>
                  <c:pt idx="1">
                    <c:v>8.8680000000000003</c:v>
                  </c:pt>
                  <c:pt idx="2">
                    <c:v>7.468</c:v>
                  </c:pt>
                  <c:pt idx="3">
                    <c:v>6.0419999999999998</c:v>
                  </c:pt>
                  <c:pt idx="4">
                    <c:v>7.1059999999999999</c:v>
                  </c:pt>
                  <c:pt idx="5">
                    <c:v>7.2539999999999996</c:v>
                  </c:pt>
                  <c:pt idx="6">
                    <c:v>9.8219999999999992</c:v>
                  </c:pt>
                  <c:pt idx="7">
                    <c:v>10.54</c:v>
                  </c:pt>
                  <c:pt idx="8">
                    <c:v>11.66</c:v>
                  </c:pt>
                  <c:pt idx="9">
                    <c:v>13.72</c:v>
                  </c:pt>
                  <c:pt idx="10">
                    <c:v>15.15</c:v>
                  </c:pt>
                  <c:pt idx="11">
                    <c:v>17.12</c:v>
                  </c:pt>
                  <c:pt idx="12">
                    <c:v>30.24</c:v>
                  </c:pt>
                  <c:pt idx="13">
                    <c:v>42.44</c:v>
                  </c:pt>
                  <c:pt idx="14">
                    <c:v>58.38</c:v>
                  </c:pt>
                  <c:pt idx="15">
                    <c:v>39.75</c:v>
                  </c:pt>
                  <c:pt idx="16">
                    <c:v>43.51</c:v>
                  </c:pt>
                  <c:pt idx="17">
                    <c:v>103.1</c:v>
                  </c:pt>
                  <c:pt idx="18">
                    <c:v>276</c:v>
                  </c:pt>
                </c:numCache>
              </c:numRef>
            </c:minus>
            <c:spPr>
              <a:noFill/>
              <a:ln w="635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emulator!$C$1:$U$1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emulator!$C$7:$U$7</c:f>
              <c:numCache>
                <c:formatCode>0.00</c:formatCode>
                <c:ptCount val="19"/>
                <c:pt idx="0">
                  <c:v>-14.87</c:v>
                </c:pt>
                <c:pt idx="1">
                  <c:v>-7.2009999999999996</c:v>
                </c:pt>
                <c:pt idx="2">
                  <c:v>-7.2480000000000002</c:v>
                </c:pt>
                <c:pt idx="3">
                  <c:v>-20.02</c:v>
                </c:pt>
                <c:pt idx="4">
                  <c:v>-27.28</c:v>
                </c:pt>
                <c:pt idx="5">
                  <c:v>-33.659999999999997</c:v>
                </c:pt>
                <c:pt idx="6">
                  <c:v>-41.27</c:v>
                </c:pt>
                <c:pt idx="7">
                  <c:v>-56.93</c:v>
                </c:pt>
                <c:pt idx="8">
                  <c:v>-70.31</c:v>
                </c:pt>
                <c:pt idx="9">
                  <c:v>-75.64</c:v>
                </c:pt>
                <c:pt idx="10">
                  <c:v>-84.77</c:v>
                </c:pt>
                <c:pt idx="11">
                  <c:v>-88.42</c:v>
                </c:pt>
                <c:pt idx="12">
                  <c:v>-91.3</c:v>
                </c:pt>
                <c:pt idx="13">
                  <c:v>-95.4</c:v>
                </c:pt>
                <c:pt idx="14">
                  <c:v>-123.7</c:v>
                </c:pt>
                <c:pt idx="15">
                  <c:v>-146</c:v>
                </c:pt>
                <c:pt idx="16">
                  <c:v>-109.4</c:v>
                </c:pt>
                <c:pt idx="17">
                  <c:v>-135.69999999999999</c:v>
                </c:pt>
                <c:pt idx="18">
                  <c:v>-115.7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4-4F10-A0E6-9A61D76C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34664111"/>
        <c:axId val="634668431"/>
      </c:barChart>
      <c:catAx>
        <c:axId val="63466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percentile of the distribution of the social cost of 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668431"/>
        <c:crosses val="autoZero"/>
        <c:auto val="1"/>
        <c:lblAlgn val="ctr"/>
        <c:lblOffset val="100"/>
        <c:noMultiLvlLbl val="0"/>
      </c:catAx>
      <c:valAx>
        <c:axId val="634668431"/>
        <c:scaling>
          <c:orientation val="minMax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dollar per tonne of 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66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emulator!$C$10:$U$10</c:f>
                <c:numCache>
                  <c:formatCode>General</c:formatCode>
                  <c:ptCount val="19"/>
                  <c:pt idx="0">
                    <c:v>0.58099999999999996</c:v>
                  </c:pt>
                  <c:pt idx="1">
                    <c:v>0.92900000000000005</c:v>
                  </c:pt>
                  <c:pt idx="2">
                    <c:v>0.78200000000000003</c:v>
                  </c:pt>
                  <c:pt idx="3">
                    <c:v>0.63300000000000001</c:v>
                  </c:pt>
                  <c:pt idx="4">
                    <c:v>0.74399999999999999</c:v>
                  </c:pt>
                  <c:pt idx="5">
                    <c:v>0.76</c:v>
                  </c:pt>
                  <c:pt idx="6">
                    <c:v>1.0289999999999999</c:v>
                  </c:pt>
                  <c:pt idx="7">
                    <c:v>1.1040000000000001</c:v>
                  </c:pt>
                  <c:pt idx="8">
                    <c:v>1.2210000000000001</c:v>
                  </c:pt>
                  <c:pt idx="9">
                    <c:v>1.4370000000000001</c:v>
                  </c:pt>
                  <c:pt idx="10">
                    <c:v>1.587</c:v>
                  </c:pt>
                  <c:pt idx="11">
                    <c:v>1.794</c:v>
                  </c:pt>
                  <c:pt idx="12">
                    <c:v>3.1669999999999998</c:v>
                  </c:pt>
                  <c:pt idx="13">
                    <c:v>4.4459999999999997</c:v>
                  </c:pt>
                  <c:pt idx="14">
                    <c:v>6.1159999999999997</c:v>
                  </c:pt>
                  <c:pt idx="15">
                    <c:v>4.1639999999999997</c:v>
                  </c:pt>
                  <c:pt idx="16">
                    <c:v>4.5579999999999998</c:v>
                  </c:pt>
                  <c:pt idx="17">
                    <c:v>10.8</c:v>
                  </c:pt>
                  <c:pt idx="18">
                    <c:v>28.91</c:v>
                  </c:pt>
                </c:numCache>
              </c:numRef>
            </c:plus>
            <c:minus>
              <c:numRef>
                <c:f>emulator!$C$10:$U$10</c:f>
                <c:numCache>
                  <c:formatCode>General</c:formatCode>
                  <c:ptCount val="19"/>
                  <c:pt idx="0">
                    <c:v>0.58099999999999996</c:v>
                  </c:pt>
                  <c:pt idx="1">
                    <c:v>0.92900000000000005</c:v>
                  </c:pt>
                  <c:pt idx="2">
                    <c:v>0.78200000000000003</c:v>
                  </c:pt>
                  <c:pt idx="3">
                    <c:v>0.63300000000000001</c:v>
                  </c:pt>
                  <c:pt idx="4">
                    <c:v>0.74399999999999999</c:v>
                  </c:pt>
                  <c:pt idx="5">
                    <c:v>0.76</c:v>
                  </c:pt>
                  <c:pt idx="6">
                    <c:v>1.0289999999999999</c:v>
                  </c:pt>
                  <c:pt idx="7">
                    <c:v>1.1040000000000001</c:v>
                  </c:pt>
                  <c:pt idx="8">
                    <c:v>1.2210000000000001</c:v>
                  </c:pt>
                  <c:pt idx="9">
                    <c:v>1.4370000000000001</c:v>
                  </c:pt>
                  <c:pt idx="10">
                    <c:v>1.587</c:v>
                  </c:pt>
                  <c:pt idx="11">
                    <c:v>1.794</c:v>
                  </c:pt>
                  <c:pt idx="12">
                    <c:v>3.1669999999999998</c:v>
                  </c:pt>
                  <c:pt idx="13">
                    <c:v>4.4459999999999997</c:v>
                  </c:pt>
                  <c:pt idx="14">
                    <c:v>6.1159999999999997</c:v>
                  </c:pt>
                  <c:pt idx="15">
                    <c:v>4.1639999999999997</c:v>
                  </c:pt>
                  <c:pt idx="16">
                    <c:v>4.5579999999999998</c:v>
                  </c:pt>
                  <c:pt idx="17">
                    <c:v>10.8</c:v>
                  </c:pt>
                  <c:pt idx="18">
                    <c:v>28.91</c:v>
                  </c:pt>
                </c:numCache>
              </c:numRef>
            </c:minus>
            <c:spPr>
              <a:noFill/>
              <a:ln w="635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emulator!$C$1:$U$1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emulator!$C$9:$U$9</c:f>
              <c:numCache>
                <c:formatCode>0.00</c:formatCode>
                <c:ptCount val="19"/>
                <c:pt idx="0">
                  <c:v>-1.264</c:v>
                </c:pt>
                <c:pt idx="1">
                  <c:v>-2.77</c:v>
                </c:pt>
                <c:pt idx="2">
                  <c:v>-3.6589999999999998</c:v>
                </c:pt>
                <c:pt idx="3">
                  <c:v>-6.032</c:v>
                </c:pt>
                <c:pt idx="4">
                  <c:v>-5.7030000000000003</c:v>
                </c:pt>
                <c:pt idx="5">
                  <c:v>-5.444</c:v>
                </c:pt>
                <c:pt idx="6">
                  <c:v>-5.2039999999999997</c:v>
                </c:pt>
                <c:pt idx="7">
                  <c:v>-9.3460000000000001</c:v>
                </c:pt>
                <c:pt idx="8">
                  <c:v>-12.5</c:v>
                </c:pt>
                <c:pt idx="9">
                  <c:v>-19.62</c:v>
                </c:pt>
                <c:pt idx="10">
                  <c:v>-20.8</c:v>
                </c:pt>
                <c:pt idx="11">
                  <c:v>-23.41</c:v>
                </c:pt>
                <c:pt idx="12">
                  <c:v>-31.51</c:v>
                </c:pt>
                <c:pt idx="13">
                  <c:v>-38.07</c:v>
                </c:pt>
                <c:pt idx="14">
                  <c:v>-51.28</c:v>
                </c:pt>
                <c:pt idx="15">
                  <c:v>-55.6</c:v>
                </c:pt>
                <c:pt idx="16">
                  <c:v>-53.24</c:v>
                </c:pt>
                <c:pt idx="17">
                  <c:v>-40.36</c:v>
                </c:pt>
                <c:pt idx="18">
                  <c:v>-122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F-4EC6-83A3-9D7BADD50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34664111"/>
        <c:axId val="634668431"/>
      </c:barChart>
      <c:catAx>
        <c:axId val="63466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percentile of the distribution of the social cost of 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668431"/>
        <c:crosses val="autoZero"/>
        <c:auto val="1"/>
        <c:lblAlgn val="ctr"/>
        <c:lblOffset val="100"/>
        <c:noMultiLvlLbl val="0"/>
      </c:catAx>
      <c:valAx>
        <c:axId val="6346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dollar per tonne of carbon per percent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66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943027258796458E-2"/>
          <c:y val="2.5758400621164936E-2"/>
          <c:w val="0.92129358511688741"/>
          <c:h val="0.88673743837217123"/>
        </c:manualLayout>
      </c:layout>
      <c:scatterChart>
        <c:scatterStyle val="lineMarker"/>
        <c:varyColors val="0"/>
        <c:ser>
          <c:idx val="2"/>
          <c:order val="0"/>
          <c:tx>
            <c:v>Bias in SCC literature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rsB!$B$33:$T$33</c:f>
              <c:numCache>
                <c:formatCode>General</c:formatCode>
                <c:ptCount val="19"/>
                <c:pt idx="0">
                  <c:v>6.5883274713038453E-2</c:v>
                </c:pt>
                <c:pt idx="1">
                  <c:v>0.14438027765436434</c:v>
                </c:pt>
                <c:pt idx="2">
                  <c:v>0.19071748589795146</c:v>
                </c:pt>
                <c:pt idx="3">
                  <c:v>0.31440499451665538</c:v>
                </c:pt>
                <c:pt idx="4">
                  <c:v>0.29725657886745083</c:v>
                </c:pt>
                <c:pt idx="5">
                  <c:v>0.28375676229254942</c:v>
                </c:pt>
                <c:pt idx="6">
                  <c:v>0.2712472797520995</c:v>
                </c:pt>
                <c:pt idx="7">
                  <c:v>0.48714009926271373</c:v>
                </c:pt>
                <c:pt idx="8">
                  <c:v>0.65153554898179422</c:v>
                </c:pt>
                <c:pt idx="9">
                  <c:v>1.0226501976818199</c:v>
                </c:pt>
                <c:pt idx="10">
                  <c:v>1.0841551535057192</c:v>
                </c:pt>
                <c:pt idx="11">
                  <c:v>1.220195776133103</c:v>
                </c:pt>
                <c:pt idx="12">
                  <c:v>1.6423908118732982</c:v>
                </c:pt>
                <c:pt idx="13">
                  <c:v>1.9843166679789306</c:v>
                </c:pt>
                <c:pt idx="14">
                  <c:v>2.6728594361429145</c:v>
                </c:pt>
                <c:pt idx="15">
                  <c:v>2.8980301218710025</c:v>
                </c:pt>
                <c:pt idx="16">
                  <c:v>2.7750202102232748</c:v>
                </c:pt>
                <c:pt idx="17">
                  <c:v>2.1036779805524191</c:v>
                </c:pt>
                <c:pt idx="18">
                  <c:v>6.3589869580623031</c:v>
                </c:pt>
              </c:numCache>
            </c:numRef>
          </c:xVal>
          <c:yVal>
            <c:numRef>
              <c:f>rsB!$B$2:$T$2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70-45A5-A205-A55DD3331C0E}"/>
            </c:ext>
          </c:extLst>
        </c:ser>
        <c:ser>
          <c:idx val="3"/>
          <c:order val="1"/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rsB!$B$35:$T$35</c:f>
              <c:numCache>
                <c:formatCode>General</c:formatCode>
                <c:ptCount val="19"/>
                <c:pt idx="0">
                  <c:v>-2.1506973475030065</c:v>
                </c:pt>
                <c:pt idx="1">
                  <c:v>-3.3998596501230982</c:v>
                </c:pt>
                <c:pt idx="2">
                  <c:v>-2.7927008386682233</c:v>
                </c:pt>
                <c:pt idx="3">
                  <c:v>-2.1005615009441994</c:v>
                </c:pt>
                <c:pt idx="4">
                  <c:v>-2.5411874537121326</c:v>
                </c:pt>
                <c:pt idx="5">
                  <c:v>-2.6157290774392825</c:v>
                </c:pt>
                <c:pt idx="6">
                  <c:v>-3.6545039427269206</c:v>
                </c:pt>
                <c:pt idx="7">
                  <c:v>-3.7247445942424733</c:v>
                </c:pt>
                <c:pt idx="8">
                  <c:v>-4.0067173593242158</c:v>
                </c:pt>
                <c:pt idx="9">
                  <c:v>-4.4596671071795519</c:v>
                </c:pt>
                <c:pt idx="10">
                  <c:v>-4.9704290934079873</c:v>
                </c:pt>
                <c:pt idx="11">
                  <c:v>-5.6241168508128263</c:v>
                </c:pt>
                <c:pt idx="12">
                  <c:v>-10.440071891325008</c:v>
                </c:pt>
                <c:pt idx="13">
                  <c:v>-14.977675494452285</c:v>
                </c:pt>
                <c:pt idx="14">
                  <c:v>-20.660371347804301</c:v>
                </c:pt>
                <c:pt idx="15">
                  <c:v>-12.988100189501823</c:v>
                </c:pt>
                <c:pt idx="16">
                  <c:v>-14.614264602273686</c:v>
                </c:pt>
                <c:pt idx="17">
                  <c:v>-39.099541847215711</c:v>
                </c:pt>
                <c:pt idx="18">
                  <c:v>-103.93592834015777</c:v>
                </c:pt>
              </c:numCache>
            </c:numRef>
          </c:xVal>
          <c:yVal>
            <c:numRef>
              <c:f>rsB!$B$2:$T$2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70-45A5-A205-A55DD3331C0E}"/>
            </c:ext>
          </c:extLst>
        </c:ser>
        <c:ser>
          <c:idx val="4"/>
          <c:order val="2"/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rsB!$B$36:$T$36</c:f>
              <c:numCache>
                <c:formatCode>General</c:formatCode>
                <c:ptCount val="19"/>
                <c:pt idx="0">
                  <c:v>2.2824638969290834</c:v>
                </c:pt>
                <c:pt idx="1">
                  <c:v>3.6886202054318269</c:v>
                </c:pt>
                <c:pt idx="2">
                  <c:v>3.1741358104641262</c:v>
                </c:pt>
                <c:pt idx="3">
                  <c:v>2.7293714899775101</c:v>
                </c:pt>
                <c:pt idx="4">
                  <c:v>3.1357006114470343</c:v>
                </c:pt>
                <c:pt idx="5">
                  <c:v>3.1832426020243814</c:v>
                </c:pt>
                <c:pt idx="6">
                  <c:v>4.1969985022311196</c:v>
                </c:pt>
                <c:pt idx="7">
                  <c:v>4.6990247927679007</c:v>
                </c:pt>
                <c:pt idx="8">
                  <c:v>5.3097884572878042</c:v>
                </c:pt>
                <c:pt idx="9">
                  <c:v>6.5049675025431917</c:v>
                </c:pt>
                <c:pt idx="10">
                  <c:v>7.1387394004194258</c:v>
                </c:pt>
                <c:pt idx="11">
                  <c:v>8.0645084030790315</c:v>
                </c:pt>
                <c:pt idx="12">
                  <c:v>13.724853515071604</c:v>
                </c:pt>
                <c:pt idx="13">
                  <c:v>18.946308830410146</c:v>
                </c:pt>
                <c:pt idx="14">
                  <c:v>26.00609022009013</c:v>
                </c:pt>
                <c:pt idx="15">
                  <c:v>18.784160433243827</c:v>
                </c:pt>
                <c:pt idx="16">
                  <c:v>20.164305022720235</c:v>
                </c:pt>
                <c:pt idx="17">
                  <c:v>43.306897808320549</c:v>
                </c:pt>
                <c:pt idx="18">
                  <c:v>116.65390225628238</c:v>
                </c:pt>
              </c:numCache>
            </c:numRef>
          </c:xVal>
          <c:yVal>
            <c:numRef>
              <c:f>rsB!$B$2:$T$2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70-45A5-A205-A55DD3331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97120"/>
        <c:axId val="2054199040"/>
      </c:scatterChart>
      <c:valAx>
        <c:axId val="20541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Social cost of carbon (dollar per tonne of carbon)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4199040"/>
        <c:crosses val="autoZero"/>
        <c:crossBetween val="midCat"/>
      </c:valAx>
      <c:valAx>
        <c:axId val="2054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Cumulative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41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2455393059264384"/>
          <c:y val="0.7759647213433678"/>
          <c:w val="0.2247544851716618"/>
          <c:h val="0.1293720390849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943027258796458E-2"/>
          <c:y val="2.5758400621164936E-2"/>
          <c:w val="0.92129358511688741"/>
          <c:h val="0.88673743837217123"/>
        </c:manualLayout>
      </c:layout>
      <c:scatterChart>
        <c:scatterStyle val="lineMarker"/>
        <c:varyColors val="0"/>
        <c:ser>
          <c:idx val="0"/>
          <c:order val="0"/>
          <c:tx>
            <c:v>SCC literature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rsB!$B$38:$T$38</c:f>
              <c:numCache>
                <c:formatCode>General</c:formatCode>
                <c:ptCount val="19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65</c:v>
                </c:pt>
                <c:pt idx="4">
                  <c:v>75</c:v>
                </c:pt>
                <c:pt idx="5">
                  <c:v>85</c:v>
                </c:pt>
                <c:pt idx="6">
                  <c:v>100</c:v>
                </c:pt>
                <c:pt idx="7">
                  <c:v>130</c:v>
                </c:pt>
                <c:pt idx="8">
                  <c:v>155</c:v>
                </c:pt>
                <c:pt idx="9">
                  <c:v>180</c:v>
                </c:pt>
                <c:pt idx="10">
                  <c:v>215</c:v>
                </c:pt>
                <c:pt idx="11">
                  <c:v>245</c:v>
                </c:pt>
                <c:pt idx="12">
                  <c:v>275</c:v>
                </c:pt>
                <c:pt idx="13">
                  <c:v>330</c:v>
                </c:pt>
                <c:pt idx="14">
                  <c:v>400</c:v>
                </c:pt>
                <c:pt idx="15">
                  <c:v>550</c:v>
                </c:pt>
                <c:pt idx="16">
                  <c:v>780</c:v>
                </c:pt>
                <c:pt idx="17">
                  <c:v>960</c:v>
                </c:pt>
                <c:pt idx="18">
                  <c:v>1510</c:v>
                </c:pt>
              </c:numCache>
            </c:numRef>
          </c:xVal>
          <c:yVal>
            <c:numRef>
              <c:f>rsB!$B$2:$T$2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7-4674-9BBB-3080AC02CCBF}"/>
            </c:ext>
          </c:extLst>
        </c:ser>
        <c:ser>
          <c:idx val="1"/>
          <c:order val="1"/>
          <c:tx>
            <c:v>Impact literature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rsB!$B$39:$T$39</c:f>
              <c:numCache>
                <c:formatCode>General</c:formatCode>
                <c:ptCount val="19"/>
                <c:pt idx="0">
                  <c:v>15.065883274713038</c:v>
                </c:pt>
                <c:pt idx="1">
                  <c:v>30.144380277654363</c:v>
                </c:pt>
                <c:pt idx="2">
                  <c:v>45.190717485897949</c:v>
                </c:pt>
                <c:pt idx="3">
                  <c:v>65.31440499451665</c:v>
                </c:pt>
                <c:pt idx="4">
                  <c:v>75.297256578867447</c:v>
                </c:pt>
                <c:pt idx="5">
                  <c:v>85.283756762292555</c:v>
                </c:pt>
                <c:pt idx="6">
                  <c:v>100.2712472797521</c:v>
                </c:pt>
                <c:pt idx="7">
                  <c:v>130.48714009926272</c:v>
                </c:pt>
                <c:pt idx="8">
                  <c:v>155.6515355489818</c:v>
                </c:pt>
                <c:pt idx="9">
                  <c:v>181.02265019768183</c:v>
                </c:pt>
                <c:pt idx="10">
                  <c:v>216.08415515350572</c:v>
                </c:pt>
                <c:pt idx="11">
                  <c:v>246.2201957761331</c:v>
                </c:pt>
                <c:pt idx="12">
                  <c:v>276.64239081187327</c:v>
                </c:pt>
                <c:pt idx="13">
                  <c:v>331.98431666797893</c:v>
                </c:pt>
                <c:pt idx="14">
                  <c:v>402.67285943614291</c:v>
                </c:pt>
                <c:pt idx="15">
                  <c:v>552.89803012187099</c:v>
                </c:pt>
                <c:pt idx="16">
                  <c:v>782.77502021022326</c:v>
                </c:pt>
                <c:pt idx="17">
                  <c:v>962.10367798055245</c:v>
                </c:pt>
                <c:pt idx="18">
                  <c:v>1516.3589869580624</c:v>
                </c:pt>
              </c:numCache>
            </c:numRef>
          </c:xVal>
          <c:yVal>
            <c:numRef>
              <c:f>rsB!$B$2:$T$2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7-4674-9BBB-3080AC02CCBF}"/>
            </c:ext>
          </c:extLst>
        </c:ser>
        <c:ser>
          <c:idx val="2"/>
          <c:order val="2"/>
          <c:tx>
            <c:v>Bias in SCC literature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rsB!$B$33:$T$33</c:f>
              <c:numCache>
                <c:formatCode>General</c:formatCode>
                <c:ptCount val="19"/>
                <c:pt idx="0">
                  <c:v>6.5883274713038453E-2</c:v>
                </c:pt>
                <c:pt idx="1">
                  <c:v>0.14438027765436434</c:v>
                </c:pt>
                <c:pt idx="2">
                  <c:v>0.19071748589795146</c:v>
                </c:pt>
                <c:pt idx="3">
                  <c:v>0.31440499451665538</c:v>
                </c:pt>
                <c:pt idx="4">
                  <c:v>0.29725657886745083</c:v>
                </c:pt>
                <c:pt idx="5">
                  <c:v>0.28375676229254942</c:v>
                </c:pt>
                <c:pt idx="6">
                  <c:v>0.2712472797520995</c:v>
                </c:pt>
                <c:pt idx="7">
                  <c:v>0.48714009926271373</c:v>
                </c:pt>
                <c:pt idx="8">
                  <c:v>0.65153554898179422</c:v>
                </c:pt>
                <c:pt idx="9">
                  <c:v>1.0226501976818199</c:v>
                </c:pt>
                <c:pt idx="10">
                  <c:v>1.0841551535057192</c:v>
                </c:pt>
                <c:pt idx="11">
                  <c:v>1.220195776133103</c:v>
                </c:pt>
                <c:pt idx="12">
                  <c:v>1.6423908118732982</c:v>
                </c:pt>
                <c:pt idx="13">
                  <c:v>1.9843166679789306</c:v>
                </c:pt>
                <c:pt idx="14">
                  <c:v>2.6728594361429145</c:v>
                </c:pt>
                <c:pt idx="15">
                  <c:v>2.8980301218710025</c:v>
                </c:pt>
                <c:pt idx="16">
                  <c:v>2.7750202102232748</c:v>
                </c:pt>
                <c:pt idx="17">
                  <c:v>2.1036779805524191</c:v>
                </c:pt>
                <c:pt idx="18">
                  <c:v>6.3589869580623031</c:v>
                </c:pt>
              </c:numCache>
            </c:numRef>
          </c:xVal>
          <c:yVal>
            <c:numRef>
              <c:f>rsB!$B$2:$T$2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7-4674-9BBB-3080AC02CCBF}"/>
            </c:ext>
          </c:extLst>
        </c:ser>
        <c:ser>
          <c:idx val="3"/>
          <c:order val="3"/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rsB!$B$35:$T$35</c:f>
              <c:numCache>
                <c:formatCode>General</c:formatCode>
                <c:ptCount val="19"/>
                <c:pt idx="0">
                  <c:v>-2.1506973475030065</c:v>
                </c:pt>
                <c:pt idx="1">
                  <c:v>-3.3998596501230982</c:v>
                </c:pt>
                <c:pt idx="2">
                  <c:v>-2.7927008386682233</c:v>
                </c:pt>
                <c:pt idx="3">
                  <c:v>-2.1005615009441994</c:v>
                </c:pt>
                <c:pt idx="4">
                  <c:v>-2.5411874537121326</c:v>
                </c:pt>
                <c:pt idx="5">
                  <c:v>-2.6157290774392825</c:v>
                </c:pt>
                <c:pt idx="6">
                  <c:v>-3.6545039427269206</c:v>
                </c:pt>
                <c:pt idx="7">
                  <c:v>-3.7247445942424733</c:v>
                </c:pt>
                <c:pt idx="8">
                  <c:v>-4.0067173593242158</c:v>
                </c:pt>
                <c:pt idx="9">
                  <c:v>-4.4596671071795519</c:v>
                </c:pt>
                <c:pt idx="10">
                  <c:v>-4.9704290934079873</c:v>
                </c:pt>
                <c:pt idx="11">
                  <c:v>-5.6241168508128263</c:v>
                </c:pt>
                <c:pt idx="12">
                  <c:v>-10.440071891325008</c:v>
                </c:pt>
                <c:pt idx="13">
                  <c:v>-14.977675494452285</c:v>
                </c:pt>
                <c:pt idx="14">
                  <c:v>-20.660371347804301</c:v>
                </c:pt>
                <c:pt idx="15">
                  <c:v>-12.988100189501823</c:v>
                </c:pt>
                <c:pt idx="16">
                  <c:v>-14.614264602273686</c:v>
                </c:pt>
                <c:pt idx="17">
                  <c:v>-39.099541847215711</c:v>
                </c:pt>
                <c:pt idx="18">
                  <c:v>-103.93592834015777</c:v>
                </c:pt>
              </c:numCache>
            </c:numRef>
          </c:xVal>
          <c:yVal>
            <c:numRef>
              <c:f>rsB!$B$2:$T$2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7-4674-9BBB-3080AC02CCBF}"/>
            </c:ext>
          </c:extLst>
        </c:ser>
        <c:ser>
          <c:idx val="4"/>
          <c:order val="4"/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rsB!$B$36:$T$36</c:f>
              <c:numCache>
                <c:formatCode>General</c:formatCode>
                <c:ptCount val="19"/>
                <c:pt idx="0">
                  <c:v>2.2824638969290834</c:v>
                </c:pt>
                <c:pt idx="1">
                  <c:v>3.6886202054318269</c:v>
                </c:pt>
                <c:pt idx="2">
                  <c:v>3.1741358104641262</c:v>
                </c:pt>
                <c:pt idx="3">
                  <c:v>2.7293714899775101</c:v>
                </c:pt>
                <c:pt idx="4">
                  <c:v>3.1357006114470343</c:v>
                </c:pt>
                <c:pt idx="5">
                  <c:v>3.1832426020243814</c:v>
                </c:pt>
                <c:pt idx="6">
                  <c:v>4.1969985022311196</c:v>
                </c:pt>
                <c:pt idx="7">
                  <c:v>4.6990247927679007</c:v>
                </c:pt>
                <c:pt idx="8">
                  <c:v>5.3097884572878042</c:v>
                </c:pt>
                <c:pt idx="9">
                  <c:v>6.5049675025431917</c:v>
                </c:pt>
                <c:pt idx="10">
                  <c:v>7.1387394004194258</c:v>
                </c:pt>
                <c:pt idx="11">
                  <c:v>8.0645084030790315</c:v>
                </c:pt>
                <c:pt idx="12">
                  <c:v>13.724853515071604</c:v>
                </c:pt>
                <c:pt idx="13">
                  <c:v>18.946308830410146</c:v>
                </c:pt>
                <c:pt idx="14">
                  <c:v>26.00609022009013</c:v>
                </c:pt>
                <c:pt idx="15">
                  <c:v>18.784160433243827</c:v>
                </c:pt>
                <c:pt idx="16">
                  <c:v>20.164305022720235</c:v>
                </c:pt>
                <c:pt idx="17">
                  <c:v>43.306897808320549</c:v>
                </c:pt>
                <c:pt idx="18">
                  <c:v>116.65390225628238</c:v>
                </c:pt>
              </c:numCache>
            </c:numRef>
          </c:xVal>
          <c:yVal>
            <c:numRef>
              <c:f>rsB!$B$2:$T$2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7-4674-9BBB-3080AC02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97120"/>
        <c:axId val="2054199040"/>
      </c:scatterChart>
      <c:valAx>
        <c:axId val="20541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Social cost of carbon (dollar per tonne of carbon)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4199040"/>
        <c:crosses val="autoZero"/>
        <c:crossBetween val="midCat"/>
      </c:valAx>
      <c:valAx>
        <c:axId val="2054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Cumulative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41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2455393059264384"/>
          <c:y val="0.7759647213433678"/>
          <c:w val="0.2247544851716618"/>
          <c:h val="0.1293720390849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943027258796458E-2"/>
          <c:y val="2.5758400621164936E-2"/>
          <c:w val="0.92129358511688741"/>
          <c:h val="0.88673743837217123"/>
        </c:manualLayout>
      </c:layout>
      <c:scatterChart>
        <c:scatterStyle val="lineMarker"/>
        <c:varyColors val="0"/>
        <c:ser>
          <c:idx val="6"/>
          <c:order val="0"/>
          <c:tx>
            <c:v>Matousek bias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time!$B$41:$T$41</c:f>
              <c:numCache>
                <c:formatCode>General</c:formatCode>
                <c:ptCount val="19"/>
                <c:pt idx="0">
                  <c:v>-7.4348509069425841</c:v>
                </c:pt>
                <c:pt idx="1">
                  <c:v>-11.271533822257588</c:v>
                </c:pt>
                <c:pt idx="2">
                  <c:v>-14.631186890197725</c:v>
                </c:pt>
                <c:pt idx="3">
                  <c:v>-15.769243811792052</c:v>
                </c:pt>
                <c:pt idx="4">
                  <c:v>-20.130659559219417</c:v>
                </c:pt>
                <c:pt idx="5">
                  <c:v>-26.775003861940789</c:v>
                </c:pt>
                <c:pt idx="6">
                  <c:v>-32.68335925728379</c:v>
                </c:pt>
                <c:pt idx="7">
                  <c:v>-37.426398882611053</c:v>
                </c:pt>
                <c:pt idx="8">
                  <c:v>-38.571270516310705</c:v>
                </c:pt>
                <c:pt idx="9">
                  <c:v>-44.779473244289335</c:v>
                </c:pt>
                <c:pt idx="10">
                  <c:v>-52.800389392292459</c:v>
                </c:pt>
                <c:pt idx="11">
                  <c:v>-56.480333929184283</c:v>
                </c:pt>
                <c:pt idx="12">
                  <c:v>-62.572686551371916</c:v>
                </c:pt>
                <c:pt idx="13">
                  <c:v>-85.660931164315471</c:v>
                </c:pt>
                <c:pt idx="14">
                  <c:v>-115.85010579103928</c:v>
                </c:pt>
                <c:pt idx="15">
                  <c:v>-146.72075162829853</c:v>
                </c:pt>
                <c:pt idx="16">
                  <c:v>-131.79653211757048</c:v>
                </c:pt>
                <c:pt idx="17">
                  <c:v>-155.03470039683194</c:v>
                </c:pt>
                <c:pt idx="18">
                  <c:v>-224.06773402408066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2F-4876-A13D-92D50362E6BB}"/>
            </c:ext>
          </c:extLst>
        </c:ser>
        <c:ser>
          <c:idx val="0"/>
          <c:order val="1"/>
          <c:tx>
            <c:v>Nesje bias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time!$B$35:$T$35</c:f>
              <c:numCache>
                <c:formatCode>General</c:formatCode>
                <c:ptCount val="19"/>
                <c:pt idx="0">
                  <c:v>-4.6785019981194456</c:v>
                </c:pt>
                <c:pt idx="1">
                  <c:v>-7.0927977130060142</c:v>
                </c:pt>
                <c:pt idx="2">
                  <c:v>-9.206914564585194</c:v>
                </c:pt>
                <c:pt idx="3">
                  <c:v>-9.9230555670471112</c:v>
                </c:pt>
                <c:pt idx="4">
                  <c:v>-12.667548031571812</c:v>
                </c:pt>
                <c:pt idx="5">
                  <c:v>-16.848610770496158</c:v>
                </c:pt>
                <c:pt idx="6">
                  <c:v>-20.566540406031947</c:v>
                </c:pt>
                <c:pt idx="7">
                  <c:v>-23.551175961202574</c:v>
                </c:pt>
                <c:pt idx="8">
                  <c:v>-24.271605233140264</c:v>
                </c:pt>
                <c:pt idx="9">
                  <c:v>-28.17821872561214</c:v>
                </c:pt>
                <c:pt idx="10">
                  <c:v>-33.225511898652087</c:v>
                </c:pt>
                <c:pt idx="11">
                  <c:v>-35.541177415594802</c:v>
                </c:pt>
                <c:pt idx="12">
                  <c:v>-39.374890326977777</c:v>
                </c:pt>
                <c:pt idx="13">
                  <c:v>-53.90354731105532</c:v>
                </c:pt>
                <c:pt idx="14">
                  <c:v>-72.90058108893723</c:v>
                </c:pt>
                <c:pt idx="15">
                  <c:v>-92.326441814401051</c:v>
                </c:pt>
                <c:pt idx="16">
                  <c:v>-82.935131662355644</c:v>
                </c:pt>
                <c:pt idx="17">
                  <c:v>-97.558130574901327</c:v>
                </c:pt>
                <c:pt idx="18">
                  <c:v>-140.99830036495626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2F-4876-A13D-92D50362E6BB}"/>
            </c:ext>
          </c:extLst>
        </c:ser>
        <c:ser>
          <c:idx val="2"/>
          <c:order val="2"/>
          <c:tx>
            <c:v>Drupp bias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time!$B$29:$T$29</c:f>
              <c:numCache>
                <c:formatCode>General</c:formatCode>
                <c:ptCount val="19"/>
                <c:pt idx="0">
                  <c:v>-1.7246553842332482</c:v>
                </c:pt>
                <c:pt idx="1">
                  <c:v>-2.6146471178018196</c:v>
                </c:pt>
                <c:pt idx="2">
                  <c:v>-3.3939826855625839</c:v>
                </c:pt>
                <c:pt idx="3">
                  <c:v>-3.6579766811326593</c:v>
                </c:pt>
                <c:pt idx="4">
                  <c:v>-4.6696901970898352</c:v>
                </c:pt>
                <c:pt idx="5">
                  <c:v>-6.2109725065558408</c:v>
                </c:pt>
                <c:pt idx="6">
                  <c:v>-7.5815281602040727</c:v>
                </c:pt>
                <c:pt idx="7">
                  <c:v>-8.6817666088075072</c:v>
                </c:pt>
                <c:pt idx="8">
                  <c:v>-8.9473414067462471</c:v>
                </c:pt>
                <c:pt idx="9">
                  <c:v>-10.38745236461655</c:v>
                </c:pt>
                <c:pt idx="10">
                  <c:v>-12.248056752556494</c:v>
                </c:pt>
                <c:pt idx="11">
                  <c:v>-13.101690031645347</c:v>
                </c:pt>
                <c:pt idx="12">
                  <c:v>-14.514927349248069</c:v>
                </c:pt>
                <c:pt idx="13">
                  <c:v>-19.870685774346271</c:v>
                </c:pt>
                <c:pt idx="14">
                  <c:v>-26.873640267612416</c:v>
                </c:pt>
                <c:pt idx="15">
                  <c:v>-34.03467499774672</c:v>
                </c:pt>
                <c:pt idx="16">
                  <c:v>-30.572717810330801</c:v>
                </c:pt>
                <c:pt idx="17">
                  <c:v>-35.963253887540134</c:v>
                </c:pt>
                <c:pt idx="18">
                  <c:v>-51.976781882299804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F-4876-A13D-92D50362E6BB}"/>
            </c:ext>
          </c:extLst>
        </c:ser>
        <c:ser>
          <c:idx val="3"/>
          <c:order val="3"/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time!$B$31:$T$31</c:f>
              <c:numCache>
                <c:formatCode>General</c:formatCode>
                <c:ptCount val="19"/>
                <c:pt idx="0">
                  <c:v>-5.2616688021614415</c:v>
                </c:pt>
                <c:pt idx="1">
                  <c:v>-8.2729552195617071</c:v>
                </c:pt>
                <c:pt idx="2">
                  <c:v>-8.1594746179164517</c:v>
                </c:pt>
                <c:pt idx="3">
                  <c:v>-7.5135268142325664</c:v>
                </c:pt>
                <c:pt idx="4">
                  <c:v>-9.2045569808247567</c:v>
                </c:pt>
                <c:pt idx="5">
                  <c:v>-10.839459400126175</c:v>
                </c:pt>
                <c:pt idx="6">
                  <c:v>-13.848366975894148</c:v>
                </c:pt>
                <c:pt idx="7">
                  <c:v>-15.407572304422418</c:v>
                </c:pt>
                <c:pt idx="8">
                  <c:v>-16.386715012692058</c:v>
                </c:pt>
                <c:pt idx="9">
                  <c:v>-19.139790925571209</c:v>
                </c:pt>
                <c:pt idx="10">
                  <c:v>-21.914903947391231</c:v>
                </c:pt>
                <c:pt idx="11">
                  <c:v>-24.027841874632056</c:v>
                </c:pt>
                <c:pt idx="12">
                  <c:v>-33.80980364459554</c:v>
                </c:pt>
                <c:pt idx="13">
                  <c:v>-46.952015107224497</c:v>
                </c:pt>
                <c:pt idx="14">
                  <c:v>-64.127593730167931</c:v>
                </c:pt>
                <c:pt idx="15">
                  <c:v>-59.392024259265497</c:v>
                </c:pt>
                <c:pt idx="16">
                  <c:v>-58.339072337126694</c:v>
                </c:pt>
                <c:pt idx="17">
                  <c:v>-101.74850667676625</c:v>
                </c:pt>
                <c:pt idx="18">
                  <c:v>-228.02825671913888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F-4876-A13D-92D50362E6BB}"/>
            </c:ext>
          </c:extLst>
        </c:ser>
        <c:ser>
          <c:idx val="4"/>
          <c:order val="4"/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time!$B$32:$T$32</c:f>
              <c:numCache>
                <c:formatCode>General</c:formatCode>
                <c:ptCount val="19"/>
                <c:pt idx="0">
                  <c:v>1.8123580336949456</c:v>
                </c:pt>
                <c:pt idx="1">
                  <c:v>3.0436609839580679</c:v>
                </c:pt>
                <c:pt idx="2">
                  <c:v>1.3715092467912839</c:v>
                </c:pt>
                <c:pt idx="3">
                  <c:v>0.1975734519672474</c:v>
                </c:pt>
                <c:pt idx="4">
                  <c:v>-0.13482341335491377</c:v>
                </c:pt>
                <c:pt idx="5">
                  <c:v>-1.5824856129855061</c:v>
                </c:pt>
                <c:pt idx="6">
                  <c:v>-1.3146893445139964</c:v>
                </c:pt>
                <c:pt idx="7">
                  <c:v>-1.9559609131925964</c:v>
                </c:pt>
                <c:pt idx="8">
                  <c:v>-1.5079678008004382</c:v>
                </c:pt>
                <c:pt idx="9">
                  <c:v>-1.6351138036618913</c:v>
                </c:pt>
                <c:pt idx="10">
                  <c:v>-2.5812095577217544</c:v>
                </c:pt>
                <c:pt idx="11">
                  <c:v>-2.1755381886586385</c:v>
                </c:pt>
                <c:pt idx="12">
                  <c:v>4.7799489460994025</c:v>
                </c:pt>
                <c:pt idx="13">
                  <c:v>7.2106435585319559</c:v>
                </c:pt>
                <c:pt idx="14">
                  <c:v>10.380313194943099</c:v>
                </c:pt>
                <c:pt idx="15">
                  <c:v>-8.6773257362279388</c:v>
                </c:pt>
                <c:pt idx="16">
                  <c:v>-2.8063632835349068</c:v>
                </c:pt>
                <c:pt idx="17">
                  <c:v>29.821998901685987</c:v>
                </c:pt>
                <c:pt idx="18">
                  <c:v>124.07469295453927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2F-4876-A13D-92D50362E6BB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time!$B$37:$T$37</c:f>
              <c:numCache>
                <c:formatCode>General</c:formatCode>
                <c:ptCount val="19"/>
                <c:pt idx="0">
                  <c:v>-8.4777316364929884</c:v>
                </c:pt>
                <c:pt idx="1">
                  <c:v>-13.170584055090998</c:v>
                </c:pt>
                <c:pt idx="2">
                  <c:v>-14.325695878520367</c:v>
                </c:pt>
                <c:pt idx="3">
                  <c:v>-14.064436615719625</c:v>
                </c:pt>
                <c:pt idx="4">
                  <c:v>-17.538606819053964</c:v>
                </c:pt>
                <c:pt idx="5">
                  <c:v>-21.820230187528548</c:v>
                </c:pt>
                <c:pt idx="6">
                  <c:v>-27.297970840193464</c:v>
                </c:pt>
                <c:pt idx="7">
                  <c:v>-30.775598749988418</c:v>
                </c:pt>
                <c:pt idx="8">
                  <c:v>-32.262496234961439</c:v>
                </c:pt>
                <c:pt idx="9">
                  <c:v>-37.579411239418334</c:v>
                </c:pt>
                <c:pt idx="10">
                  <c:v>-43.609010074284363</c:v>
                </c:pt>
                <c:pt idx="11">
                  <c:v>-47.27733869359183</c:v>
                </c:pt>
                <c:pt idx="12">
                  <c:v>-60.100190807453203</c:v>
                </c:pt>
                <c:pt idx="13">
                  <c:v>-82.992548932172312</c:v>
                </c:pt>
                <c:pt idx="14">
                  <c:v>-112.91635355508595</c:v>
                </c:pt>
                <c:pt idx="15">
                  <c:v>-119.56365623282468</c:v>
                </c:pt>
                <c:pt idx="16">
                  <c:v>-112.75994276798656</c:v>
                </c:pt>
                <c:pt idx="17">
                  <c:v>-168.22036807105482</c:v>
                </c:pt>
                <c:pt idx="18">
                  <c:v>-330.10133788503384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2F-4876-A13D-92D50362E6BB}"/>
            </c:ext>
          </c:extLst>
        </c:ser>
        <c:ser>
          <c:idx val="5"/>
          <c:order val="6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time!$B$38:$T$38</c:f>
              <c:numCache>
                <c:formatCode>General</c:formatCode>
                <c:ptCount val="19"/>
                <c:pt idx="0">
                  <c:v>-0.87927235974590312</c:v>
                </c:pt>
                <c:pt idx="1">
                  <c:v>-1.0150113709210302</c:v>
                </c:pt>
                <c:pt idx="2">
                  <c:v>-4.0881332506500199</c:v>
                </c:pt>
                <c:pt idx="3">
                  <c:v>-5.7816745183745963</c:v>
                </c:pt>
                <c:pt idx="4">
                  <c:v>-7.7964892440896589</c:v>
                </c:pt>
                <c:pt idx="5">
                  <c:v>-11.876991353463769</c:v>
                </c:pt>
                <c:pt idx="6">
                  <c:v>-13.83510997187043</c:v>
                </c:pt>
                <c:pt idx="7">
                  <c:v>-16.32675317241673</c:v>
                </c:pt>
                <c:pt idx="8">
                  <c:v>-16.280714231319088</c:v>
                </c:pt>
                <c:pt idx="9">
                  <c:v>-18.77702621180595</c:v>
                </c:pt>
                <c:pt idx="10">
                  <c:v>-22.842013723019811</c:v>
                </c:pt>
                <c:pt idx="11">
                  <c:v>-23.805016137597772</c:v>
                </c:pt>
                <c:pt idx="12">
                  <c:v>-18.649589846502352</c:v>
                </c:pt>
                <c:pt idx="13">
                  <c:v>-24.814545689938331</c:v>
                </c:pt>
                <c:pt idx="14">
                  <c:v>-32.884808622788519</c:v>
                </c:pt>
                <c:pt idx="15">
                  <c:v>-65.089227395977417</c:v>
                </c:pt>
                <c:pt idx="16">
                  <c:v>-53.11032055672473</c:v>
                </c:pt>
                <c:pt idx="17">
                  <c:v>-26.895893078747832</c:v>
                </c:pt>
                <c:pt idx="18">
                  <c:v>48.104737155121313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2F-4876-A13D-92D50362E6BB}"/>
            </c:ext>
          </c:extLst>
        </c:ser>
        <c:ser>
          <c:idx val="7"/>
          <c:order val="7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time!$B$43:$T$43</c:f>
              <c:numCache>
                <c:formatCode>General</c:formatCode>
                <c:ptCount val="19"/>
                <c:pt idx="0">
                  <c:v>-11.338557189447059</c:v>
                </c:pt>
                <c:pt idx="1">
                  <c:v>-17.516455815831563</c:v>
                </c:pt>
                <c:pt idx="2">
                  <c:v>-19.890731765334483</c:v>
                </c:pt>
                <c:pt idx="3">
                  <c:v>-20.024510472869395</c:v>
                </c:pt>
                <c:pt idx="4">
                  <c:v>-25.135669679977251</c:v>
                </c:pt>
                <c:pt idx="5">
                  <c:v>-31.883339972099968</c:v>
                </c:pt>
                <c:pt idx="6">
                  <c:v>-39.599900181966504</c:v>
                </c:pt>
                <c:pt idx="7">
                  <c:v>-44.849489169968656</c:v>
                </c:pt>
                <c:pt idx="8">
                  <c:v>-46.781906454593198</c:v>
                </c:pt>
                <c:pt idx="9">
                  <c:v>-54.43919318027362</c:v>
                </c:pt>
                <c:pt idx="10">
                  <c:v>-63.469427834502071</c:v>
                </c:pt>
                <c:pt idx="11">
                  <c:v>-68.539232936146135</c:v>
                </c:pt>
                <c:pt idx="12">
                  <c:v>-83.867920952380828</c:v>
                </c:pt>
                <c:pt idx="13">
                  <c:v>-115.54986370821673</c:v>
                </c:pt>
                <c:pt idx="14">
                  <c:v>-156.96628913452571</c:v>
                </c:pt>
                <c:pt idx="15">
                  <c:v>-174.70697387956528</c:v>
                </c:pt>
                <c:pt idx="16">
                  <c:v>-162.44150848635965</c:v>
                </c:pt>
                <c:pt idx="17">
                  <c:v>-227.640109046899</c:v>
                </c:pt>
                <c:pt idx="18">
                  <c:v>-418.37099702026842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2F-4876-A13D-92D50362E6BB}"/>
            </c:ext>
          </c:extLst>
        </c:ser>
        <c:ser>
          <c:idx val="8"/>
          <c:order val="8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time!$B$44:$T$44</c:f>
              <c:numCache>
                <c:formatCode>General</c:formatCode>
                <c:ptCount val="19"/>
                <c:pt idx="0">
                  <c:v>-3.5311446244381104</c:v>
                </c:pt>
                <c:pt idx="1">
                  <c:v>-5.0266118286836123</c:v>
                </c:pt>
                <c:pt idx="2">
                  <c:v>-9.3716420150609672</c:v>
                </c:pt>
                <c:pt idx="3">
                  <c:v>-11.513977150714709</c:v>
                </c:pt>
                <c:pt idx="4">
                  <c:v>-15.125649438461583</c:v>
                </c:pt>
                <c:pt idx="5">
                  <c:v>-21.66666775178161</c:v>
                </c:pt>
                <c:pt idx="6">
                  <c:v>-25.766818332601073</c:v>
                </c:pt>
                <c:pt idx="7">
                  <c:v>-30.003308595253447</c:v>
                </c:pt>
                <c:pt idx="8">
                  <c:v>-30.360634578028211</c:v>
                </c:pt>
                <c:pt idx="9">
                  <c:v>-35.11975330830505</c:v>
                </c:pt>
                <c:pt idx="10">
                  <c:v>-42.131350950082847</c:v>
                </c:pt>
                <c:pt idx="11">
                  <c:v>-44.421434922222431</c:v>
                </c:pt>
                <c:pt idx="12">
                  <c:v>-41.277452150363004</c:v>
                </c:pt>
                <c:pt idx="13">
                  <c:v>-55.771998620414209</c:v>
                </c:pt>
                <c:pt idx="14">
                  <c:v>-74.733922447552843</c:v>
                </c:pt>
                <c:pt idx="15">
                  <c:v>-118.73452937703178</c:v>
                </c:pt>
                <c:pt idx="16">
                  <c:v>-101.15155574878132</c:v>
                </c:pt>
                <c:pt idx="17">
                  <c:v>-82.429291746764861</c:v>
                </c:pt>
                <c:pt idx="18">
                  <c:v>-29.764471027892881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2F-4876-A13D-92D50362E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97120"/>
        <c:axId val="2054199040"/>
      </c:scatterChart>
      <c:valAx>
        <c:axId val="2054197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Social cost of carbon (dollar per tonne of carbon)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4199040"/>
        <c:crosses val="autoZero"/>
        <c:crossBetween val="midCat"/>
      </c:valAx>
      <c:valAx>
        <c:axId val="2054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Cumulative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41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3.9155944261211426E-2"/>
          <c:y val="0.84668385139968283"/>
          <c:w val="0.49500578975225407"/>
          <c:h val="6.0716985838982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943027258796458E-2"/>
          <c:y val="2.5758400621164936E-2"/>
          <c:w val="0.92129358511688741"/>
          <c:h val="0.88673743837217123"/>
        </c:manualLayout>
      </c:layout>
      <c:scatterChart>
        <c:scatterStyle val="lineMarker"/>
        <c:varyColors val="0"/>
        <c:ser>
          <c:idx val="2"/>
          <c:order val="0"/>
          <c:tx>
            <c:v>Bias in SCC literature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time!$B$29:$T$29</c:f>
              <c:numCache>
                <c:formatCode>General</c:formatCode>
                <c:ptCount val="19"/>
                <c:pt idx="0">
                  <c:v>-1.7246553842332482</c:v>
                </c:pt>
                <c:pt idx="1">
                  <c:v>-2.6146471178018196</c:v>
                </c:pt>
                <c:pt idx="2">
                  <c:v>-3.3939826855625839</c:v>
                </c:pt>
                <c:pt idx="3">
                  <c:v>-3.6579766811326593</c:v>
                </c:pt>
                <c:pt idx="4">
                  <c:v>-4.6696901970898352</c:v>
                </c:pt>
                <c:pt idx="5">
                  <c:v>-6.2109725065558408</c:v>
                </c:pt>
                <c:pt idx="6">
                  <c:v>-7.5815281602040727</c:v>
                </c:pt>
                <c:pt idx="7">
                  <c:v>-8.6817666088075072</c:v>
                </c:pt>
                <c:pt idx="8">
                  <c:v>-8.9473414067462471</c:v>
                </c:pt>
                <c:pt idx="9">
                  <c:v>-10.38745236461655</c:v>
                </c:pt>
                <c:pt idx="10">
                  <c:v>-12.248056752556494</c:v>
                </c:pt>
                <c:pt idx="11">
                  <c:v>-13.101690031645347</c:v>
                </c:pt>
                <c:pt idx="12">
                  <c:v>-14.514927349248069</c:v>
                </c:pt>
                <c:pt idx="13">
                  <c:v>-19.870685774346271</c:v>
                </c:pt>
                <c:pt idx="14">
                  <c:v>-26.873640267612416</c:v>
                </c:pt>
                <c:pt idx="15">
                  <c:v>-34.03467499774672</c:v>
                </c:pt>
                <c:pt idx="16">
                  <c:v>-30.572717810330801</c:v>
                </c:pt>
                <c:pt idx="17">
                  <c:v>-35.963253887540134</c:v>
                </c:pt>
                <c:pt idx="18">
                  <c:v>-51.976781882299804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BE-4D3F-A5FE-A7C9B763E04A}"/>
            </c:ext>
          </c:extLst>
        </c:ser>
        <c:ser>
          <c:idx val="3"/>
          <c:order val="1"/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time!$B$31:$T$31</c:f>
              <c:numCache>
                <c:formatCode>General</c:formatCode>
                <c:ptCount val="19"/>
                <c:pt idx="0">
                  <c:v>-5.2616688021614415</c:v>
                </c:pt>
                <c:pt idx="1">
                  <c:v>-8.2729552195617071</c:v>
                </c:pt>
                <c:pt idx="2">
                  <c:v>-8.1594746179164517</c:v>
                </c:pt>
                <c:pt idx="3">
                  <c:v>-7.5135268142325664</c:v>
                </c:pt>
                <c:pt idx="4">
                  <c:v>-9.2045569808247567</c:v>
                </c:pt>
                <c:pt idx="5">
                  <c:v>-10.839459400126175</c:v>
                </c:pt>
                <c:pt idx="6">
                  <c:v>-13.848366975894148</c:v>
                </c:pt>
                <c:pt idx="7">
                  <c:v>-15.407572304422418</c:v>
                </c:pt>
                <c:pt idx="8">
                  <c:v>-16.386715012692058</c:v>
                </c:pt>
                <c:pt idx="9">
                  <c:v>-19.139790925571209</c:v>
                </c:pt>
                <c:pt idx="10">
                  <c:v>-21.914903947391231</c:v>
                </c:pt>
                <c:pt idx="11">
                  <c:v>-24.027841874632056</c:v>
                </c:pt>
                <c:pt idx="12">
                  <c:v>-33.80980364459554</c:v>
                </c:pt>
                <c:pt idx="13">
                  <c:v>-46.952015107224497</c:v>
                </c:pt>
                <c:pt idx="14">
                  <c:v>-64.127593730167931</c:v>
                </c:pt>
                <c:pt idx="15">
                  <c:v>-59.392024259265497</c:v>
                </c:pt>
                <c:pt idx="16">
                  <c:v>-58.339072337126694</c:v>
                </c:pt>
                <c:pt idx="17">
                  <c:v>-101.74850667676625</c:v>
                </c:pt>
                <c:pt idx="18">
                  <c:v>-228.02825671913888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BE-4D3F-A5FE-A7C9B763E04A}"/>
            </c:ext>
          </c:extLst>
        </c:ser>
        <c:ser>
          <c:idx val="4"/>
          <c:order val="2"/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time!$B$32:$T$32</c:f>
              <c:numCache>
                <c:formatCode>General</c:formatCode>
                <c:ptCount val="19"/>
                <c:pt idx="0">
                  <c:v>1.8123580336949456</c:v>
                </c:pt>
                <c:pt idx="1">
                  <c:v>3.0436609839580679</c:v>
                </c:pt>
                <c:pt idx="2">
                  <c:v>1.3715092467912839</c:v>
                </c:pt>
                <c:pt idx="3">
                  <c:v>0.1975734519672474</c:v>
                </c:pt>
                <c:pt idx="4">
                  <c:v>-0.13482341335491377</c:v>
                </c:pt>
                <c:pt idx="5">
                  <c:v>-1.5824856129855061</c:v>
                </c:pt>
                <c:pt idx="6">
                  <c:v>-1.3146893445139964</c:v>
                </c:pt>
                <c:pt idx="7">
                  <c:v>-1.9559609131925964</c:v>
                </c:pt>
                <c:pt idx="8">
                  <c:v>-1.5079678008004382</c:v>
                </c:pt>
                <c:pt idx="9">
                  <c:v>-1.6351138036618913</c:v>
                </c:pt>
                <c:pt idx="10">
                  <c:v>-2.5812095577217544</c:v>
                </c:pt>
                <c:pt idx="11">
                  <c:v>-2.1755381886586385</c:v>
                </c:pt>
                <c:pt idx="12">
                  <c:v>4.7799489460994025</c:v>
                </c:pt>
                <c:pt idx="13">
                  <c:v>7.2106435585319559</c:v>
                </c:pt>
                <c:pt idx="14">
                  <c:v>10.380313194943099</c:v>
                </c:pt>
                <c:pt idx="15">
                  <c:v>-8.6773257362279388</c:v>
                </c:pt>
                <c:pt idx="16">
                  <c:v>-2.8063632835349068</c:v>
                </c:pt>
                <c:pt idx="17">
                  <c:v>29.821998901685987</c:v>
                </c:pt>
                <c:pt idx="18">
                  <c:v>124.07469295453927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BE-4D3F-A5FE-A7C9B763E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97120"/>
        <c:axId val="2054199040"/>
      </c:scatterChart>
      <c:valAx>
        <c:axId val="20541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Social cost of carbon (dollar per tonne of carbon)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4199040"/>
        <c:crosses val="autoZero"/>
        <c:crossBetween val="midCat"/>
      </c:valAx>
      <c:valAx>
        <c:axId val="2054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Cumulative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41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2455393059264384"/>
          <c:y val="0.7759647213433678"/>
          <c:w val="0.2247544851716618"/>
          <c:h val="0.1293720390849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943027258796458E-2"/>
          <c:y val="2.5758400621164936E-2"/>
          <c:w val="0.92129358511688741"/>
          <c:h val="0.88673743837217123"/>
        </c:manualLayout>
      </c:layout>
      <c:scatterChart>
        <c:scatterStyle val="lineMarker"/>
        <c:varyColors val="0"/>
        <c:ser>
          <c:idx val="0"/>
          <c:order val="0"/>
          <c:tx>
            <c:v>SCC literature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time!$B$26:$T$26</c:f>
              <c:numCache>
                <c:formatCode>General</c:formatCode>
                <c:ptCount val="19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65</c:v>
                </c:pt>
                <c:pt idx="4">
                  <c:v>75</c:v>
                </c:pt>
                <c:pt idx="5">
                  <c:v>85</c:v>
                </c:pt>
                <c:pt idx="6">
                  <c:v>100</c:v>
                </c:pt>
                <c:pt idx="7">
                  <c:v>130</c:v>
                </c:pt>
                <c:pt idx="8">
                  <c:v>155</c:v>
                </c:pt>
                <c:pt idx="9">
                  <c:v>180</c:v>
                </c:pt>
                <c:pt idx="10">
                  <c:v>215</c:v>
                </c:pt>
                <c:pt idx="11">
                  <c:v>245</c:v>
                </c:pt>
                <c:pt idx="12">
                  <c:v>275</c:v>
                </c:pt>
                <c:pt idx="13">
                  <c:v>330</c:v>
                </c:pt>
                <c:pt idx="14">
                  <c:v>400</c:v>
                </c:pt>
                <c:pt idx="15">
                  <c:v>550</c:v>
                </c:pt>
                <c:pt idx="16">
                  <c:v>780</c:v>
                </c:pt>
                <c:pt idx="17">
                  <c:v>960</c:v>
                </c:pt>
                <c:pt idx="18">
                  <c:v>1510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4-462A-9A57-A2B5A784732E}"/>
            </c:ext>
          </c:extLst>
        </c:ser>
        <c:ser>
          <c:idx val="1"/>
          <c:order val="1"/>
          <c:tx>
            <c:v>Drupp's experts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time!$B$27:$T$27</c:f>
              <c:numCache>
                <c:formatCode>General</c:formatCode>
                <c:ptCount val="19"/>
                <c:pt idx="0">
                  <c:v>16.724655384233248</c:v>
                </c:pt>
                <c:pt idx="1">
                  <c:v>32.614647117801823</c:v>
                </c:pt>
                <c:pt idx="2">
                  <c:v>48.393982685562584</c:v>
                </c:pt>
                <c:pt idx="3">
                  <c:v>68.657976681132652</c:v>
                </c:pt>
                <c:pt idx="4">
                  <c:v>79.669690197089835</c:v>
                </c:pt>
                <c:pt idx="5">
                  <c:v>91.210972506555834</c:v>
                </c:pt>
                <c:pt idx="6">
                  <c:v>107.58152816020407</c:v>
                </c:pt>
                <c:pt idx="7">
                  <c:v>138.68176660880749</c:v>
                </c:pt>
                <c:pt idx="8">
                  <c:v>163.94734140674626</c:v>
                </c:pt>
                <c:pt idx="9">
                  <c:v>190.38745236461654</c:v>
                </c:pt>
                <c:pt idx="10">
                  <c:v>227.24805675255649</c:v>
                </c:pt>
                <c:pt idx="11">
                  <c:v>258.10169003164538</c:v>
                </c:pt>
                <c:pt idx="12">
                  <c:v>289.51492734924807</c:v>
                </c:pt>
                <c:pt idx="13">
                  <c:v>349.87068577434627</c:v>
                </c:pt>
                <c:pt idx="14">
                  <c:v>426.87364026761242</c:v>
                </c:pt>
                <c:pt idx="15">
                  <c:v>584.03467499774672</c:v>
                </c:pt>
                <c:pt idx="16">
                  <c:v>810.5727178103308</c:v>
                </c:pt>
                <c:pt idx="17">
                  <c:v>995.96325388754008</c:v>
                </c:pt>
                <c:pt idx="18">
                  <c:v>1561.9767818822997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4-462A-9A57-A2B5A784732E}"/>
            </c:ext>
          </c:extLst>
        </c:ser>
        <c:ser>
          <c:idx val="2"/>
          <c:order val="2"/>
          <c:tx>
            <c:v>Bias in SCC literature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time!$B$29:$T$29</c:f>
              <c:numCache>
                <c:formatCode>General</c:formatCode>
                <c:ptCount val="19"/>
                <c:pt idx="0">
                  <c:v>-1.7246553842332482</c:v>
                </c:pt>
                <c:pt idx="1">
                  <c:v>-2.6146471178018196</c:v>
                </c:pt>
                <c:pt idx="2">
                  <c:v>-3.3939826855625839</c:v>
                </c:pt>
                <c:pt idx="3">
                  <c:v>-3.6579766811326593</c:v>
                </c:pt>
                <c:pt idx="4">
                  <c:v>-4.6696901970898352</c:v>
                </c:pt>
                <c:pt idx="5">
                  <c:v>-6.2109725065558408</c:v>
                </c:pt>
                <c:pt idx="6">
                  <c:v>-7.5815281602040727</c:v>
                </c:pt>
                <c:pt idx="7">
                  <c:v>-8.6817666088075072</c:v>
                </c:pt>
                <c:pt idx="8">
                  <c:v>-8.9473414067462471</c:v>
                </c:pt>
                <c:pt idx="9">
                  <c:v>-10.38745236461655</c:v>
                </c:pt>
                <c:pt idx="10">
                  <c:v>-12.248056752556494</c:v>
                </c:pt>
                <c:pt idx="11">
                  <c:v>-13.101690031645347</c:v>
                </c:pt>
                <c:pt idx="12">
                  <c:v>-14.514927349248069</c:v>
                </c:pt>
                <c:pt idx="13">
                  <c:v>-19.870685774346271</c:v>
                </c:pt>
                <c:pt idx="14">
                  <c:v>-26.873640267612416</c:v>
                </c:pt>
                <c:pt idx="15">
                  <c:v>-34.03467499774672</c:v>
                </c:pt>
                <c:pt idx="16">
                  <c:v>-30.572717810330801</c:v>
                </c:pt>
                <c:pt idx="17">
                  <c:v>-35.963253887540134</c:v>
                </c:pt>
                <c:pt idx="18">
                  <c:v>-51.976781882299804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4-462A-9A57-A2B5A784732E}"/>
            </c:ext>
          </c:extLst>
        </c:ser>
        <c:ser>
          <c:idx val="3"/>
          <c:order val="3"/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time!$B$31:$T$31</c:f>
              <c:numCache>
                <c:formatCode>General</c:formatCode>
                <c:ptCount val="19"/>
                <c:pt idx="0">
                  <c:v>-5.2616688021614415</c:v>
                </c:pt>
                <c:pt idx="1">
                  <c:v>-8.2729552195617071</c:v>
                </c:pt>
                <c:pt idx="2">
                  <c:v>-8.1594746179164517</c:v>
                </c:pt>
                <c:pt idx="3">
                  <c:v>-7.5135268142325664</c:v>
                </c:pt>
                <c:pt idx="4">
                  <c:v>-9.2045569808247567</c:v>
                </c:pt>
                <c:pt idx="5">
                  <c:v>-10.839459400126175</c:v>
                </c:pt>
                <c:pt idx="6">
                  <c:v>-13.848366975894148</c:v>
                </c:pt>
                <c:pt idx="7">
                  <c:v>-15.407572304422418</c:v>
                </c:pt>
                <c:pt idx="8">
                  <c:v>-16.386715012692058</c:v>
                </c:pt>
                <c:pt idx="9">
                  <c:v>-19.139790925571209</c:v>
                </c:pt>
                <c:pt idx="10">
                  <c:v>-21.914903947391231</c:v>
                </c:pt>
                <c:pt idx="11">
                  <c:v>-24.027841874632056</c:v>
                </c:pt>
                <c:pt idx="12">
                  <c:v>-33.80980364459554</c:v>
                </c:pt>
                <c:pt idx="13">
                  <c:v>-46.952015107224497</c:v>
                </c:pt>
                <c:pt idx="14">
                  <c:v>-64.127593730167931</c:v>
                </c:pt>
                <c:pt idx="15">
                  <c:v>-59.392024259265497</c:v>
                </c:pt>
                <c:pt idx="16">
                  <c:v>-58.339072337126694</c:v>
                </c:pt>
                <c:pt idx="17">
                  <c:v>-101.74850667676625</c:v>
                </c:pt>
                <c:pt idx="18">
                  <c:v>-228.02825671913888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4-462A-9A57-A2B5A784732E}"/>
            </c:ext>
          </c:extLst>
        </c:ser>
        <c:ser>
          <c:idx val="4"/>
          <c:order val="4"/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time!$B$32:$T$32</c:f>
              <c:numCache>
                <c:formatCode>General</c:formatCode>
                <c:ptCount val="19"/>
                <c:pt idx="0">
                  <c:v>1.8123580336949456</c:v>
                </c:pt>
                <c:pt idx="1">
                  <c:v>3.0436609839580679</c:v>
                </c:pt>
                <c:pt idx="2">
                  <c:v>1.3715092467912839</c:v>
                </c:pt>
                <c:pt idx="3">
                  <c:v>0.1975734519672474</c:v>
                </c:pt>
                <c:pt idx="4">
                  <c:v>-0.13482341335491377</c:v>
                </c:pt>
                <c:pt idx="5">
                  <c:v>-1.5824856129855061</c:v>
                </c:pt>
                <c:pt idx="6">
                  <c:v>-1.3146893445139964</c:v>
                </c:pt>
                <c:pt idx="7">
                  <c:v>-1.9559609131925964</c:v>
                </c:pt>
                <c:pt idx="8">
                  <c:v>-1.5079678008004382</c:v>
                </c:pt>
                <c:pt idx="9">
                  <c:v>-1.6351138036618913</c:v>
                </c:pt>
                <c:pt idx="10">
                  <c:v>-2.5812095577217544</c:v>
                </c:pt>
                <c:pt idx="11">
                  <c:v>-2.1755381886586385</c:v>
                </c:pt>
                <c:pt idx="12">
                  <c:v>4.7799489460994025</c:v>
                </c:pt>
                <c:pt idx="13">
                  <c:v>7.2106435585319559</c:v>
                </c:pt>
                <c:pt idx="14">
                  <c:v>10.380313194943099</c:v>
                </c:pt>
                <c:pt idx="15">
                  <c:v>-8.6773257362279388</c:v>
                </c:pt>
                <c:pt idx="16">
                  <c:v>-2.8063632835349068</c:v>
                </c:pt>
                <c:pt idx="17">
                  <c:v>29.821998901685987</c:v>
                </c:pt>
                <c:pt idx="18">
                  <c:v>124.07469295453927</c:v>
                </c:pt>
              </c:numCache>
            </c:numRef>
          </c:xVal>
          <c:yVal>
            <c:numRef>
              <c:f>time!$B$2:$T$2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14-462A-9A57-A2B5A784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97120"/>
        <c:axId val="2054199040"/>
      </c:scatterChart>
      <c:valAx>
        <c:axId val="2054197120"/>
        <c:scaling>
          <c:orientation val="minMax"/>
          <c:max val="1750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Social cost of carbon (dollar per tonne of carbon)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4199040"/>
        <c:crosses val="autoZero"/>
        <c:crossBetween val="midCat"/>
        <c:majorUnit val="250"/>
      </c:valAx>
      <c:valAx>
        <c:axId val="2054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Cumulative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41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2455393059264384"/>
          <c:y val="0.7759647213433678"/>
          <c:w val="0.2247544851716618"/>
          <c:h val="0.1293720390849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943027258796458E-2"/>
          <c:y val="2.5758400621164936E-2"/>
          <c:w val="0.92129358511688741"/>
          <c:h val="0.88673743837217123"/>
        </c:manualLayout>
      </c:layout>
      <c:scatterChart>
        <c:scatterStyle val="lineMarker"/>
        <c:varyColors val="0"/>
        <c:ser>
          <c:idx val="2"/>
          <c:order val="0"/>
          <c:tx>
            <c:v>Drupp bias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risk!$B$28:$T$28</c:f>
              <c:numCache>
                <c:formatCode>General</c:formatCode>
                <c:ptCount val="19"/>
                <c:pt idx="0">
                  <c:v>0.42786300027610835</c:v>
                </c:pt>
                <c:pt idx="1">
                  <c:v>0.20719848453182621</c:v>
                </c:pt>
                <c:pt idx="2">
                  <c:v>0.20855084236726817</c:v>
                </c:pt>
                <c:pt idx="3">
                  <c:v>0.57604689075505533</c:v>
                </c:pt>
                <c:pt idx="4">
                  <c:v>0.78494301597393701</c:v>
                </c:pt>
                <c:pt idx="5">
                  <c:v>0.96851839874203449</c:v>
                </c:pt>
                <c:pt idx="6">
                  <c:v>1.1874852737992754</c:v>
                </c:pt>
                <c:pt idx="7">
                  <c:v>1.6380793951391581</c:v>
                </c:pt>
                <c:pt idx="8">
                  <c:v>2.0230697746747381</c:v>
                </c:pt>
                <c:pt idx="9">
                  <c:v>2.1764329079277189</c:v>
                </c:pt>
                <c:pt idx="10">
                  <c:v>2.4391356108544784</c:v>
                </c:pt>
                <c:pt idx="11">
                  <c:v>2.5441591448832384</c:v>
                </c:pt>
                <c:pt idx="12">
                  <c:v>2.6270270292675804</c:v>
                </c:pt>
                <c:pt idx="13">
                  <c:v>2.7449986702313822</c:v>
                </c:pt>
                <c:pt idx="14">
                  <c:v>3.5592907285914634</c:v>
                </c:pt>
                <c:pt idx="15">
                  <c:v>4.2009413611508251</c:v>
                </c:pt>
                <c:pt idx="16">
                  <c:v>3.1478286637663757</c:v>
                </c:pt>
                <c:pt idx="17">
                  <c:v>3.9045735801928743</c:v>
                </c:pt>
                <c:pt idx="18">
                  <c:v>3.3291021608571896</c:v>
                </c:pt>
              </c:numCache>
            </c:numRef>
          </c:xVal>
          <c:yVal>
            <c:numRef>
              <c:f>risk!$B$2:$T$2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B0-43F6-B867-D1A14799413F}"/>
            </c:ext>
          </c:extLst>
        </c:ser>
        <c:ser>
          <c:idx val="0"/>
          <c:order val="1"/>
          <c:tx>
            <c:v>Nesje bias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risk!$B$40:$T$40</c:f>
              <c:numCache>
                <c:formatCode>0.000</c:formatCode>
                <c:ptCount val="19"/>
                <c:pt idx="0">
                  <c:v>0.53381113299355221</c:v>
                </c:pt>
                <c:pt idx="1">
                  <c:v>0.25850531060434356</c:v>
                </c:pt>
                <c:pt idx="2">
                  <c:v>0.26019254148872228</c:v>
                </c:pt>
                <c:pt idx="3">
                  <c:v>0.71868855968600798</c:v>
                </c:pt>
                <c:pt idx="4">
                  <c:v>0.97931188352819731</c:v>
                </c:pt>
                <c:pt idx="5">
                  <c:v>1.2083445014501137</c:v>
                </c:pt>
                <c:pt idx="6">
                  <c:v>1.4815323106014944</c:v>
                </c:pt>
                <c:pt idx="7">
                  <c:v>2.0437032818643956</c:v>
                </c:pt>
                <c:pt idx="8">
                  <c:v>2.5240256059702091</c:v>
                </c:pt>
                <c:pt idx="9">
                  <c:v>2.7153647679645445</c:v>
                </c:pt>
                <c:pt idx="10">
                  <c:v>3.0431183418873218</c:v>
                </c:pt>
                <c:pt idx="11">
                  <c:v>3.174147974397485</c:v>
                </c:pt>
                <c:pt idx="12">
                  <c:v>3.2775357392274316</c:v>
                </c:pt>
                <c:pt idx="13">
                  <c:v>3.4247197099922744</c:v>
                </c:pt>
                <c:pt idx="14">
                  <c:v>4.4406480935644481</c:v>
                </c:pt>
                <c:pt idx="15">
                  <c:v>5.241185300407551</c:v>
                </c:pt>
                <c:pt idx="16">
                  <c:v>3.9272991223601252</c:v>
                </c:pt>
                <c:pt idx="17">
                  <c:v>4.8714304470225898</c:v>
                </c:pt>
                <c:pt idx="18">
                  <c:v>4.1534598579256397</c:v>
                </c:pt>
              </c:numCache>
            </c:numRef>
          </c:xVal>
          <c:yVal>
            <c:numRef>
              <c:f>risk!$B$2:$T$2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0-43F6-B867-D1A14799413F}"/>
            </c:ext>
          </c:extLst>
        </c:ser>
        <c:ser>
          <c:idx val="6"/>
          <c:order val="2"/>
          <c:tx>
            <c:v>Havranek bias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risk!$B$34:$T$34</c:f>
              <c:numCache>
                <c:formatCode>General</c:formatCode>
                <c:ptCount val="19"/>
                <c:pt idx="0">
                  <c:v>10.302774150876587</c:v>
                </c:pt>
                <c:pt idx="1">
                  <c:v>4.9892586859759476</c:v>
                </c:pt>
                <c:pt idx="2">
                  <c:v>5.0218229351414614</c:v>
                </c:pt>
                <c:pt idx="3">
                  <c:v>13.870984431778691</c:v>
                </c:pt>
                <c:pt idx="4">
                  <c:v>18.901121643302851</c:v>
                </c:pt>
                <c:pt idx="5">
                  <c:v>23.321545253430138</c:v>
                </c:pt>
                <c:pt idx="6">
                  <c:v>28.594182192782583</c:v>
                </c:pt>
                <c:pt idx="7">
                  <c:v>39.44431287218589</c:v>
                </c:pt>
                <c:pt idx="8">
                  <c:v>48.714731038879108</c:v>
                </c:pt>
                <c:pt idx="9">
                  <c:v>52.407655465521529</c:v>
                </c:pt>
                <c:pt idx="10">
                  <c:v>58.733434080014035</c:v>
                </c:pt>
                <c:pt idx="11">
                  <c:v>61.26235981308055</c:v>
                </c:pt>
                <c:pt idx="12">
                  <c:v>63.257786144924879</c:v>
                </c:pt>
                <c:pt idx="13">
                  <c:v>66.098497242342006</c:v>
                </c:pt>
                <c:pt idx="14">
                  <c:v>85.706332378173101</c:v>
                </c:pt>
                <c:pt idx="15">
                  <c:v>101.15702932266194</c:v>
                </c:pt>
                <c:pt idx="16">
                  <c:v>75.798486355474012</c:v>
                </c:pt>
                <c:pt idx="17">
                  <c:v>94.020608760857641</c:v>
                </c:pt>
                <c:pt idx="18">
                  <c:v>80.16348145638338</c:v>
                </c:pt>
              </c:numCache>
            </c:numRef>
          </c:xVal>
          <c:yVal>
            <c:numRef>
              <c:f>risk!$B$2:$T$2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0-43F6-B867-D1A14799413F}"/>
            </c:ext>
          </c:extLst>
        </c:ser>
        <c:ser>
          <c:idx val="3"/>
          <c:order val="3"/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risk!$B$31:$T$31</c:f>
              <c:numCache>
                <c:formatCode>General</c:formatCode>
                <c:ptCount val="19"/>
                <c:pt idx="0">
                  <c:v>35.22510396325734</c:v>
                </c:pt>
                <c:pt idx="1">
                  <c:v>5.5486857915881815</c:v>
                </c:pt>
                <c:pt idx="2">
                  <c:v>8.754159617214059</c:v>
                </c:pt>
                <c:pt idx="3">
                  <c:v>7.7725518896900843</c:v>
                </c:pt>
                <c:pt idx="4">
                  <c:v>6.6072894545874146</c:v>
                </c:pt>
                <c:pt idx="5">
                  <c:v>7.8161837070484506</c:v>
                </c:pt>
                <c:pt idx="6">
                  <c:v>8.1777701241306495</c:v>
                </c:pt>
                <c:pt idx="7">
                  <c:v>11.103006028714393</c:v>
                </c:pt>
                <c:pt idx="8">
                  <c:v>12.179893916181861</c:v>
                </c:pt>
                <c:pt idx="9">
                  <c:v>13.412540070164253</c:v>
                </c:pt>
                <c:pt idx="10">
                  <c:v>15.660352614789749</c:v>
                </c:pt>
                <c:pt idx="11">
                  <c:v>17.143389291356954</c:v>
                </c:pt>
                <c:pt idx="12">
                  <c:v>19.124638917559984</c:v>
                </c:pt>
                <c:pt idx="13">
                  <c:v>31.885640229925443</c:v>
                </c:pt>
                <c:pt idx="14">
                  <c:v>44.456408049802313</c:v>
                </c:pt>
                <c:pt idx="15">
                  <c:v>60.458568816671303</c:v>
                </c:pt>
                <c:pt idx="16">
                  <c:v>41.452739444118194</c:v>
                </c:pt>
                <c:pt idx="17">
                  <c:v>45.832791644421995</c:v>
                </c:pt>
                <c:pt idx="18">
                  <c:v>102.68095880121625</c:v>
                </c:pt>
              </c:numCache>
            </c:numRef>
          </c:xVal>
          <c:yVal>
            <c:numRef>
              <c:f>risk!$B$2:$T$2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B0-43F6-B867-D1A14799413F}"/>
            </c:ext>
          </c:extLst>
        </c:ser>
        <c:ser>
          <c:idx val="4"/>
          <c:order val="4"/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risk!$B$30:$T$30</c:f>
              <c:numCache>
                <c:formatCode>General</c:formatCode>
                <c:ptCount val="19"/>
                <c:pt idx="0">
                  <c:v>-34.36937796270513</c:v>
                </c:pt>
                <c:pt idx="1">
                  <c:v>-5.1342888225245291</c:v>
                </c:pt>
                <c:pt idx="2">
                  <c:v>-8.3370579324795226</c:v>
                </c:pt>
                <c:pt idx="3">
                  <c:v>-6.6204581081799736</c:v>
                </c:pt>
                <c:pt idx="4">
                  <c:v>-5.0374034226395406</c:v>
                </c:pt>
                <c:pt idx="5">
                  <c:v>-5.8791469095643816</c:v>
                </c:pt>
                <c:pt idx="6">
                  <c:v>-5.8027995765320988</c:v>
                </c:pt>
                <c:pt idx="7">
                  <c:v>-7.826847238436077</c:v>
                </c:pt>
                <c:pt idx="8">
                  <c:v>-8.1337543668323846</c:v>
                </c:pt>
                <c:pt idx="9">
                  <c:v>-9.0596742543088151</c:v>
                </c:pt>
                <c:pt idx="10">
                  <c:v>-10.782081393080793</c:v>
                </c:pt>
                <c:pt idx="11">
                  <c:v>-12.055071001590475</c:v>
                </c:pt>
                <c:pt idx="12">
                  <c:v>-13.870584859024824</c:v>
                </c:pt>
                <c:pt idx="13">
                  <c:v>-26.395642889462678</c:v>
                </c:pt>
                <c:pt idx="14">
                  <c:v>-37.337826592619386</c:v>
                </c:pt>
                <c:pt idx="15">
                  <c:v>-52.056686094369653</c:v>
                </c:pt>
                <c:pt idx="16">
                  <c:v>-35.157082116585443</c:v>
                </c:pt>
                <c:pt idx="17">
                  <c:v>-38.023644484036247</c:v>
                </c:pt>
                <c:pt idx="18">
                  <c:v>-96.02275447950187</c:v>
                </c:pt>
              </c:numCache>
            </c:numRef>
          </c:xVal>
          <c:yVal>
            <c:numRef>
              <c:f>risk!$B$2:$T$2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B0-43F6-B867-D1A14799413F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risk!$B$42:$T$42</c:f>
              <c:numCache>
                <c:formatCode>General</c:formatCode>
                <c:ptCount val="19"/>
                <c:pt idx="0">
                  <c:v>-35.115342395627138</c:v>
                </c:pt>
                <c:pt idx="1">
                  <c:v>-5.2137532883750115</c:v>
                </c:pt>
                <c:pt idx="2">
                  <c:v>-8.4946314267142213</c:v>
                </c:pt>
                <c:pt idx="3">
                  <c:v>-6.654002621475426</c:v>
                </c:pt>
                <c:pt idx="4">
                  <c:v>-4.985578330260954</c:v>
                </c:pt>
                <c:pt idx="5">
                  <c:v>-5.806966630490586</c:v>
                </c:pt>
                <c:pt idx="6">
                  <c:v>-5.6798900016835931</c:v>
                </c:pt>
                <c:pt idx="7">
                  <c:v>-7.6529454569368358</c:v>
                </c:pt>
                <c:pt idx="8">
                  <c:v>-7.8814598050423097</c:v>
                </c:pt>
                <c:pt idx="9">
                  <c:v>-8.7958268726811824</c:v>
                </c:pt>
                <c:pt idx="10">
                  <c:v>-10.501782971119491</c:v>
                </c:pt>
                <c:pt idx="11">
                  <c:v>-11.782503256801727</c:v>
                </c:pt>
                <c:pt idx="12">
                  <c:v>-13.623973770880191</c:v>
                </c:pt>
                <c:pt idx="13">
                  <c:v>-26.429348490104367</c:v>
                </c:pt>
                <c:pt idx="14">
                  <c:v>-37.457720107893934</c:v>
                </c:pt>
                <c:pt idx="15">
                  <c:v>-52.393751919223469</c:v>
                </c:pt>
                <c:pt idx="16">
                  <c:v>-35.315399652568502</c:v>
                </c:pt>
                <c:pt idx="17">
                  <c:v>-38.08328209881752</c:v>
                </c:pt>
                <c:pt idx="18">
                  <c:v>-97.630747530631368</c:v>
                </c:pt>
              </c:numCache>
            </c:numRef>
          </c:xVal>
          <c:yVal>
            <c:numRef>
              <c:f>risk!$B$2:$T$2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B0-43F6-B867-D1A14799413F}"/>
            </c:ext>
          </c:extLst>
        </c:ser>
        <c:ser>
          <c:idx val="5"/>
          <c:order val="6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risk!$B$43:$T$43</c:f>
              <c:numCache>
                <c:formatCode>General</c:formatCode>
                <c:ptCount val="19"/>
                <c:pt idx="0">
                  <c:v>36.18296466161425</c:v>
                </c:pt>
                <c:pt idx="1">
                  <c:v>5.7307639095836986</c:v>
                </c:pt>
                <c:pt idx="2">
                  <c:v>9.0150165096916659</c:v>
                </c:pt>
                <c:pt idx="3">
                  <c:v>8.0913797408474419</c:v>
                </c:pt>
                <c:pt idx="4">
                  <c:v>6.9442020973173486</c:v>
                </c:pt>
                <c:pt idx="5">
                  <c:v>8.2236556333908126</c:v>
                </c:pt>
                <c:pt idx="6">
                  <c:v>8.642954622886581</c:v>
                </c:pt>
                <c:pt idx="7">
                  <c:v>11.740352020665627</c:v>
                </c:pt>
                <c:pt idx="8">
                  <c:v>12.929511016982728</c:v>
                </c:pt>
                <c:pt idx="9">
                  <c:v>14.226556408610271</c:v>
                </c:pt>
                <c:pt idx="10">
                  <c:v>16.588019654894133</c:v>
                </c:pt>
                <c:pt idx="11">
                  <c:v>18.130799205596695</c:v>
                </c:pt>
                <c:pt idx="12">
                  <c:v>20.179045249335054</c:v>
                </c:pt>
                <c:pt idx="13">
                  <c:v>33.278787910088916</c:v>
                </c:pt>
                <c:pt idx="14">
                  <c:v>46.33901629502283</c:v>
                </c:pt>
                <c:pt idx="15">
                  <c:v>62.876122520038571</c:v>
                </c:pt>
                <c:pt idx="16">
                  <c:v>43.169997897288752</c:v>
                </c:pt>
                <c:pt idx="17">
                  <c:v>47.8261429928627</c:v>
                </c:pt>
                <c:pt idx="18">
                  <c:v>105.93766724648265</c:v>
                </c:pt>
              </c:numCache>
            </c:numRef>
          </c:xVal>
          <c:yVal>
            <c:numRef>
              <c:f>risk!$B$2:$T$2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B0-43F6-B867-D1A14799413F}"/>
            </c:ext>
          </c:extLst>
        </c:ser>
        <c:ser>
          <c:idx val="7"/>
          <c:order val="7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risk!$B$36:$T$36</c:f>
              <c:numCache>
                <c:formatCode>General</c:formatCode>
                <c:ptCount val="19"/>
                <c:pt idx="0">
                  <c:v>-28.72090080652049</c:v>
                </c:pt>
                <c:pt idx="1">
                  <c:v>-1.0009996992041135</c:v>
                </c:pt>
                <c:pt idx="2">
                  <c:v>-4.5617259300537008</c:v>
                </c:pt>
                <c:pt idx="3">
                  <c:v>5.8003999792214671</c:v>
                </c:pt>
                <c:pt idx="4">
                  <c:v>12.371599513903982</c:v>
                </c:pt>
                <c:pt idx="5">
                  <c:v>15.642170170426436</c:v>
                </c:pt>
                <c:pt idx="6">
                  <c:v>20.754865157585726</c:v>
                </c:pt>
                <c:pt idx="7">
                  <c:v>28.829786828664592</c:v>
                </c:pt>
                <c:pt idx="8">
                  <c:v>37.324270389447783</c:v>
                </c:pt>
                <c:pt idx="9">
                  <c:v>39.806823285979853</c:v>
                </c:pt>
                <c:pt idx="10">
                  <c:v>43.906382836162251</c:v>
                </c:pt>
                <c:pt idx="11">
                  <c:v>44.889923490605732</c:v>
                </c:pt>
                <c:pt idx="12">
                  <c:v>44.756392756095252</c:v>
                </c:pt>
                <c:pt idx="13">
                  <c:v>33.418465929362569</c:v>
                </c:pt>
                <c:pt idx="14">
                  <c:v>39.841896897920208</c:v>
                </c:pt>
                <c:pt idx="15">
                  <c:v>38.066413315659958</c:v>
                </c:pt>
                <c:pt idx="16">
                  <c:v>32.841103925218292</c:v>
                </c:pt>
                <c:pt idx="17">
                  <c:v>46.999836193802892</c:v>
                </c:pt>
                <c:pt idx="18">
                  <c:v>-31.255540645738989</c:v>
                </c:pt>
              </c:numCache>
            </c:numRef>
          </c:xVal>
          <c:yVal>
            <c:numRef>
              <c:f>risk!$B$2:$T$2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B0-43F6-B867-D1A14799413F}"/>
            </c:ext>
          </c:extLst>
        </c:ser>
        <c:ser>
          <c:idx val="8"/>
          <c:order val="8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risk!$B$37:$T$37</c:f>
              <c:numCache>
                <c:formatCode>General</c:formatCode>
                <c:ptCount val="19"/>
                <c:pt idx="0">
                  <c:v>49.326449108273664</c:v>
                </c:pt>
                <c:pt idx="1">
                  <c:v>10.979517071156009</c:v>
                </c:pt>
                <c:pt idx="2">
                  <c:v>14.605371800336624</c:v>
                </c:pt>
                <c:pt idx="3">
                  <c:v>21.941568884335915</c:v>
                </c:pt>
                <c:pt idx="4">
                  <c:v>25.430643772701721</c:v>
                </c:pt>
                <c:pt idx="5">
                  <c:v>31.00092033643384</c:v>
                </c:pt>
                <c:pt idx="6">
                  <c:v>36.433499227979439</c:v>
                </c:pt>
                <c:pt idx="7">
                  <c:v>50.058838915707184</c:v>
                </c:pt>
                <c:pt idx="8">
                  <c:v>60.105191688310434</c:v>
                </c:pt>
                <c:pt idx="9">
                  <c:v>65.008487645063212</c:v>
                </c:pt>
                <c:pt idx="10">
                  <c:v>73.560485323865819</c:v>
                </c:pt>
                <c:pt idx="11">
                  <c:v>77.634796135555376</c:v>
                </c:pt>
                <c:pt idx="12">
                  <c:v>81.759179533754505</c:v>
                </c:pt>
                <c:pt idx="13">
                  <c:v>98.778528555321444</c:v>
                </c:pt>
                <c:pt idx="14">
                  <c:v>131.570767858426</c:v>
                </c:pt>
                <c:pt idx="15">
                  <c:v>164.24764532966392</c:v>
                </c:pt>
                <c:pt idx="16">
                  <c:v>118.75586878572973</c:v>
                </c:pt>
                <c:pt idx="17">
                  <c:v>141.0413813279124</c:v>
                </c:pt>
                <c:pt idx="18">
                  <c:v>191.58250355850575</c:v>
                </c:pt>
              </c:numCache>
            </c:numRef>
          </c:xVal>
          <c:yVal>
            <c:numRef>
              <c:f>risk!$B$2:$T$2</c:f>
              <c:numCache>
                <c:formatCode>0.0%</c:formatCode>
                <c:ptCount val="19"/>
                <c:pt idx="0" formatCode="0%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B0-43F6-B867-D1A14799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97120"/>
        <c:axId val="2054199040"/>
      </c:scatterChart>
      <c:valAx>
        <c:axId val="2054197120"/>
        <c:scaling>
          <c:orientation val="minMax"/>
          <c:max val="2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Social cost of carbon (dollar per tonne of carbon)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4199040"/>
        <c:crosses val="autoZero"/>
        <c:crossBetween val="midCat"/>
      </c:valAx>
      <c:valAx>
        <c:axId val="2054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Cumulative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41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47648978708310807"/>
          <c:y val="0.84264275568362612"/>
          <c:w val="0.4759555506016564"/>
          <c:h val="6.0716985838982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5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5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5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4EF0D3-7ED5-42B4-8E09-E006D05623CD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C6C250-99B0-42CC-B751-3E901AAF262C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DE1004-CA30-4462-B1D3-CF7B3597962A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2E5C0F-C667-45B8-A043-315CDFB891A4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675753-73E7-458B-8588-9353C0EEBE5B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FD4052-DAE3-4D6F-9BA1-840C807A1470}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70B57-84E8-E727-7EBA-ECD3CDCC9B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981FC-D055-FE74-5A13-1302BF99BC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60EDD-3586-B99E-3438-36131B60B1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9939C-2FF8-833B-3C0A-45AB9D5DE8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56E12-B63C-2672-ADB4-6E18670AD9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6A25C-0149-C9A5-A2BD-842DACAEDD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02321-4872-E3AA-65DE-D766F8DF02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C7124-1A9F-1A0A-FCD1-36BD2FE827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AB81B-7F37-8A7F-6883-1532382391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tol\My%20Drive\JEP\totalimpact.xlsx" TargetMode="External"/><Relationship Id="rId1" Type="http://schemas.openxmlformats.org/officeDocument/2006/relationships/externalLinkPath" Target="/Users/rtol/My%20Drive/JEP/totalimpac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496289e8b3854f9/MATLAB/FUND-Global/Drupp.xlsx" TargetMode="External"/><Relationship Id="rId1" Type="http://schemas.openxmlformats.org/officeDocument/2006/relationships/externalLinkPath" Target="https://d.docs.live.net/a496289e8b3854f9/MATLAB/FUND-Global/Drup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tol\My%20Drive\MargCostMeta\socialcostcarbon.xlsx" TargetMode="External"/><Relationship Id="rId1" Type="http://schemas.openxmlformats.org/officeDocument/2006/relationships/externalLinkPath" Target="socialcostcarb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Table1"/>
      <sheetName val="FigTotalTemp"/>
      <sheetName val="FigTotalTempData"/>
      <sheetName val="FigTotalTemp (2)"/>
      <sheetName val="graph"/>
      <sheetName val="histogram"/>
      <sheetName val="histotranslate"/>
      <sheetName val="histocombined"/>
      <sheetName val="totalimpact"/>
      <sheetName val="UsedinSCC"/>
      <sheetName val="regressions"/>
      <sheetName val="omissions"/>
      <sheetName val="sectors"/>
      <sheetName val="growthfig"/>
      <sheetName val="levelfig"/>
      <sheetName val="comparison"/>
      <sheetName val="comparison (2)"/>
      <sheetName val="Chart3"/>
      <sheetName val="Chart2"/>
      <sheetName val="Chart2 (2)"/>
      <sheetName val="growth"/>
      <sheetName val="seasons"/>
      <sheetName val="Chart5"/>
      <sheetName val="Chart6"/>
      <sheetName val="country"/>
      <sheetName val="regions"/>
      <sheetName val="Chart1"/>
      <sheetName val="CountryInc"/>
      <sheetName val="CountryTemp"/>
      <sheetName val="toStata"/>
      <sheetName val="NewellPrestSexton"/>
      <sheetName val="Mendelsohn"/>
      <sheetName val="Roson"/>
      <sheetName val="Bosello"/>
      <sheetName val="Eboli"/>
      <sheetName val="Rossi"/>
      <sheetName val="NordhausBoyer"/>
      <sheetName val="Tol1995"/>
      <sheetName val="Tol2002"/>
      <sheetName val="NordhausYang"/>
      <sheetName val="PlambeckHope"/>
      <sheetName val="Hope"/>
      <sheetName val="Fankhauser"/>
      <sheetName val="Berz"/>
      <sheetName val="Maddison"/>
      <sheetName val="MaddisonRehdanz"/>
      <sheetName val="RehdanzMaddison"/>
      <sheetName val="SartoriRoson"/>
      <sheetName val="Kompas"/>
      <sheetName val="Dellink"/>
      <sheetName val="Takakura"/>
      <sheetName val="dArge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>
        <row r="101">
          <cell r="L101">
            <v>0</v>
          </cell>
          <cell r="M101">
            <v>0</v>
          </cell>
        </row>
        <row r="102">
          <cell r="L102">
            <v>0</v>
          </cell>
          <cell r="M102">
            <v>2.0283409340940908E-4</v>
          </cell>
        </row>
        <row r="103">
          <cell r="L103">
            <v>0</v>
          </cell>
          <cell r="M103">
            <v>2.1624243051262949E-3</v>
          </cell>
        </row>
        <row r="104">
          <cell r="L104">
            <v>2.4390243902439011E-2</v>
          </cell>
          <cell r="M104">
            <v>1.0311817913690592E-4</v>
          </cell>
        </row>
        <row r="105">
          <cell r="L105">
            <v>0</v>
          </cell>
          <cell r="M105">
            <v>0</v>
          </cell>
        </row>
        <row r="106">
          <cell r="L106">
            <v>0</v>
          </cell>
          <cell r="M106">
            <v>2.0745030647295135E-3</v>
          </cell>
        </row>
        <row r="107">
          <cell r="L107">
            <v>0</v>
          </cell>
          <cell r="M107">
            <v>4.3840768131694595E-3</v>
          </cell>
        </row>
        <row r="108">
          <cell r="L108">
            <v>0</v>
          </cell>
          <cell r="M108">
            <v>2.9820322591846099E-3</v>
          </cell>
        </row>
        <row r="109">
          <cell r="L109">
            <v>5.4878048780487777E-2</v>
          </cell>
          <cell r="M109">
            <v>7.5450705925890465E-3</v>
          </cell>
        </row>
        <row r="110">
          <cell r="L110">
            <v>6.0975609756097528E-3</v>
          </cell>
          <cell r="M110">
            <v>9.3313264363675208E-2</v>
          </cell>
        </row>
        <row r="111">
          <cell r="L111">
            <v>4.8780487804878023E-2</v>
          </cell>
          <cell r="M111">
            <v>3.9852001180634568E-2</v>
          </cell>
        </row>
        <row r="112">
          <cell r="L112">
            <v>8.5365853658536536E-2</v>
          </cell>
          <cell r="M112">
            <v>1.8941447759349635E-2</v>
          </cell>
        </row>
        <row r="113">
          <cell r="L113">
            <v>8.9430894308943035E-2</v>
          </cell>
          <cell r="M113">
            <v>5.8607039812098333E-2</v>
          </cell>
        </row>
        <row r="114">
          <cell r="L114">
            <v>0.15243902439024387</v>
          </cell>
          <cell r="M114">
            <v>0.38929191434426519</v>
          </cell>
        </row>
        <row r="115">
          <cell r="L115">
            <v>0.43292682926829218</v>
          </cell>
          <cell r="M115">
            <v>0.25891617998936778</v>
          </cell>
        </row>
        <row r="116">
          <cell r="L116">
            <v>5.1490514905149623E-2</v>
          </cell>
          <cell r="M116">
            <v>3.2067889289634548E-2</v>
          </cell>
        </row>
        <row r="117">
          <cell r="L117">
            <v>2.4390243902439011E-2</v>
          </cell>
          <cell r="M117">
            <v>8.7105035138892756E-2</v>
          </cell>
        </row>
        <row r="118">
          <cell r="L118">
            <v>0</v>
          </cell>
          <cell r="M118">
            <v>2.0623635827381184E-4</v>
          </cell>
        </row>
        <row r="119">
          <cell r="L119">
            <v>0</v>
          </cell>
          <cell r="M119">
            <v>0</v>
          </cell>
        </row>
        <row r="120">
          <cell r="L120">
            <v>0</v>
          </cell>
          <cell r="M120">
            <v>1.0311817913690592E-4</v>
          </cell>
        </row>
        <row r="121">
          <cell r="L121">
            <v>2.7100271002710782E-3</v>
          </cell>
          <cell r="M121">
            <v>0</v>
          </cell>
        </row>
        <row r="122">
          <cell r="L122">
            <v>0</v>
          </cell>
          <cell r="M122">
            <v>0</v>
          </cell>
        </row>
        <row r="123">
          <cell r="L123">
            <v>2.7100271002710091E-2</v>
          </cell>
          <cell r="M123">
            <v>0</v>
          </cell>
        </row>
        <row r="124">
          <cell r="L124">
            <v>0</v>
          </cell>
          <cell r="M124">
            <v>0</v>
          </cell>
        </row>
        <row r="125">
          <cell r="L125">
            <v>0</v>
          </cell>
          <cell r="M125">
            <v>0</v>
          </cell>
        </row>
      </sheetData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risk"/>
      <sheetName val="time"/>
      <sheetName val="Sheet2"/>
      <sheetName val="Sheet3"/>
      <sheetName val="csvD"/>
      <sheetName val="csvN"/>
      <sheetName val="csvM"/>
      <sheetName val="csvL"/>
    </sheetNames>
    <sheetDataSet>
      <sheetData sheetId="0"/>
      <sheetData sheetId="1" refreshError="1"/>
      <sheetData sheetId="2" refreshError="1"/>
      <sheetData sheetId="3">
        <row r="2">
          <cell r="BI2">
            <v>5.5248618784530384E-2</v>
          </cell>
          <cell r="BM2">
            <v>0.21660506621903247</v>
          </cell>
          <cell r="BQ2">
            <v>6.0109289617486336E-2</v>
          </cell>
          <cell r="BS2">
            <v>0.20650127332888454</v>
          </cell>
          <cell r="BW2">
            <v>5.5248618784530384E-2</v>
          </cell>
          <cell r="BY2">
            <v>0.14219977803902276</v>
          </cell>
          <cell r="CA2">
            <v>0.41237113402061853</v>
          </cell>
          <cell r="CC2">
            <v>0.35173160173160173</v>
          </cell>
        </row>
        <row r="3">
          <cell r="BI3">
            <v>0.143646408839779</v>
          </cell>
          <cell r="BM3">
            <v>5.2490751475342545E-2</v>
          </cell>
          <cell r="BQ3">
            <v>0.13114754098360656</v>
          </cell>
          <cell r="BS3">
            <v>0.1559826394427154</v>
          </cell>
          <cell r="BW3">
            <v>0.143646408839779</v>
          </cell>
          <cell r="BY3">
            <v>2.4305419624265859E-2</v>
          </cell>
          <cell r="CA3">
            <v>0.12886597938144329</v>
          </cell>
          <cell r="CC3">
            <v>0.33766233766233766</v>
          </cell>
        </row>
        <row r="4">
          <cell r="BI4">
            <v>0.36464088397790057</v>
          </cell>
          <cell r="BM4">
            <v>0.16044046536239923</v>
          </cell>
          <cell r="BQ4">
            <v>0.36065573770491804</v>
          </cell>
          <cell r="BS4">
            <v>0.10777520023647323</v>
          </cell>
          <cell r="BW4">
            <v>0.36464088397790057</v>
          </cell>
          <cell r="BY4">
            <v>0.2172339796030284</v>
          </cell>
          <cell r="CA4">
            <v>0.17525773195876287</v>
          </cell>
          <cell r="CC4">
            <v>0.13095238095238096</v>
          </cell>
        </row>
        <row r="5">
          <cell r="BI5">
            <v>0.143646408839779</v>
          </cell>
          <cell r="BM5">
            <v>0.333916776387227</v>
          </cell>
          <cell r="BQ5">
            <v>0.14754098360655737</v>
          </cell>
          <cell r="BS5">
            <v>0.10675221177780944</v>
          </cell>
          <cell r="BW5">
            <v>0.143646408839779</v>
          </cell>
          <cell r="BY5">
            <v>0.36835551612971168</v>
          </cell>
          <cell r="CA5">
            <v>2.0618556701030927E-2</v>
          </cell>
          <cell r="CC5">
            <v>4.004329004329004E-2</v>
          </cell>
        </row>
        <row r="6">
          <cell r="BI6">
            <v>0.21546961325966851</v>
          </cell>
          <cell r="BM6">
            <v>0.10331053344631316</v>
          </cell>
          <cell r="BQ6">
            <v>0.22404371584699453</v>
          </cell>
          <cell r="BS6">
            <v>9.207337481465469E-2</v>
          </cell>
          <cell r="BW6">
            <v>0.21546961325966851</v>
          </cell>
          <cell r="BY6">
            <v>5.5085319959495824E-2</v>
          </cell>
          <cell r="CA6">
            <v>0.12886597938144329</v>
          </cell>
          <cell r="CC6">
            <v>3.67965367965368E-2</v>
          </cell>
        </row>
        <row r="7">
          <cell r="BI7">
            <v>1.1049723756906077E-2</v>
          </cell>
          <cell r="BM7">
            <v>4.0772257329773536E-3</v>
          </cell>
          <cell r="BQ7">
            <v>1.6393442622950821E-2</v>
          </cell>
          <cell r="BS7">
            <v>6.0656304173955247E-2</v>
          </cell>
          <cell r="BW7">
            <v>1.1049723756906077E-2</v>
          </cell>
          <cell r="BY7">
            <v>2.4783348085677125E-2</v>
          </cell>
          <cell r="CA7">
            <v>2.5773195876288658E-2</v>
          </cell>
          <cell r="CC7">
            <v>1.5151515151515152E-2</v>
          </cell>
        </row>
        <row r="8">
          <cell r="BI8">
            <v>3.8674033149171269E-2</v>
          </cell>
          <cell r="BM8">
            <v>0.11523459212754079</v>
          </cell>
          <cell r="BQ8">
            <v>3.2786885245901641E-2</v>
          </cell>
          <cell r="BS8">
            <v>5.258179676253049E-2</v>
          </cell>
          <cell r="BW8">
            <v>3.8674033149171269E-2</v>
          </cell>
          <cell r="BY8">
            <v>0.13452548721186994</v>
          </cell>
          <cell r="CA8">
            <v>5.1546391752577317E-2</v>
          </cell>
          <cell r="CC8">
            <v>2.3809523809523808E-2</v>
          </cell>
        </row>
        <row r="9">
          <cell r="BI9">
            <v>0</v>
          </cell>
          <cell r="BM9">
            <v>2.8403145555572576E-4</v>
          </cell>
          <cell r="BQ9">
            <v>0</v>
          </cell>
          <cell r="BS9">
            <v>2.4358849521148938E-2</v>
          </cell>
          <cell r="BW9">
            <v>0</v>
          </cell>
          <cell r="BY9">
            <v>1.1011159028787021E-3</v>
          </cell>
          <cell r="CA9">
            <v>0</v>
          </cell>
          <cell r="CC9">
            <v>2.1645021645021644E-2</v>
          </cell>
        </row>
        <row r="10">
          <cell r="BI10">
            <v>1.6574585635359115E-2</v>
          </cell>
          <cell r="BM10">
            <v>6.2454029896554285E-3</v>
          </cell>
          <cell r="BQ10">
            <v>1.6393442622950821E-2</v>
          </cell>
          <cell r="BS10">
            <v>4.7541586948976006E-2</v>
          </cell>
          <cell r="BW10">
            <v>1.6574585635359115E-2</v>
          </cell>
          <cell r="BY10">
            <v>1.6801078790991457E-2</v>
          </cell>
          <cell r="CA10">
            <v>1.5463917525773196E-2</v>
          </cell>
          <cell r="CC10">
            <v>1.2987012987012988E-2</v>
          </cell>
        </row>
        <row r="11">
          <cell r="BI11">
            <v>0</v>
          </cell>
          <cell r="BM11">
            <v>6.636797865549423E-4</v>
          </cell>
          <cell r="BQ11">
            <v>0</v>
          </cell>
          <cell r="BS11">
            <v>2.3330670161911406E-2</v>
          </cell>
          <cell r="BW11">
            <v>0</v>
          </cell>
          <cell r="BY11">
            <v>2.7831866441509275E-3</v>
          </cell>
          <cell r="CA11">
            <v>0</v>
          </cell>
          <cell r="CC11">
            <v>1.406926406926407E-2</v>
          </cell>
        </row>
        <row r="12">
          <cell r="BI12">
            <v>1.1049723756906077E-2</v>
          </cell>
          <cell r="BM12">
            <v>3.0317832373421348E-3</v>
          </cell>
          <cell r="BQ12">
            <v>1.092896174863388E-2</v>
          </cell>
          <cell r="BS12">
            <v>3.3899989382825554E-2</v>
          </cell>
          <cell r="BW12">
            <v>1.1049723756906077E-2</v>
          </cell>
          <cell r="BY12">
            <v>1.2180638795689883E-2</v>
          </cell>
          <cell r="CA12">
            <v>1.0309278350515464E-2</v>
          </cell>
          <cell r="CC12">
            <v>5.411255411255411E-3</v>
          </cell>
        </row>
        <row r="13">
          <cell r="BI13">
            <v>0</v>
          </cell>
          <cell r="BM13">
            <v>0</v>
          </cell>
          <cell r="BQ13">
            <v>0</v>
          </cell>
          <cell r="BS13">
            <v>1.8074267057513648E-2</v>
          </cell>
          <cell r="BW13">
            <v>0</v>
          </cell>
          <cell r="BY13">
            <v>1.3795475124476132E-5</v>
          </cell>
          <cell r="CA13">
            <v>0</v>
          </cell>
          <cell r="CC13">
            <v>3.246753246753247E-3</v>
          </cell>
        </row>
        <row r="14">
          <cell r="BI14">
            <v>0</v>
          </cell>
          <cell r="BM14">
            <v>1.896597138710814E-3</v>
          </cell>
          <cell r="BQ14">
            <v>0</v>
          </cell>
          <cell r="BS14">
            <v>1.3671115585383134E-2</v>
          </cell>
          <cell r="BW14">
            <v>0</v>
          </cell>
          <cell r="BY14">
            <v>5.2203436307614911E-4</v>
          </cell>
          <cell r="CA14">
            <v>1.0309278350515464E-2</v>
          </cell>
          <cell r="CC14">
            <v>2.1645021645021645E-3</v>
          </cell>
        </row>
        <row r="15">
          <cell r="BI15">
            <v>0</v>
          </cell>
          <cell r="BM15">
            <v>0</v>
          </cell>
          <cell r="BQ15">
            <v>0</v>
          </cell>
          <cell r="BS15">
            <v>1.1654177559425355E-2</v>
          </cell>
          <cell r="BW15">
            <v>0</v>
          </cell>
          <cell r="BY15">
            <v>0</v>
          </cell>
          <cell r="CA15">
            <v>0</v>
          </cell>
          <cell r="CC15">
            <v>0</v>
          </cell>
        </row>
        <row r="16">
          <cell r="BI16">
            <v>0</v>
          </cell>
          <cell r="BM16">
            <v>6.6438457924862895E-4</v>
          </cell>
          <cell r="BQ16">
            <v>0</v>
          </cell>
          <cell r="BS16">
            <v>6.9797820935313835E-3</v>
          </cell>
          <cell r="BW16">
            <v>0</v>
          </cell>
          <cell r="BY16">
            <v>2.6262344111411637E-5</v>
          </cell>
          <cell r="CA16">
            <v>1.0309278350515464E-2</v>
          </cell>
          <cell r="CC16">
            <v>0</v>
          </cell>
        </row>
        <row r="17">
          <cell r="BI17">
            <v>0</v>
          </cell>
          <cell r="BM17">
            <v>9.4677151851908586E-5</v>
          </cell>
          <cell r="BQ17">
            <v>0</v>
          </cell>
          <cell r="BS17">
            <v>9.5526456962406192E-3</v>
          </cell>
          <cell r="BW17">
            <v>0</v>
          </cell>
          <cell r="BY17">
            <v>4.176963301576902E-5</v>
          </cell>
          <cell r="CA17">
            <v>0</v>
          </cell>
          <cell r="CC17">
            <v>3.246753246753247E-3</v>
          </cell>
        </row>
        <row r="18">
          <cell r="BI18">
            <v>0</v>
          </cell>
          <cell r="BM18">
            <v>1.0440329102478455E-3</v>
          </cell>
          <cell r="BQ18">
            <v>0</v>
          </cell>
          <cell r="BS18">
            <v>1.5835354696955333E-2</v>
          </cell>
          <cell r="BW18">
            <v>0</v>
          </cell>
          <cell r="BY18">
            <v>4.1269397889635886E-5</v>
          </cell>
          <cell r="CA18">
            <v>1.0309278350515464E-2</v>
          </cell>
          <cell r="CC18">
            <v>1.0822510822510823E-3</v>
          </cell>
        </row>
        <row r="19">
          <cell r="BI19">
            <v>0</v>
          </cell>
          <cell r="BM19">
            <v>0</v>
          </cell>
          <cell r="BQ19">
            <v>0</v>
          </cell>
          <cell r="BS19">
            <v>4.3905014507064034E-3</v>
          </cell>
        </row>
        <row r="20">
          <cell r="BI20">
            <v>0</v>
          </cell>
          <cell r="BM20">
            <v>0</v>
          </cell>
          <cell r="BQ20">
            <v>0</v>
          </cell>
          <cell r="BS20">
            <v>2.089652788762596E-3</v>
          </cell>
        </row>
        <row r="21">
          <cell r="BI21">
            <v>0</v>
          </cell>
          <cell r="BM21">
            <v>0</v>
          </cell>
          <cell r="BQ21">
            <v>0</v>
          </cell>
          <cell r="BS21">
            <v>1.3492063648222849E-3</v>
          </cell>
        </row>
        <row r="22">
          <cell r="BI22">
            <v>0</v>
          </cell>
          <cell r="BM22">
            <v>0</v>
          </cell>
          <cell r="BQ22">
            <v>0</v>
          </cell>
          <cell r="BS22">
            <v>4.9494001547742911E-3</v>
          </cell>
        </row>
      </sheetData>
      <sheetData sheetId="4"/>
      <sheetData sheetId="5">
        <row r="2">
          <cell r="B2">
            <v>2.2099447513812154E-2</v>
          </cell>
          <cell r="C2">
            <v>0</v>
          </cell>
          <cell r="D2">
            <v>1.1049723756906077E-2</v>
          </cell>
          <cell r="E2">
            <v>0</v>
          </cell>
          <cell r="F2">
            <v>1.1049723756906077E-2</v>
          </cell>
          <cell r="G2">
            <v>0</v>
          </cell>
          <cell r="H2">
            <v>5.5248618784530384E-3</v>
          </cell>
          <cell r="I2">
            <v>0</v>
          </cell>
          <cell r="J2">
            <v>0</v>
          </cell>
          <cell r="K2">
            <v>0</v>
          </cell>
          <cell r="L2">
            <v>5.5248618784530384E-3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</row>
        <row r="3">
          <cell r="B3">
            <v>3.8674033149171269E-2</v>
          </cell>
          <cell r="C3">
            <v>1.6574585635359115E-2</v>
          </cell>
          <cell r="D3">
            <v>3.8674033149171269E-2</v>
          </cell>
          <cell r="E3">
            <v>0</v>
          </cell>
          <cell r="F3">
            <v>2.7624309392265192E-2</v>
          </cell>
          <cell r="G3">
            <v>0</v>
          </cell>
          <cell r="H3">
            <v>5.5248618784530384E-3</v>
          </cell>
          <cell r="I3">
            <v>0</v>
          </cell>
          <cell r="J3">
            <v>5.5248618784530384E-3</v>
          </cell>
          <cell r="K3">
            <v>0</v>
          </cell>
          <cell r="L3">
            <v>5.5248618784530384E-3</v>
          </cell>
          <cell r="M3">
            <v>0</v>
          </cell>
          <cell r="N3">
            <v>0</v>
          </cell>
          <cell r="O3">
            <v>0</v>
          </cell>
          <cell r="P3">
            <v>5.5248618784530384E-3</v>
          </cell>
          <cell r="Q3">
            <v>0</v>
          </cell>
          <cell r="R3">
            <v>0</v>
          </cell>
        </row>
        <row r="4">
          <cell r="B4">
            <v>0.13259668508287292</v>
          </cell>
          <cell r="C4">
            <v>6.6298342541436461E-2</v>
          </cell>
          <cell r="D4">
            <v>4.9723756906077346E-2</v>
          </cell>
          <cell r="E4">
            <v>5.5248618784530384E-3</v>
          </cell>
          <cell r="F4">
            <v>6.6298342541436461E-2</v>
          </cell>
          <cell r="G4">
            <v>5.5248618784530384E-3</v>
          </cell>
          <cell r="H4">
            <v>2.7624309392265192E-2</v>
          </cell>
          <cell r="I4">
            <v>0</v>
          </cell>
          <cell r="J4">
            <v>5.5248618784530384E-3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5.5248618784530384E-3</v>
          </cell>
        </row>
        <row r="5">
          <cell r="B5">
            <v>4.4198895027624308E-2</v>
          </cell>
          <cell r="C5">
            <v>2.7624309392265192E-2</v>
          </cell>
          <cell r="D5">
            <v>4.4198895027624308E-2</v>
          </cell>
          <cell r="E5">
            <v>5.5248618784530384E-3</v>
          </cell>
          <cell r="F5">
            <v>1.1049723756906077E-2</v>
          </cell>
          <cell r="G5">
            <v>0</v>
          </cell>
          <cell r="H5">
            <v>5.5248618784530384E-3</v>
          </cell>
          <cell r="I5">
            <v>0</v>
          </cell>
          <cell r="J5">
            <v>5.5248618784530384E-3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</row>
        <row r="6">
          <cell r="B6">
            <v>0.11602209944751381</v>
          </cell>
          <cell r="C6">
            <v>2.7624309392265192E-2</v>
          </cell>
          <cell r="D6">
            <v>2.7624309392265192E-2</v>
          </cell>
          <cell r="E6">
            <v>5.5248618784530384E-3</v>
          </cell>
          <cell r="F6">
            <v>2.2099447513812154E-2</v>
          </cell>
          <cell r="G6">
            <v>1.1049723756906077E-2</v>
          </cell>
          <cell r="H6">
            <v>0</v>
          </cell>
          <cell r="I6">
            <v>0</v>
          </cell>
          <cell r="J6">
            <v>5.5248618784530384E-3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B7">
            <v>0</v>
          </cell>
          <cell r="C7">
            <v>0</v>
          </cell>
          <cell r="D7">
            <v>5.5248618784530384E-3</v>
          </cell>
          <cell r="E7">
            <v>0</v>
          </cell>
          <cell r="F7">
            <v>5.5248618784530384E-3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B8">
            <v>1.6574585635359115E-2</v>
          </cell>
          <cell r="C8">
            <v>0</v>
          </cell>
          <cell r="D8">
            <v>1.6574585635359115E-2</v>
          </cell>
          <cell r="E8">
            <v>0</v>
          </cell>
          <cell r="F8">
            <v>5.5248618784530384E-3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5.5248618784530384E-3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1.1049723756906077E-2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B12">
            <v>5.5248618784530384E-3</v>
          </cell>
          <cell r="C12">
            <v>0</v>
          </cell>
          <cell r="D12">
            <v>5.5248618784530384E-3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</sheetData>
      <sheetData sheetId="6"/>
      <sheetData sheetId="7"/>
      <sheetData sheetId="8">
        <row r="2">
          <cell r="B2">
            <v>2.6857037895813927E-3</v>
          </cell>
          <cell r="C2">
            <v>1.963100666867558E-5</v>
          </cell>
          <cell r="D2">
            <v>6.8804088918814161E-3</v>
          </cell>
          <cell r="E2">
            <v>2.1150641306567704E-3</v>
          </cell>
          <cell r="F2">
            <v>2.3016656556914001E-3</v>
          </cell>
          <cell r="G2">
            <v>4.6196068963903289E-5</v>
          </cell>
          <cell r="H2">
            <v>3.9296876319730766E-3</v>
          </cell>
          <cell r="I2">
            <v>4.2356377399875944E-5</v>
          </cell>
          <cell r="J2">
            <v>9.3770093363247368E-5</v>
          </cell>
          <cell r="K2">
            <v>7.0593962333126576E-6</v>
          </cell>
          <cell r="L2">
            <v>8.7330684024676723E-5</v>
          </cell>
          <cell r="M2">
            <v>0</v>
          </cell>
          <cell r="N2">
            <v>1.1519074692082029E-5</v>
          </cell>
          <cell r="O2">
            <v>0</v>
          </cell>
          <cell r="P2">
            <v>0</v>
          </cell>
          <cell r="Q2">
            <v>0</v>
          </cell>
          <cell r="R2">
            <v>7.6793831280546865E-6</v>
          </cell>
        </row>
        <row r="3">
          <cell r="B3">
            <v>2.6010272551260836E-3</v>
          </cell>
          <cell r="C3">
            <v>1.4092652301981895E-3</v>
          </cell>
          <cell r="D3">
            <v>1.4402103356846619E-3</v>
          </cell>
          <cell r="E3">
            <v>1.0912152395249494E-2</v>
          </cell>
          <cell r="F3">
            <v>7.6878430070270233E-4</v>
          </cell>
          <cell r="G3">
            <v>2.9214451784278501E-3</v>
          </cell>
          <cell r="H3">
            <v>1.9493810213057071E-4</v>
          </cell>
          <cell r="I3">
            <v>4.9415773633188599E-5</v>
          </cell>
          <cell r="J3">
            <v>1.1578995584547812E-4</v>
          </cell>
          <cell r="K3">
            <v>4.3260692441488286E-5</v>
          </cell>
          <cell r="L3">
            <v>3.341307191627031E-3</v>
          </cell>
          <cell r="M3">
            <v>0</v>
          </cell>
          <cell r="N3">
            <v>4.3132535235907153E-4</v>
          </cell>
          <cell r="O3">
            <v>0</v>
          </cell>
          <cell r="P3">
            <v>0</v>
          </cell>
          <cell r="Q3">
            <v>0</v>
          </cell>
          <cell r="R3">
            <v>7.6793831280546865E-6</v>
          </cell>
        </row>
        <row r="4">
          <cell r="B4">
            <v>0.10126152116557581</v>
          </cell>
          <cell r="C4">
            <v>1.7898504190243601E-2</v>
          </cell>
          <cell r="D4">
            <v>0.11289969001396083</v>
          </cell>
          <cell r="E4">
            <v>6.7814064659077911E-2</v>
          </cell>
          <cell r="F4">
            <v>3.8817513698791252E-2</v>
          </cell>
          <cell r="G4">
            <v>2.215100310370003E-2</v>
          </cell>
          <cell r="H4">
            <v>0.11879018310845242</v>
          </cell>
          <cell r="I4">
            <v>5.6252943463182107E-4</v>
          </cell>
          <cell r="J4">
            <v>1.235966009512073E-3</v>
          </cell>
          <cell r="K4">
            <v>2.6922037031021843E-3</v>
          </cell>
          <cell r="L4">
            <v>5.5457420763789424E-3</v>
          </cell>
          <cell r="M4">
            <v>0</v>
          </cell>
          <cell r="N4">
            <v>1.9198457820136715E-5</v>
          </cell>
          <cell r="O4">
            <v>0</v>
          </cell>
          <cell r="P4">
            <v>7.6793831280546865E-6</v>
          </cell>
          <cell r="Q4">
            <v>4.2748566079504423E-5</v>
          </cell>
          <cell r="R4">
            <v>7.6793831280546865E-6</v>
          </cell>
        </row>
        <row r="5">
          <cell r="B5">
            <v>1.6145640789775272E-2</v>
          </cell>
          <cell r="C5">
            <v>4.1310100822248312E-3</v>
          </cell>
          <cell r="D5">
            <v>4.5067638871872678E-2</v>
          </cell>
          <cell r="E5">
            <v>0.1725218639905734</v>
          </cell>
          <cell r="F5">
            <v>5.3721033377406788E-3</v>
          </cell>
          <cell r="G5">
            <v>1.5636568076253396E-4</v>
          </cell>
          <cell r="H5">
            <v>5.755660999524871E-3</v>
          </cell>
          <cell r="I5">
            <v>3.1025448191491053E-4</v>
          </cell>
          <cell r="J5">
            <v>1.1612762539331491E-2</v>
          </cell>
          <cell r="K5">
            <v>2.1178188699937972E-5</v>
          </cell>
          <cell r="L5">
            <v>1.4532455231155861E-3</v>
          </cell>
          <cell r="M5">
            <v>0</v>
          </cell>
          <cell r="N5">
            <v>0</v>
          </cell>
          <cell r="O5">
            <v>0</v>
          </cell>
          <cell r="P5">
            <v>3.8396915640273432E-6</v>
          </cell>
          <cell r="Q5">
            <v>0</v>
          </cell>
          <cell r="R5">
            <v>7.6793831280546865E-6</v>
          </cell>
        </row>
        <row r="6">
          <cell r="B6">
            <v>7.895264795285269E-3</v>
          </cell>
          <cell r="C6">
            <v>8.6604882954616788E-4</v>
          </cell>
          <cell r="D6">
            <v>4.0276646392168762E-2</v>
          </cell>
          <cell r="E6">
            <v>0.11073174078433477</v>
          </cell>
          <cell r="F6">
            <v>4.75390726064221E-3</v>
          </cell>
          <cell r="G6">
            <v>2.5017880263965318E-5</v>
          </cell>
          <cell r="H6">
            <v>3.9584431641091662E-3</v>
          </cell>
          <cell r="I6">
            <v>3.5296981166563289E-5</v>
          </cell>
          <cell r="J6">
            <v>4.710973837864659E-4</v>
          </cell>
          <cell r="K6">
            <v>7.0593962333126576E-6</v>
          </cell>
          <cell r="L6">
            <v>4.3032099826806114E-5</v>
          </cell>
          <cell r="M6">
            <v>0</v>
          </cell>
          <cell r="N6">
            <v>7.6793831280546865E-6</v>
          </cell>
          <cell r="O6">
            <v>0</v>
          </cell>
          <cell r="P6">
            <v>1.1519074692082029E-5</v>
          </cell>
          <cell r="Q6">
            <v>0</v>
          </cell>
          <cell r="R6">
            <v>7.6793831280546865E-6</v>
          </cell>
        </row>
        <row r="7">
          <cell r="B7">
            <v>4.4236698067318917E-4</v>
          </cell>
          <cell r="C7">
            <v>7.3190951425604082E-5</v>
          </cell>
          <cell r="D7">
            <v>2.6833659410625176E-4</v>
          </cell>
          <cell r="E7">
            <v>4.3405063036249902E-4</v>
          </cell>
          <cell r="F7">
            <v>2.4665976631705672E-4</v>
          </cell>
          <cell r="G7">
            <v>2.823758493325063E-5</v>
          </cell>
          <cell r="H7">
            <v>5.2691213834662062E-5</v>
          </cell>
          <cell r="I7">
            <v>6.3534566099813922E-5</v>
          </cell>
          <cell r="J7">
            <v>4.56318176013494E-5</v>
          </cell>
          <cell r="K7">
            <v>2.1178188699937972E-5</v>
          </cell>
          <cell r="L7">
            <v>2.4453628901411428E-5</v>
          </cell>
          <cell r="M7">
            <v>0</v>
          </cell>
          <cell r="N7">
            <v>0</v>
          </cell>
          <cell r="O7">
            <v>0</v>
          </cell>
          <cell r="P7">
            <v>3.8396915640273432E-6</v>
          </cell>
          <cell r="Q7">
            <v>0</v>
          </cell>
          <cell r="R7">
            <v>0</v>
          </cell>
        </row>
        <row r="8">
          <cell r="B8">
            <v>8.541562830829505E-3</v>
          </cell>
          <cell r="C8">
            <v>1.0890237638040148E-4</v>
          </cell>
          <cell r="D8">
            <v>1.0236462703079634E-2</v>
          </cell>
          <cell r="E8">
            <v>2.7892676334836572E-3</v>
          </cell>
          <cell r="F8">
            <v>1.3538834881321607E-3</v>
          </cell>
          <cell r="G8">
            <v>2.1798175594680002E-5</v>
          </cell>
          <cell r="H8">
            <v>8.3573152348598832E-4</v>
          </cell>
          <cell r="I8">
            <v>4.9415773633188599E-5</v>
          </cell>
          <cell r="J8">
            <v>3.3844080627916258E-3</v>
          </cell>
          <cell r="K8">
            <v>0</v>
          </cell>
          <cell r="L8">
            <v>1.4118792466625315E-5</v>
          </cell>
          <cell r="M8">
            <v>0</v>
          </cell>
          <cell r="N8">
            <v>3.8396915640273432E-6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B9">
            <v>0</v>
          </cell>
          <cell r="C9">
            <v>5.8130691992012629E-5</v>
          </cell>
          <cell r="D9">
            <v>0</v>
          </cell>
          <cell r="E9">
            <v>3.2730967582593655E-3</v>
          </cell>
          <cell r="F9">
            <v>0</v>
          </cell>
          <cell r="G9">
            <v>7.0593962333126576E-6</v>
          </cell>
          <cell r="H9">
            <v>2.823758493325063E-5</v>
          </cell>
          <cell r="I9">
            <v>0</v>
          </cell>
          <cell r="J9">
            <v>7.0593962333126576E-6</v>
          </cell>
          <cell r="K9">
            <v>2.1178188699937972E-5</v>
          </cell>
          <cell r="L9">
            <v>7.0593962333126576E-6</v>
          </cell>
          <cell r="M9">
            <v>7.0593962333126576E-6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B10">
            <v>2.1587204664439509E-4</v>
          </cell>
          <cell r="C10">
            <v>1.1519074692082029E-5</v>
          </cell>
          <cell r="D10">
            <v>2.700001295250136E-4</v>
          </cell>
          <cell r="E10">
            <v>2.0733054548559646E-3</v>
          </cell>
          <cell r="F10">
            <v>3.8396915640273432E-6</v>
          </cell>
          <cell r="G10">
            <v>7.0593962333126576E-6</v>
          </cell>
          <cell r="H10">
            <v>1.7805366055133036E-4</v>
          </cell>
          <cell r="I10">
            <v>7.0593962333126576E-6</v>
          </cell>
          <cell r="J10">
            <v>1.7958484030652659E-5</v>
          </cell>
          <cell r="K10">
            <v>7.0593962333126576E-6</v>
          </cell>
          <cell r="L10">
            <v>7.0593962333126576E-6</v>
          </cell>
          <cell r="M10">
            <v>0</v>
          </cell>
          <cell r="N10">
            <v>4.6588257643531769E-5</v>
          </cell>
          <cell r="O10">
            <v>0</v>
          </cell>
          <cell r="P10">
            <v>0</v>
          </cell>
          <cell r="Q10">
            <v>0</v>
          </cell>
          <cell r="R10">
            <v>3.8396915640273432E-6</v>
          </cell>
        </row>
        <row r="11">
          <cell r="B11">
            <v>0</v>
          </cell>
          <cell r="C11">
            <v>1.4118792466625315E-5</v>
          </cell>
          <cell r="D11">
            <v>4.2748566079504423E-5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1.4118792466625315E-5</v>
          </cell>
          <cell r="K11">
            <v>2.1178188699937972E-5</v>
          </cell>
          <cell r="L11">
            <v>7.0593962333126576E-6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B12">
            <v>3.7597904678972949E-5</v>
          </cell>
          <cell r="C12">
            <v>2.9375339443377333E-5</v>
          </cell>
          <cell r="D12">
            <v>7.6793831280546865E-6</v>
          </cell>
          <cell r="E12">
            <v>0</v>
          </cell>
          <cell r="F12">
            <v>3.8396915640273432E-6</v>
          </cell>
          <cell r="G12">
            <v>0</v>
          </cell>
          <cell r="H12">
            <v>1.4118792466625315E-5</v>
          </cell>
          <cell r="I12">
            <v>7.0593962333126576E-6</v>
          </cell>
          <cell r="J12">
            <v>0</v>
          </cell>
          <cell r="K12">
            <v>0</v>
          </cell>
          <cell r="L12">
            <v>7.0593962333126576E-6</v>
          </cell>
          <cell r="M12">
            <v>0</v>
          </cell>
          <cell r="N12">
            <v>7.0593962333126576E-6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7.0593962333126576E-6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7.0593962333126576E-6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7.0593962333126576E-6</v>
          </cell>
          <cell r="M15">
            <v>0</v>
          </cell>
          <cell r="N15">
            <v>7.0593962333126576E-6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B16">
            <v>0</v>
          </cell>
          <cell r="C16">
            <v>5.1071295758699974E-5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7.0593962333126576E-6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B22">
            <v>0</v>
          </cell>
          <cell r="C22">
            <v>2.5535647879349987E-5</v>
          </cell>
          <cell r="D22">
            <v>0</v>
          </cell>
          <cell r="E22">
            <v>5.1298279295405305E-4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std"/>
      <sheetName val="rawmean"/>
      <sheetName val="rawmean (2)"/>
      <sheetName val="t-test"/>
      <sheetName val="csv"/>
      <sheetName val="numbers"/>
      <sheetName val="Data"/>
      <sheetName val="Growth"/>
      <sheetName val="diagnostics"/>
      <sheetName val="Chart1"/>
      <sheetName val="trends"/>
      <sheetName val="prtp"/>
      <sheetName val="histogram"/>
      <sheetName val="impactgrowthrate"/>
      <sheetName val="impactpigoutax"/>
      <sheetName val="PRTPgraph"/>
      <sheetName val="count"/>
      <sheetName val="CPI"/>
      <sheetName val="CO2int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81">
          <cell r="AW481">
            <v>15</v>
          </cell>
          <cell r="AX481">
            <v>30</v>
          </cell>
          <cell r="AY481">
            <v>45</v>
          </cell>
          <cell r="AZ481">
            <v>65</v>
          </cell>
          <cell r="BA481">
            <v>75</v>
          </cell>
          <cell r="BB481">
            <v>85</v>
          </cell>
          <cell r="BC481">
            <v>100</v>
          </cell>
          <cell r="BD481">
            <v>130</v>
          </cell>
          <cell r="BE481">
            <v>155</v>
          </cell>
          <cell r="BF481">
            <v>180</v>
          </cell>
          <cell r="BG481">
            <v>215</v>
          </cell>
          <cell r="BH481">
            <v>245</v>
          </cell>
          <cell r="BI481">
            <v>275</v>
          </cell>
          <cell r="BJ481">
            <v>330</v>
          </cell>
          <cell r="BK481">
            <v>400</v>
          </cell>
          <cell r="BL481">
            <v>550</v>
          </cell>
          <cell r="BM481">
            <v>780</v>
          </cell>
          <cell r="BN481">
            <v>960</v>
          </cell>
          <cell r="BO481">
            <v>1510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42"/>
  <sheetViews>
    <sheetView tabSelected="1" topLeftCell="H30" workbookViewId="0">
      <selection activeCell="A21" sqref="A21:V42"/>
    </sheetView>
  </sheetViews>
  <sheetFormatPr defaultRowHeight="13" x14ac:dyDescent="0.3"/>
  <cols>
    <col min="1" max="1" width="14.3984375" customWidth="1"/>
    <col min="2" max="41" width="11.59765625" customWidth="1"/>
  </cols>
  <sheetData>
    <row r="1" spans="1:41" x14ac:dyDescent="0.3">
      <c r="C1" s="5">
        <v>0.05</v>
      </c>
      <c r="D1" s="5">
        <f>0.05+C1</f>
        <v>0.1</v>
      </c>
      <c r="E1" s="5">
        <f t="shared" ref="E1:U1" si="0">0.05+D1</f>
        <v>0.15000000000000002</v>
      </c>
      <c r="F1" s="5">
        <f t="shared" si="0"/>
        <v>0.2</v>
      </c>
      <c r="G1" s="5">
        <f t="shared" si="0"/>
        <v>0.25</v>
      </c>
      <c r="H1" s="5">
        <f t="shared" si="0"/>
        <v>0.3</v>
      </c>
      <c r="I1" s="5">
        <f t="shared" si="0"/>
        <v>0.35</v>
      </c>
      <c r="J1" s="5">
        <f t="shared" si="0"/>
        <v>0.39999999999999997</v>
      </c>
      <c r="K1" s="5">
        <f t="shared" si="0"/>
        <v>0.44999999999999996</v>
      </c>
      <c r="L1" s="5">
        <f t="shared" si="0"/>
        <v>0.49999999999999994</v>
      </c>
      <c r="M1" s="5">
        <f t="shared" si="0"/>
        <v>0.54999999999999993</v>
      </c>
      <c r="N1" s="5">
        <f t="shared" si="0"/>
        <v>0.6</v>
      </c>
      <c r="O1" s="5">
        <f t="shared" si="0"/>
        <v>0.65</v>
      </c>
      <c r="P1" s="5">
        <f t="shared" si="0"/>
        <v>0.70000000000000007</v>
      </c>
      <c r="Q1" s="5">
        <f t="shared" si="0"/>
        <v>0.75000000000000011</v>
      </c>
      <c r="R1" s="5">
        <f t="shared" si="0"/>
        <v>0.80000000000000016</v>
      </c>
      <c r="S1" s="5">
        <f t="shared" si="0"/>
        <v>0.8500000000000002</v>
      </c>
      <c r="T1" s="5">
        <f t="shared" si="0"/>
        <v>0.90000000000000024</v>
      </c>
      <c r="U1" s="5">
        <f t="shared" si="0"/>
        <v>0.95000000000000029</v>
      </c>
    </row>
    <row r="2" spans="1:4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3">
      <c r="A3" t="s">
        <v>21</v>
      </c>
      <c r="B3" s="3" t="s">
        <v>22</v>
      </c>
      <c r="C3" s="3" t="s">
        <v>22</v>
      </c>
      <c r="D3" s="3" t="s">
        <v>22</v>
      </c>
      <c r="E3" s="3" t="s">
        <v>22</v>
      </c>
      <c r="F3" s="3" t="s">
        <v>22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3" t="s">
        <v>22</v>
      </c>
      <c r="Q3" s="3" t="s">
        <v>22</v>
      </c>
      <c r="R3" s="3" t="s">
        <v>22</v>
      </c>
      <c r="S3" s="3" t="s">
        <v>22</v>
      </c>
      <c r="T3" s="3" t="s">
        <v>22</v>
      </c>
      <c r="U3" s="3" t="s">
        <v>22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3">
      <c r="A5" t="s">
        <v>23</v>
      </c>
      <c r="B5" s="10">
        <v>-206</v>
      </c>
      <c r="C5" s="10">
        <v>-10.91</v>
      </c>
      <c r="D5" s="10">
        <v>-16.54</v>
      </c>
      <c r="E5" s="10">
        <v>-21.47</v>
      </c>
      <c r="F5" s="10">
        <v>-23.14</v>
      </c>
      <c r="G5" s="10">
        <v>-29.54</v>
      </c>
      <c r="H5" s="10">
        <v>-39.29</v>
      </c>
      <c r="I5" s="10">
        <v>-47.96</v>
      </c>
      <c r="J5" s="10">
        <v>-54.92</v>
      </c>
      <c r="K5" s="10">
        <v>-56.6</v>
      </c>
      <c r="L5" s="10">
        <v>-65.709999999999994</v>
      </c>
      <c r="M5" s="10">
        <v>-77.48</v>
      </c>
      <c r="N5" s="10">
        <v>-82.88</v>
      </c>
      <c r="O5" s="10">
        <v>-91.82</v>
      </c>
      <c r="P5" s="10">
        <v>-125.7</v>
      </c>
      <c r="Q5" s="10">
        <v>-170</v>
      </c>
      <c r="R5" s="10">
        <v>-215.3</v>
      </c>
      <c r="S5" s="10">
        <v>-193.4</v>
      </c>
      <c r="T5" s="10">
        <v>-227.5</v>
      </c>
      <c r="U5" s="10">
        <v>-328.8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">
      <c r="A6" t="s">
        <v>0</v>
      </c>
      <c r="B6" s="10">
        <v>21.33</v>
      </c>
      <c r="C6" s="10">
        <v>3.0979999999999999</v>
      </c>
      <c r="D6" s="10">
        <v>4.9560000000000004</v>
      </c>
      <c r="E6" s="10">
        <v>4.1740000000000004</v>
      </c>
      <c r="F6" s="10">
        <v>3.3769999999999998</v>
      </c>
      <c r="G6" s="10">
        <v>3.972</v>
      </c>
      <c r="H6" s="10">
        <v>4.0540000000000003</v>
      </c>
      <c r="I6" s="10">
        <v>5.4889999999999999</v>
      </c>
      <c r="J6" s="10">
        <v>5.891</v>
      </c>
      <c r="K6" s="10">
        <v>6.516</v>
      </c>
      <c r="L6" s="10">
        <v>7.6660000000000004</v>
      </c>
      <c r="M6" s="10">
        <v>8.4670000000000005</v>
      </c>
      <c r="N6" s="10">
        <v>9.57</v>
      </c>
      <c r="O6" s="10">
        <v>16.899999999999999</v>
      </c>
      <c r="P6" s="10">
        <v>23.72</v>
      </c>
      <c r="Q6" s="10">
        <v>32.630000000000003</v>
      </c>
      <c r="R6" s="10">
        <v>22.21</v>
      </c>
      <c r="S6" s="10">
        <v>24.32</v>
      </c>
      <c r="T6" s="10">
        <v>57.62</v>
      </c>
      <c r="U6" s="10">
        <v>154.19999999999999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">
      <c r="A7" t="s">
        <v>24</v>
      </c>
      <c r="B7" s="10">
        <v>-139.19999999999999</v>
      </c>
      <c r="C7" s="10">
        <v>-14.87</v>
      </c>
      <c r="D7" s="10">
        <v>-7.2009999999999996</v>
      </c>
      <c r="E7" s="10">
        <v>-7.2480000000000002</v>
      </c>
      <c r="F7" s="10">
        <v>-20.02</v>
      </c>
      <c r="G7" s="10">
        <v>-27.28</v>
      </c>
      <c r="H7" s="10">
        <v>-33.659999999999997</v>
      </c>
      <c r="I7" s="10">
        <v>-41.27</v>
      </c>
      <c r="J7" s="10">
        <v>-56.93</v>
      </c>
      <c r="K7" s="10">
        <v>-70.31</v>
      </c>
      <c r="L7" s="10">
        <v>-75.64</v>
      </c>
      <c r="M7" s="10">
        <v>-84.77</v>
      </c>
      <c r="N7" s="10">
        <v>-88.42</v>
      </c>
      <c r="O7" s="10">
        <v>-91.3</v>
      </c>
      <c r="P7" s="10">
        <v>-95.4</v>
      </c>
      <c r="Q7" s="10">
        <v>-123.7</v>
      </c>
      <c r="R7" s="10">
        <v>-146</v>
      </c>
      <c r="S7" s="10">
        <v>-109.4</v>
      </c>
      <c r="T7" s="10">
        <v>-135.69999999999999</v>
      </c>
      <c r="U7" s="10">
        <v>-115.7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x14ac:dyDescent="0.3">
      <c r="A8" t="s">
        <v>0</v>
      </c>
      <c r="B8" s="10">
        <v>36.11</v>
      </c>
      <c r="C8" s="10">
        <v>5.5430000000000001</v>
      </c>
      <c r="D8" s="10">
        <v>8.8680000000000003</v>
      </c>
      <c r="E8" s="10">
        <v>7.468</v>
      </c>
      <c r="F8" s="10">
        <v>6.0419999999999998</v>
      </c>
      <c r="G8" s="10">
        <v>7.1059999999999999</v>
      </c>
      <c r="H8" s="10">
        <v>7.2539999999999996</v>
      </c>
      <c r="I8" s="10">
        <v>9.8219999999999992</v>
      </c>
      <c r="J8" s="10">
        <v>10.54</v>
      </c>
      <c r="K8" s="10">
        <v>11.66</v>
      </c>
      <c r="L8" s="10">
        <v>13.72</v>
      </c>
      <c r="M8" s="10">
        <v>15.15</v>
      </c>
      <c r="N8" s="10">
        <v>17.12</v>
      </c>
      <c r="O8" s="10">
        <v>30.24</v>
      </c>
      <c r="P8" s="10">
        <v>42.44</v>
      </c>
      <c r="Q8" s="10">
        <v>58.38</v>
      </c>
      <c r="R8" s="10">
        <v>39.75</v>
      </c>
      <c r="S8" s="10">
        <v>43.51</v>
      </c>
      <c r="T8" s="10">
        <v>103.1</v>
      </c>
      <c r="U8" s="10">
        <v>276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t="s">
        <v>25</v>
      </c>
      <c r="B9" s="10">
        <v>-13.52</v>
      </c>
      <c r="C9" s="10">
        <v>-1.264</v>
      </c>
      <c r="D9" s="10">
        <v>-2.77</v>
      </c>
      <c r="E9" s="10">
        <v>-3.6589999999999998</v>
      </c>
      <c r="F9" s="10">
        <v>-6.032</v>
      </c>
      <c r="G9" s="10">
        <v>-5.7030000000000003</v>
      </c>
      <c r="H9" s="10">
        <v>-5.444</v>
      </c>
      <c r="I9" s="10">
        <v>-5.2039999999999997</v>
      </c>
      <c r="J9" s="10">
        <v>-9.3460000000000001</v>
      </c>
      <c r="K9" s="10">
        <v>-12.5</v>
      </c>
      <c r="L9" s="10">
        <v>-19.62</v>
      </c>
      <c r="M9" s="10">
        <v>-20.8</v>
      </c>
      <c r="N9" s="10">
        <v>-23.41</v>
      </c>
      <c r="O9" s="10">
        <v>-31.51</v>
      </c>
      <c r="P9" s="10">
        <v>-38.07</v>
      </c>
      <c r="Q9" s="10">
        <v>-51.28</v>
      </c>
      <c r="R9" s="10">
        <v>-55.6</v>
      </c>
      <c r="S9" s="10">
        <v>-53.24</v>
      </c>
      <c r="T9" s="10">
        <v>-40.36</v>
      </c>
      <c r="U9" s="10">
        <v>-122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t="s">
        <v>0</v>
      </c>
      <c r="B10" s="10">
        <v>5.2430000000000003</v>
      </c>
      <c r="C10" s="10">
        <v>0.58099999999999996</v>
      </c>
      <c r="D10" s="10">
        <v>0.92900000000000005</v>
      </c>
      <c r="E10" s="10">
        <v>0.78200000000000003</v>
      </c>
      <c r="F10" s="10">
        <v>0.63300000000000001</v>
      </c>
      <c r="G10" s="10">
        <v>0.74399999999999999</v>
      </c>
      <c r="H10" s="10">
        <v>0.76</v>
      </c>
      <c r="I10" s="10">
        <v>1.0289999999999999</v>
      </c>
      <c r="J10" s="10">
        <v>1.1040000000000001</v>
      </c>
      <c r="K10" s="10">
        <v>1.2210000000000001</v>
      </c>
      <c r="L10" s="10">
        <v>1.4370000000000001</v>
      </c>
      <c r="M10" s="10">
        <v>1.587</v>
      </c>
      <c r="N10" s="10">
        <v>1.794</v>
      </c>
      <c r="O10" s="10">
        <v>3.1669999999999998</v>
      </c>
      <c r="P10" s="10">
        <v>4.4459999999999997</v>
      </c>
      <c r="Q10" s="10">
        <v>6.1159999999999997</v>
      </c>
      <c r="R10" s="10">
        <v>4.1639999999999997</v>
      </c>
      <c r="S10" s="10">
        <v>4.5579999999999998</v>
      </c>
      <c r="T10" s="10">
        <v>10.8</v>
      </c>
      <c r="U10" s="10">
        <v>28.91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t="s">
        <v>37</v>
      </c>
      <c r="B11" s="10">
        <v>4.577</v>
      </c>
      <c r="C11" s="10">
        <v>0.97499999999999998</v>
      </c>
      <c r="D11" s="10">
        <v>1.492</v>
      </c>
      <c r="E11" s="10">
        <v>1.603</v>
      </c>
      <c r="F11" s="10">
        <v>2.1349999999999998</v>
      </c>
      <c r="G11" s="10">
        <v>2.4249999999999998</v>
      </c>
      <c r="H11" s="10">
        <v>2.306</v>
      </c>
      <c r="I11" s="10">
        <v>1.944</v>
      </c>
      <c r="J11" s="10">
        <v>2.2999999999999998</v>
      </c>
      <c r="K11" s="10">
        <v>3.0350000000000001</v>
      </c>
      <c r="L11" s="10">
        <v>3.2669999999999999</v>
      </c>
      <c r="M11" s="10">
        <v>3.5110000000000001</v>
      </c>
      <c r="N11" s="10">
        <v>3.6339999999999999</v>
      </c>
      <c r="O11" s="10">
        <v>4.1180000000000003</v>
      </c>
      <c r="P11" s="10">
        <v>4.51</v>
      </c>
      <c r="Q11" s="10">
        <v>5.2969999999999997</v>
      </c>
      <c r="R11" s="10">
        <v>8.18</v>
      </c>
      <c r="S11" s="10">
        <v>7.6029999999999998</v>
      </c>
      <c r="T11" s="10">
        <v>8.7439999999999998</v>
      </c>
      <c r="U11" s="10">
        <v>4.5339999999999998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">
      <c r="B12" s="10">
        <v>2.5470000000000002</v>
      </c>
      <c r="C12" s="10">
        <v>0.32500000000000001</v>
      </c>
      <c r="D12" s="10">
        <v>0.52100000000000002</v>
      </c>
      <c r="E12" s="10">
        <v>0.438</v>
      </c>
      <c r="F12" s="10">
        <v>0.35499999999999998</v>
      </c>
      <c r="G12" s="10">
        <v>0.41699999999999998</v>
      </c>
      <c r="H12" s="10">
        <v>0.42599999999999999</v>
      </c>
      <c r="I12" s="10">
        <v>0.57699999999999996</v>
      </c>
      <c r="J12" s="10">
        <v>0.61899999999999999</v>
      </c>
      <c r="K12" s="10">
        <v>0.68400000000000005</v>
      </c>
      <c r="L12" s="10">
        <v>0.80500000000000005</v>
      </c>
      <c r="M12" s="10">
        <v>0.88900000000000001</v>
      </c>
      <c r="N12" s="10">
        <v>1.0049999999999999</v>
      </c>
      <c r="O12" s="10">
        <v>1.7749999999999999</v>
      </c>
      <c r="P12" s="10">
        <v>2.4910000000000001</v>
      </c>
      <c r="Q12" s="10">
        <v>3.427</v>
      </c>
      <c r="R12" s="10">
        <v>2.3330000000000002</v>
      </c>
      <c r="S12" s="10">
        <v>2.5539999999999998</v>
      </c>
      <c r="T12" s="10">
        <v>6.0529999999999999</v>
      </c>
      <c r="U12" s="10">
        <v>16.2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">
      <c r="A13" t="s">
        <v>26</v>
      </c>
      <c r="B13" s="10">
        <v>-8393</v>
      </c>
      <c r="C13" s="10">
        <v>-1909</v>
      </c>
      <c r="D13" s="10">
        <v>-2927</v>
      </c>
      <c r="E13" s="10">
        <v>-3128</v>
      </c>
      <c r="F13" s="10">
        <v>-4169</v>
      </c>
      <c r="G13" s="10">
        <v>-4721</v>
      </c>
      <c r="H13" s="10">
        <v>-4445</v>
      </c>
      <c r="I13" s="10">
        <v>-3680</v>
      </c>
      <c r="J13" s="10">
        <v>-4353</v>
      </c>
      <c r="K13" s="10">
        <v>-5806</v>
      </c>
      <c r="L13" s="10">
        <v>-6243</v>
      </c>
      <c r="M13" s="10">
        <v>-6685</v>
      </c>
      <c r="N13" s="10">
        <v>-6901</v>
      </c>
      <c r="O13" s="10">
        <v>-7842</v>
      </c>
      <c r="P13" s="10">
        <v>-8524</v>
      </c>
      <c r="Q13" s="10">
        <v>-9942</v>
      </c>
      <c r="R13" s="10">
        <v>-15535</v>
      </c>
      <c r="S13" s="10">
        <v>-14399</v>
      </c>
      <c r="T13" s="10">
        <v>-16414</v>
      </c>
      <c r="U13" s="10">
        <v>-7523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">
      <c r="A14" t="s">
        <v>0</v>
      </c>
      <c r="B14" s="10">
        <v>5133</v>
      </c>
      <c r="C14" s="10">
        <v>657.4</v>
      </c>
      <c r="D14" s="10">
        <v>1052</v>
      </c>
      <c r="E14" s="10">
        <v>885.7</v>
      </c>
      <c r="F14" s="10">
        <v>716.6</v>
      </c>
      <c r="G14" s="10">
        <v>842.8</v>
      </c>
      <c r="H14" s="10">
        <v>860.3</v>
      </c>
      <c r="I14" s="10">
        <v>1165</v>
      </c>
      <c r="J14" s="10">
        <v>1250</v>
      </c>
      <c r="K14" s="10">
        <v>1383</v>
      </c>
      <c r="L14" s="10">
        <v>1627</v>
      </c>
      <c r="M14" s="10">
        <v>1797</v>
      </c>
      <c r="N14" s="10">
        <v>2031</v>
      </c>
      <c r="O14" s="10">
        <v>3586</v>
      </c>
      <c r="P14" s="10">
        <v>5033</v>
      </c>
      <c r="Q14" s="10">
        <v>6924</v>
      </c>
      <c r="R14" s="10">
        <v>4714</v>
      </c>
      <c r="S14" s="10">
        <v>5160</v>
      </c>
      <c r="T14" s="10">
        <v>12228</v>
      </c>
      <c r="U14" s="10">
        <v>32728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">
      <c r="A15" t="s">
        <v>0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T15" s="3" t="s">
        <v>0</v>
      </c>
      <c r="U15" s="3" t="s">
        <v>0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">
      <c r="A16" t="s">
        <v>27</v>
      </c>
      <c r="B16" s="3" t="s">
        <v>38</v>
      </c>
      <c r="C16" s="3" t="s">
        <v>39</v>
      </c>
      <c r="D16" s="3" t="s">
        <v>39</v>
      </c>
      <c r="E16" s="3" t="s">
        <v>39</v>
      </c>
      <c r="F16" s="3" t="s">
        <v>39</v>
      </c>
      <c r="G16" s="3" t="s">
        <v>39</v>
      </c>
      <c r="H16" s="3" t="s">
        <v>39</v>
      </c>
      <c r="I16" s="3" t="s">
        <v>39</v>
      </c>
      <c r="J16" s="3" t="s">
        <v>39</v>
      </c>
      <c r="K16" s="3" t="s">
        <v>39</v>
      </c>
      <c r="L16" s="3" t="s">
        <v>39</v>
      </c>
      <c r="M16" s="3" t="s">
        <v>39</v>
      </c>
      <c r="N16" s="3" t="s">
        <v>39</v>
      </c>
      <c r="O16" s="3" t="s">
        <v>39</v>
      </c>
      <c r="P16" s="3" t="s">
        <v>39</v>
      </c>
      <c r="Q16" s="3" t="s">
        <v>39</v>
      </c>
      <c r="R16" s="3" t="s">
        <v>39</v>
      </c>
      <c r="S16" s="3" t="s">
        <v>39</v>
      </c>
      <c r="T16" s="3" t="s">
        <v>39</v>
      </c>
      <c r="U16" s="3" t="s">
        <v>39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3" x14ac:dyDescent="0.3">
      <c r="A17" s="8" t="s">
        <v>28</v>
      </c>
      <c r="B17" s="9" t="s">
        <v>40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9" t="s">
        <v>0</v>
      </c>
      <c r="O17" s="9" t="s">
        <v>0</v>
      </c>
      <c r="P17" s="9" t="s">
        <v>0</v>
      </c>
      <c r="Q17" s="9" t="s">
        <v>0</v>
      </c>
      <c r="R17" s="9" t="s">
        <v>0</v>
      </c>
      <c r="S17" s="9" t="s">
        <v>0</v>
      </c>
      <c r="T17" s="9" t="s">
        <v>0</v>
      </c>
      <c r="U17" s="9" t="s">
        <v>0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3" x14ac:dyDescent="0.3">
      <c r="A18" t="s">
        <v>29</v>
      </c>
    </row>
    <row r="19" spans="1:43" x14ac:dyDescent="0.3">
      <c r="A19" t="s">
        <v>30</v>
      </c>
    </row>
    <row r="21" spans="1:43" x14ac:dyDescent="0.3">
      <c r="B21" t="s">
        <v>104</v>
      </c>
      <c r="C21" t="s">
        <v>106</v>
      </c>
      <c r="D21" t="s">
        <v>104</v>
      </c>
      <c r="E21" s="5" t="s">
        <v>108</v>
      </c>
      <c r="F21" t="s">
        <v>104</v>
      </c>
      <c r="G21" s="5" t="s">
        <v>109</v>
      </c>
      <c r="H21" t="s">
        <v>104</v>
      </c>
      <c r="I21" s="5" t="s">
        <v>110</v>
      </c>
      <c r="J21" t="s">
        <v>104</v>
      </c>
      <c r="K21" s="5" t="s">
        <v>111</v>
      </c>
      <c r="L21" t="s">
        <v>104</v>
      </c>
      <c r="M21" s="5" t="s">
        <v>112</v>
      </c>
      <c r="N21" t="s">
        <v>104</v>
      </c>
      <c r="O21" s="5" t="s">
        <v>113</v>
      </c>
      <c r="P21" t="s">
        <v>104</v>
      </c>
      <c r="Q21" s="5" t="s">
        <v>114</v>
      </c>
      <c r="R21" t="s">
        <v>104</v>
      </c>
      <c r="S21" s="5" t="s">
        <v>115</v>
      </c>
      <c r="T21" t="s">
        <v>104</v>
      </c>
      <c r="U21" s="5" t="s">
        <v>116</v>
      </c>
      <c r="V21" s="15" t="s">
        <v>105</v>
      </c>
      <c r="AQ21" s="5"/>
    </row>
    <row r="22" spans="1:43" x14ac:dyDescent="0.3">
      <c r="A22" t="s">
        <v>23</v>
      </c>
      <c r="B22" t="s">
        <v>104</v>
      </c>
      <c r="C22" s="10">
        <f>B5</f>
        <v>-206</v>
      </c>
      <c r="D22" t="s">
        <v>104</v>
      </c>
      <c r="E22" s="10">
        <f>C5</f>
        <v>-10.91</v>
      </c>
      <c r="F22" t="s">
        <v>104</v>
      </c>
      <c r="G22" s="10">
        <f>D5</f>
        <v>-16.54</v>
      </c>
      <c r="H22" t="s">
        <v>104</v>
      </c>
      <c r="I22" s="10">
        <f>E5</f>
        <v>-21.47</v>
      </c>
      <c r="J22" t="s">
        <v>104</v>
      </c>
      <c r="K22" s="10">
        <f>F5</f>
        <v>-23.14</v>
      </c>
      <c r="L22" t="s">
        <v>104</v>
      </c>
      <c r="M22" s="10">
        <f>G5</f>
        <v>-29.54</v>
      </c>
      <c r="N22" t="s">
        <v>104</v>
      </c>
      <c r="O22" s="10">
        <f>H5</f>
        <v>-39.29</v>
      </c>
      <c r="P22" t="s">
        <v>104</v>
      </c>
      <c r="Q22" s="10">
        <f>I5</f>
        <v>-47.96</v>
      </c>
      <c r="R22" t="s">
        <v>104</v>
      </c>
      <c r="S22" s="10">
        <f>J5</f>
        <v>-54.92</v>
      </c>
      <c r="T22" t="s">
        <v>104</v>
      </c>
      <c r="U22" s="10">
        <f>K5</f>
        <v>-56.6</v>
      </c>
      <c r="V22" s="15" t="s">
        <v>105</v>
      </c>
    </row>
    <row r="23" spans="1:43" x14ac:dyDescent="0.3">
      <c r="A23" t="s">
        <v>0</v>
      </c>
      <c r="B23" t="s">
        <v>104</v>
      </c>
      <c r="C23" s="10" t="str">
        <f>_xlfn.CONCAT("(",B6,")")</f>
        <v>(21.33)</v>
      </c>
      <c r="D23" t="s">
        <v>104</v>
      </c>
      <c r="E23" s="10" t="str">
        <f>_xlfn.CONCAT("(",C6,")")</f>
        <v>(3.098)</v>
      </c>
      <c r="F23" t="s">
        <v>104</v>
      </c>
      <c r="G23" s="10" t="str">
        <f>_xlfn.CONCAT("(",D6,")")</f>
        <v>(4.956)</v>
      </c>
      <c r="H23" t="s">
        <v>104</v>
      </c>
      <c r="I23" s="10" t="str">
        <f>_xlfn.CONCAT("(",E6,")")</f>
        <v>(4.174)</v>
      </c>
      <c r="J23" t="s">
        <v>104</v>
      </c>
      <c r="K23" s="10" t="str">
        <f>_xlfn.CONCAT("(",F6,")")</f>
        <v>(3.377)</v>
      </c>
      <c r="L23" t="s">
        <v>104</v>
      </c>
      <c r="M23" s="10" t="str">
        <f>_xlfn.CONCAT("(",G6,")")</f>
        <v>(3.972)</v>
      </c>
      <c r="N23" t="s">
        <v>104</v>
      </c>
      <c r="O23" s="10" t="str">
        <f>_xlfn.CONCAT("(",H6,")")</f>
        <v>(4.054)</v>
      </c>
      <c r="P23" t="s">
        <v>104</v>
      </c>
      <c r="Q23" s="10" t="str">
        <f>_xlfn.CONCAT("(",I6,")")</f>
        <v>(5.489)</v>
      </c>
      <c r="R23" t="s">
        <v>104</v>
      </c>
      <c r="S23" s="10" t="str">
        <f>_xlfn.CONCAT("(",J6,")")</f>
        <v>(5.891)</v>
      </c>
      <c r="T23" t="s">
        <v>104</v>
      </c>
      <c r="U23" s="10" t="str">
        <f>_xlfn.CONCAT("(",K6,")")</f>
        <v>(6.516)</v>
      </c>
      <c r="V23" s="15" t="s">
        <v>105</v>
      </c>
    </row>
    <row r="24" spans="1:43" x14ac:dyDescent="0.3">
      <c r="A24" t="s">
        <v>24</v>
      </c>
      <c r="B24" t="s">
        <v>104</v>
      </c>
      <c r="C24" s="10">
        <f>B7</f>
        <v>-139.19999999999999</v>
      </c>
      <c r="D24" t="s">
        <v>104</v>
      </c>
      <c r="E24" s="10">
        <f>C7</f>
        <v>-14.87</v>
      </c>
      <c r="F24" t="s">
        <v>104</v>
      </c>
      <c r="G24" s="10">
        <f>D7</f>
        <v>-7.2009999999999996</v>
      </c>
      <c r="H24" t="s">
        <v>104</v>
      </c>
      <c r="I24" s="10">
        <f>E7</f>
        <v>-7.2480000000000002</v>
      </c>
      <c r="J24" t="s">
        <v>104</v>
      </c>
      <c r="K24" s="10">
        <f>F7</f>
        <v>-20.02</v>
      </c>
      <c r="L24" t="s">
        <v>104</v>
      </c>
      <c r="M24" s="10">
        <f>G7</f>
        <v>-27.28</v>
      </c>
      <c r="N24" t="s">
        <v>104</v>
      </c>
      <c r="O24" s="10">
        <f>H7</f>
        <v>-33.659999999999997</v>
      </c>
      <c r="P24" t="s">
        <v>104</v>
      </c>
      <c r="Q24" s="10">
        <f>I7</f>
        <v>-41.27</v>
      </c>
      <c r="R24" t="s">
        <v>104</v>
      </c>
      <c r="S24" s="10">
        <f>J7</f>
        <v>-56.93</v>
      </c>
      <c r="T24" t="s">
        <v>104</v>
      </c>
      <c r="U24" s="10">
        <f>K7</f>
        <v>-70.31</v>
      </c>
      <c r="V24" s="15" t="s">
        <v>105</v>
      </c>
    </row>
    <row r="25" spans="1:43" x14ac:dyDescent="0.3">
      <c r="A25" t="s">
        <v>0</v>
      </c>
      <c r="B25" t="s">
        <v>104</v>
      </c>
      <c r="C25" s="10" t="str">
        <f>_xlfn.CONCAT("(",B8,")")</f>
        <v>(36.11)</v>
      </c>
      <c r="D25" t="s">
        <v>104</v>
      </c>
      <c r="E25" s="10" t="str">
        <f>_xlfn.CONCAT("(",C8,")")</f>
        <v>(5.543)</v>
      </c>
      <c r="F25" t="s">
        <v>104</v>
      </c>
      <c r="G25" s="10" t="str">
        <f>_xlfn.CONCAT("(",D8,")")</f>
        <v>(8.868)</v>
      </c>
      <c r="H25" t="s">
        <v>104</v>
      </c>
      <c r="I25" s="10" t="str">
        <f>_xlfn.CONCAT("(",E8,")")</f>
        <v>(7.468)</v>
      </c>
      <c r="J25" t="s">
        <v>104</v>
      </c>
      <c r="K25" s="10" t="str">
        <f>_xlfn.CONCAT("(",F8,")")</f>
        <v>(6.042)</v>
      </c>
      <c r="L25" t="s">
        <v>104</v>
      </c>
      <c r="M25" s="10" t="str">
        <f>_xlfn.CONCAT("(",G8,")")</f>
        <v>(7.106)</v>
      </c>
      <c r="N25" t="s">
        <v>104</v>
      </c>
      <c r="O25" s="10" t="str">
        <f>_xlfn.CONCAT("(",H8,")")</f>
        <v>(7.254)</v>
      </c>
      <c r="P25" t="s">
        <v>104</v>
      </c>
      <c r="Q25" s="10" t="str">
        <f>_xlfn.CONCAT("(",I8,")")</f>
        <v>(9.822)</v>
      </c>
      <c r="R25" t="s">
        <v>104</v>
      </c>
      <c r="S25" s="10" t="str">
        <f>_xlfn.CONCAT("(",J8,")")</f>
        <v>(10.54)</v>
      </c>
      <c r="T25" t="s">
        <v>104</v>
      </c>
      <c r="U25" s="10" t="str">
        <f>_xlfn.CONCAT("(",K8,")")</f>
        <v>(11.66)</v>
      </c>
      <c r="V25" s="15" t="s">
        <v>105</v>
      </c>
    </row>
    <row r="26" spans="1:43" x14ac:dyDescent="0.3">
      <c r="A26" t="s">
        <v>25</v>
      </c>
      <c r="B26" t="s">
        <v>104</v>
      </c>
      <c r="C26" s="10">
        <f>B9</f>
        <v>-13.52</v>
      </c>
      <c r="D26" t="s">
        <v>104</v>
      </c>
      <c r="E26" s="10">
        <f>C9</f>
        <v>-1.264</v>
      </c>
      <c r="F26" t="s">
        <v>104</v>
      </c>
      <c r="G26" s="10">
        <f>D9</f>
        <v>-2.77</v>
      </c>
      <c r="H26" t="s">
        <v>104</v>
      </c>
      <c r="I26" s="10">
        <f>E9</f>
        <v>-3.6589999999999998</v>
      </c>
      <c r="J26" t="s">
        <v>104</v>
      </c>
      <c r="K26" s="10">
        <f>F9</f>
        <v>-6.032</v>
      </c>
      <c r="L26" t="s">
        <v>104</v>
      </c>
      <c r="M26" s="10">
        <f>G9</f>
        <v>-5.7030000000000003</v>
      </c>
      <c r="N26" t="s">
        <v>104</v>
      </c>
      <c r="O26" s="10">
        <f>H9</f>
        <v>-5.444</v>
      </c>
      <c r="P26" t="s">
        <v>104</v>
      </c>
      <c r="Q26" s="10">
        <f>I9</f>
        <v>-5.2039999999999997</v>
      </c>
      <c r="R26" t="s">
        <v>104</v>
      </c>
      <c r="S26" s="10">
        <f>J9</f>
        <v>-9.3460000000000001</v>
      </c>
      <c r="T26" t="s">
        <v>104</v>
      </c>
      <c r="U26" s="10">
        <f>K9</f>
        <v>-12.5</v>
      </c>
      <c r="V26" s="15" t="s">
        <v>105</v>
      </c>
    </row>
    <row r="27" spans="1:43" x14ac:dyDescent="0.3">
      <c r="A27" t="s">
        <v>0</v>
      </c>
      <c r="B27" t="s">
        <v>104</v>
      </c>
      <c r="C27" s="10" t="str">
        <f>_xlfn.CONCAT("(",B10,")")</f>
        <v>(5.243)</v>
      </c>
      <c r="D27" t="s">
        <v>104</v>
      </c>
      <c r="E27" s="10" t="str">
        <f>_xlfn.CONCAT("(",C10,")")</f>
        <v>(0.581)</v>
      </c>
      <c r="F27" t="s">
        <v>104</v>
      </c>
      <c r="G27" s="10" t="str">
        <f>_xlfn.CONCAT("(",D10,")")</f>
        <v>(0.929)</v>
      </c>
      <c r="H27" t="s">
        <v>104</v>
      </c>
      <c r="I27" s="10" t="str">
        <f>_xlfn.CONCAT("(",E10,")")</f>
        <v>(0.782)</v>
      </c>
      <c r="J27" t="s">
        <v>104</v>
      </c>
      <c r="K27" s="10" t="str">
        <f>_xlfn.CONCAT("(",F10,")")</f>
        <v>(0.633)</v>
      </c>
      <c r="L27" t="s">
        <v>104</v>
      </c>
      <c r="M27" s="10" t="str">
        <f>_xlfn.CONCAT("(",G10,")")</f>
        <v>(0.744)</v>
      </c>
      <c r="N27" t="s">
        <v>104</v>
      </c>
      <c r="O27" s="10" t="str">
        <f>_xlfn.CONCAT("(",H10,")")</f>
        <v>(0.76)</v>
      </c>
      <c r="P27" t="s">
        <v>104</v>
      </c>
      <c r="Q27" s="10" t="str">
        <f>_xlfn.CONCAT("(",I10,")")</f>
        <v>(1.029)</v>
      </c>
      <c r="R27" t="s">
        <v>104</v>
      </c>
      <c r="S27" s="10" t="str">
        <f>_xlfn.CONCAT("(",J10,")")</f>
        <v>(1.104)</v>
      </c>
      <c r="T27" t="s">
        <v>104</v>
      </c>
      <c r="U27" s="10" t="str">
        <f>_xlfn.CONCAT("(",K10,")")</f>
        <v>(1.221)</v>
      </c>
      <c r="V27" s="15" t="s">
        <v>105</v>
      </c>
    </row>
    <row r="28" spans="1:43" x14ac:dyDescent="0.3">
      <c r="A28" t="s">
        <v>37</v>
      </c>
      <c r="B28" t="s">
        <v>104</v>
      </c>
      <c r="C28" s="10">
        <f>B11</f>
        <v>4.577</v>
      </c>
      <c r="D28" t="s">
        <v>104</v>
      </c>
      <c r="E28" s="10">
        <f>C11</f>
        <v>0.97499999999999998</v>
      </c>
      <c r="F28" t="s">
        <v>104</v>
      </c>
      <c r="G28" s="10">
        <f>D11</f>
        <v>1.492</v>
      </c>
      <c r="H28" t="s">
        <v>104</v>
      </c>
      <c r="I28" s="10">
        <f>E11</f>
        <v>1.603</v>
      </c>
      <c r="J28" t="s">
        <v>104</v>
      </c>
      <c r="K28" s="10">
        <f>F11</f>
        <v>2.1349999999999998</v>
      </c>
      <c r="L28" t="s">
        <v>104</v>
      </c>
      <c r="M28" s="10">
        <f>G11</f>
        <v>2.4249999999999998</v>
      </c>
      <c r="N28" t="s">
        <v>104</v>
      </c>
      <c r="O28" s="10">
        <f>H11</f>
        <v>2.306</v>
      </c>
      <c r="P28" t="s">
        <v>104</v>
      </c>
      <c r="Q28" s="10">
        <f>I11</f>
        <v>1.944</v>
      </c>
      <c r="R28" t="s">
        <v>104</v>
      </c>
      <c r="S28" s="10">
        <f>J11</f>
        <v>2.2999999999999998</v>
      </c>
      <c r="T28" t="s">
        <v>104</v>
      </c>
      <c r="U28" s="10">
        <f>K11</f>
        <v>3.0350000000000001</v>
      </c>
      <c r="V28" s="15" t="s">
        <v>105</v>
      </c>
    </row>
    <row r="29" spans="1:43" x14ac:dyDescent="0.3">
      <c r="B29" t="s">
        <v>104</v>
      </c>
      <c r="C29" s="10" t="str">
        <f>_xlfn.CONCAT("(",B12,")")</f>
        <v>(2.547)</v>
      </c>
      <c r="D29" t="s">
        <v>104</v>
      </c>
      <c r="E29" s="10" t="str">
        <f>_xlfn.CONCAT("(",C12,")")</f>
        <v>(0.325)</v>
      </c>
      <c r="F29" t="s">
        <v>104</v>
      </c>
      <c r="G29" s="10" t="str">
        <f>_xlfn.CONCAT("(",D12,")")</f>
        <v>(0.521)</v>
      </c>
      <c r="H29" t="s">
        <v>104</v>
      </c>
      <c r="I29" s="10" t="str">
        <f>_xlfn.CONCAT("(",E12,")")</f>
        <v>(0.438)</v>
      </c>
      <c r="J29" t="s">
        <v>104</v>
      </c>
      <c r="K29" s="10" t="str">
        <f>_xlfn.CONCAT("(",F12,")")</f>
        <v>(0.355)</v>
      </c>
      <c r="L29" t="s">
        <v>104</v>
      </c>
      <c r="M29" s="10" t="str">
        <f>_xlfn.CONCAT("(",G12,")")</f>
        <v>(0.417)</v>
      </c>
      <c r="N29" t="s">
        <v>104</v>
      </c>
      <c r="O29" s="10" t="str">
        <f>_xlfn.CONCAT("(",H12,")")</f>
        <v>(0.426)</v>
      </c>
      <c r="P29" t="s">
        <v>104</v>
      </c>
      <c r="Q29" s="10" t="str">
        <f>_xlfn.CONCAT("(",I12,")")</f>
        <v>(0.577)</v>
      </c>
      <c r="R29" t="s">
        <v>104</v>
      </c>
      <c r="S29" s="10" t="str">
        <f>_xlfn.CONCAT("(",J12,")")</f>
        <v>(0.619)</v>
      </c>
      <c r="T29" t="s">
        <v>104</v>
      </c>
      <c r="U29" s="10" t="str">
        <f>_xlfn.CONCAT("(",K12,")")</f>
        <v>(0.684)</v>
      </c>
      <c r="V29" s="15" t="s">
        <v>105</v>
      </c>
    </row>
    <row r="30" spans="1:43" x14ac:dyDescent="0.3">
      <c r="A30" t="s">
        <v>26</v>
      </c>
      <c r="B30" t="s">
        <v>104</v>
      </c>
      <c r="C30" s="10">
        <f>B13</f>
        <v>-8393</v>
      </c>
      <c r="D30" t="s">
        <v>104</v>
      </c>
      <c r="E30" s="10">
        <f>C13</f>
        <v>-1909</v>
      </c>
      <c r="F30" t="s">
        <v>104</v>
      </c>
      <c r="G30" s="10">
        <f>D13</f>
        <v>-2927</v>
      </c>
      <c r="H30" t="s">
        <v>104</v>
      </c>
      <c r="I30" s="10">
        <f>E13</f>
        <v>-3128</v>
      </c>
      <c r="J30" t="s">
        <v>104</v>
      </c>
      <c r="K30" s="10">
        <f>F13</f>
        <v>-4169</v>
      </c>
      <c r="L30" t="s">
        <v>104</v>
      </c>
      <c r="M30" s="10">
        <f>G13</f>
        <v>-4721</v>
      </c>
      <c r="N30" t="s">
        <v>104</v>
      </c>
      <c r="O30" s="10">
        <f>H13</f>
        <v>-4445</v>
      </c>
      <c r="P30" t="s">
        <v>104</v>
      </c>
      <c r="Q30" s="10">
        <f>I13</f>
        <v>-3680</v>
      </c>
      <c r="R30" t="s">
        <v>104</v>
      </c>
      <c r="S30" s="10">
        <f>J13</f>
        <v>-4353</v>
      </c>
      <c r="T30" t="s">
        <v>104</v>
      </c>
      <c r="U30" s="10">
        <f>K13</f>
        <v>-5806</v>
      </c>
      <c r="V30" s="15" t="s">
        <v>105</v>
      </c>
    </row>
    <row r="31" spans="1:43" x14ac:dyDescent="0.3">
      <c r="A31" t="s">
        <v>0</v>
      </c>
      <c r="B31" t="s">
        <v>104</v>
      </c>
      <c r="C31" s="10" t="str">
        <f>_xlfn.CONCAT("(",B14,")")</f>
        <v>(5133)</v>
      </c>
      <c r="D31" t="s">
        <v>104</v>
      </c>
      <c r="E31" s="10" t="str">
        <f>_xlfn.CONCAT("(",C14,")")</f>
        <v>(657.4)</v>
      </c>
      <c r="F31" t="s">
        <v>104</v>
      </c>
      <c r="G31" s="10" t="str">
        <f>_xlfn.CONCAT("(",D14,")")</f>
        <v>(1052)</v>
      </c>
      <c r="H31" t="s">
        <v>104</v>
      </c>
      <c r="I31" s="10" t="str">
        <f>_xlfn.CONCAT("(",E14,")")</f>
        <v>(885.7)</v>
      </c>
      <c r="J31" t="s">
        <v>104</v>
      </c>
      <c r="K31" s="10" t="str">
        <f>_xlfn.CONCAT("(",F14,")")</f>
        <v>(716.6)</v>
      </c>
      <c r="L31" t="s">
        <v>104</v>
      </c>
      <c r="M31" s="10" t="str">
        <f>_xlfn.CONCAT("(",G14,")")</f>
        <v>(842.8)</v>
      </c>
      <c r="N31" t="s">
        <v>104</v>
      </c>
      <c r="O31" s="10" t="str">
        <f>_xlfn.CONCAT("(",H14,")")</f>
        <v>(860.3)</v>
      </c>
      <c r="P31" t="s">
        <v>104</v>
      </c>
      <c r="Q31" s="10" t="str">
        <f>_xlfn.CONCAT("(",I14,")")</f>
        <v>(1165)</v>
      </c>
      <c r="R31" t="s">
        <v>104</v>
      </c>
      <c r="S31" s="10" t="str">
        <f>_xlfn.CONCAT("(",J14,")")</f>
        <v>(1250)</v>
      </c>
      <c r="T31" t="s">
        <v>104</v>
      </c>
      <c r="U31" s="10" t="str">
        <f>_xlfn.CONCAT("(",K14,")")</f>
        <v>(1383)</v>
      </c>
      <c r="V31" s="15" t="s">
        <v>105</v>
      </c>
    </row>
    <row r="32" spans="1:43" x14ac:dyDescent="0.3">
      <c r="B32" t="s">
        <v>104</v>
      </c>
      <c r="C32" s="5" t="s">
        <v>107</v>
      </c>
      <c r="D32" t="s">
        <v>104</v>
      </c>
      <c r="E32" s="5" t="s">
        <v>117</v>
      </c>
      <c r="F32" t="s">
        <v>104</v>
      </c>
      <c r="G32" s="5" t="s">
        <v>118</v>
      </c>
      <c r="H32" t="s">
        <v>104</v>
      </c>
      <c r="I32" s="5" t="s">
        <v>119</v>
      </c>
      <c r="J32" t="s">
        <v>104</v>
      </c>
      <c r="K32" s="5" t="s">
        <v>120</v>
      </c>
      <c r="L32" t="s">
        <v>104</v>
      </c>
      <c r="M32" s="5" t="s">
        <v>121</v>
      </c>
      <c r="N32" t="s">
        <v>104</v>
      </c>
      <c r="O32" s="5" t="s">
        <v>122</v>
      </c>
      <c r="P32" t="s">
        <v>104</v>
      </c>
      <c r="Q32" s="5" t="s">
        <v>123</v>
      </c>
      <c r="R32" t="s">
        <v>104</v>
      </c>
      <c r="S32" s="5" t="s">
        <v>124</v>
      </c>
      <c r="T32" t="s">
        <v>104</v>
      </c>
      <c r="U32" s="5" t="s">
        <v>125</v>
      </c>
      <c r="V32" s="15" t="s">
        <v>105</v>
      </c>
    </row>
    <row r="33" spans="1:22" x14ac:dyDescent="0.3">
      <c r="A33" t="s">
        <v>23</v>
      </c>
      <c r="B33" t="s">
        <v>104</v>
      </c>
      <c r="C33" s="10">
        <f>L5</f>
        <v>-65.709999999999994</v>
      </c>
      <c r="D33" t="s">
        <v>104</v>
      </c>
      <c r="E33" s="10">
        <f>M5</f>
        <v>-77.48</v>
      </c>
      <c r="F33" t="s">
        <v>104</v>
      </c>
      <c r="G33" s="10">
        <f>N5</f>
        <v>-82.88</v>
      </c>
      <c r="H33" t="s">
        <v>104</v>
      </c>
      <c r="I33" s="10">
        <f>O5</f>
        <v>-91.82</v>
      </c>
      <c r="J33" t="s">
        <v>104</v>
      </c>
      <c r="K33" s="10">
        <f>P5</f>
        <v>-125.7</v>
      </c>
      <c r="L33" t="s">
        <v>104</v>
      </c>
      <c r="M33" s="10">
        <f>Q5</f>
        <v>-170</v>
      </c>
      <c r="N33" t="s">
        <v>104</v>
      </c>
      <c r="O33" s="10">
        <f>R5</f>
        <v>-215.3</v>
      </c>
      <c r="P33" t="s">
        <v>104</v>
      </c>
      <c r="Q33" s="10">
        <f>S5</f>
        <v>-193.4</v>
      </c>
      <c r="R33" t="s">
        <v>104</v>
      </c>
      <c r="S33" s="10">
        <f>T5</f>
        <v>-227.5</v>
      </c>
      <c r="T33" t="s">
        <v>104</v>
      </c>
      <c r="U33" s="10">
        <f>U5</f>
        <v>-328.8</v>
      </c>
      <c r="V33" s="15" t="s">
        <v>105</v>
      </c>
    </row>
    <row r="34" spans="1:22" x14ac:dyDescent="0.3">
      <c r="A34" t="s">
        <v>0</v>
      </c>
      <c r="B34" t="s">
        <v>104</v>
      </c>
      <c r="C34" s="10" t="str">
        <f>_xlfn.CONCAT("(",L6,")")</f>
        <v>(7.666)</v>
      </c>
      <c r="D34" t="s">
        <v>104</v>
      </c>
      <c r="E34" s="10" t="str">
        <f>_xlfn.CONCAT("(",M6,")")</f>
        <v>(8.467)</v>
      </c>
      <c r="F34" t="s">
        <v>104</v>
      </c>
      <c r="G34" s="10" t="str">
        <f>_xlfn.CONCAT("(",N6,")")</f>
        <v>(9.57)</v>
      </c>
      <c r="H34" t="s">
        <v>104</v>
      </c>
      <c r="I34" s="10" t="str">
        <f>_xlfn.CONCAT("(",O6,")")</f>
        <v>(16.9)</v>
      </c>
      <c r="J34" t="s">
        <v>104</v>
      </c>
      <c r="K34" s="10" t="str">
        <f>_xlfn.CONCAT("(",P6,")")</f>
        <v>(23.72)</v>
      </c>
      <c r="L34" t="s">
        <v>104</v>
      </c>
      <c r="M34" s="10" t="str">
        <f>_xlfn.CONCAT("(",Q6,")")</f>
        <v>(32.63)</v>
      </c>
      <c r="N34" t="s">
        <v>104</v>
      </c>
      <c r="O34" s="10" t="str">
        <f>_xlfn.CONCAT("(",R6,")")</f>
        <v>(22.21)</v>
      </c>
      <c r="P34" t="s">
        <v>104</v>
      </c>
      <c r="Q34" s="10" t="str">
        <f>_xlfn.CONCAT("(",S6,")")</f>
        <v>(24.32)</v>
      </c>
      <c r="R34" t="s">
        <v>104</v>
      </c>
      <c r="S34" s="10" t="str">
        <f>_xlfn.CONCAT("(",T6,")")</f>
        <v>(57.62)</v>
      </c>
      <c r="T34" t="s">
        <v>104</v>
      </c>
      <c r="U34" s="10" t="str">
        <f>_xlfn.CONCAT("(",U6,")")</f>
        <v>(154.2)</v>
      </c>
      <c r="V34" s="15" t="s">
        <v>105</v>
      </c>
    </row>
    <row r="35" spans="1:22" x14ac:dyDescent="0.3">
      <c r="A35" t="s">
        <v>24</v>
      </c>
      <c r="B35" t="s">
        <v>104</v>
      </c>
      <c r="C35" s="10">
        <f>L7</f>
        <v>-75.64</v>
      </c>
      <c r="D35" t="s">
        <v>104</v>
      </c>
      <c r="E35" s="10">
        <f>M7</f>
        <v>-84.77</v>
      </c>
      <c r="F35" t="s">
        <v>104</v>
      </c>
      <c r="G35" s="10">
        <f>N7</f>
        <v>-88.42</v>
      </c>
      <c r="H35" t="s">
        <v>104</v>
      </c>
      <c r="I35" s="10">
        <f>O7</f>
        <v>-91.3</v>
      </c>
      <c r="J35" t="s">
        <v>104</v>
      </c>
      <c r="K35" s="10">
        <f>P7</f>
        <v>-95.4</v>
      </c>
      <c r="L35" t="s">
        <v>104</v>
      </c>
      <c r="M35" s="10">
        <f>Q7</f>
        <v>-123.7</v>
      </c>
      <c r="N35" t="s">
        <v>104</v>
      </c>
      <c r="O35" s="10">
        <f>R7</f>
        <v>-146</v>
      </c>
      <c r="P35" t="s">
        <v>104</v>
      </c>
      <c r="Q35" s="10">
        <f>S7</f>
        <v>-109.4</v>
      </c>
      <c r="R35" t="s">
        <v>104</v>
      </c>
      <c r="S35" s="10">
        <f>T7</f>
        <v>-135.69999999999999</v>
      </c>
      <c r="T35" t="s">
        <v>104</v>
      </c>
      <c r="U35" s="10">
        <f>U7</f>
        <v>-115.7</v>
      </c>
      <c r="V35" s="15" t="s">
        <v>105</v>
      </c>
    </row>
    <row r="36" spans="1:22" x14ac:dyDescent="0.3">
      <c r="A36" t="s">
        <v>0</v>
      </c>
      <c r="B36" t="s">
        <v>104</v>
      </c>
      <c r="C36" s="10" t="str">
        <f>_xlfn.CONCAT("(",L8,")")</f>
        <v>(13.72)</v>
      </c>
      <c r="D36" t="s">
        <v>104</v>
      </c>
      <c r="E36" s="10" t="str">
        <f>_xlfn.CONCAT("(",M8,")")</f>
        <v>(15.15)</v>
      </c>
      <c r="F36" t="s">
        <v>104</v>
      </c>
      <c r="G36" s="10" t="str">
        <f>_xlfn.CONCAT("(",N8,")")</f>
        <v>(17.12)</v>
      </c>
      <c r="H36" t="s">
        <v>104</v>
      </c>
      <c r="I36" s="10" t="str">
        <f>_xlfn.CONCAT("(",O8,")")</f>
        <v>(30.24)</v>
      </c>
      <c r="J36" t="s">
        <v>104</v>
      </c>
      <c r="K36" s="10" t="str">
        <f>_xlfn.CONCAT("(",P8,")")</f>
        <v>(42.44)</v>
      </c>
      <c r="L36" t="s">
        <v>104</v>
      </c>
      <c r="M36" s="10" t="str">
        <f>_xlfn.CONCAT("(",Q8,")")</f>
        <v>(58.38)</v>
      </c>
      <c r="N36" t="s">
        <v>104</v>
      </c>
      <c r="O36" s="10" t="str">
        <f>_xlfn.CONCAT("(",R8,")")</f>
        <v>(39.75)</v>
      </c>
      <c r="P36" t="s">
        <v>104</v>
      </c>
      <c r="Q36" s="10" t="str">
        <f>_xlfn.CONCAT("(",S8,")")</f>
        <v>(43.51)</v>
      </c>
      <c r="R36" t="s">
        <v>104</v>
      </c>
      <c r="S36" s="10" t="str">
        <f>_xlfn.CONCAT("(",T8,")")</f>
        <v>(103.1)</v>
      </c>
      <c r="T36" t="s">
        <v>104</v>
      </c>
      <c r="U36" s="10" t="str">
        <f>_xlfn.CONCAT("(",U8,")")</f>
        <v>(276)</v>
      </c>
      <c r="V36" s="15" t="s">
        <v>105</v>
      </c>
    </row>
    <row r="37" spans="1:22" x14ac:dyDescent="0.3">
      <c r="A37" t="s">
        <v>25</v>
      </c>
      <c r="B37" t="s">
        <v>104</v>
      </c>
      <c r="C37" s="10">
        <f>L9</f>
        <v>-19.62</v>
      </c>
      <c r="D37" t="s">
        <v>104</v>
      </c>
      <c r="E37" s="10">
        <f>M9</f>
        <v>-20.8</v>
      </c>
      <c r="F37" t="s">
        <v>104</v>
      </c>
      <c r="G37" s="10">
        <f>N9</f>
        <v>-23.41</v>
      </c>
      <c r="H37" t="s">
        <v>104</v>
      </c>
      <c r="I37" s="10">
        <f>O9</f>
        <v>-31.51</v>
      </c>
      <c r="J37" t="s">
        <v>104</v>
      </c>
      <c r="K37" s="10">
        <f>P9</f>
        <v>-38.07</v>
      </c>
      <c r="L37" t="s">
        <v>104</v>
      </c>
      <c r="M37" s="10">
        <f>Q9</f>
        <v>-51.28</v>
      </c>
      <c r="N37" t="s">
        <v>104</v>
      </c>
      <c r="O37" s="10">
        <f>R9</f>
        <v>-55.6</v>
      </c>
      <c r="P37" t="s">
        <v>104</v>
      </c>
      <c r="Q37" s="10">
        <f>S9</f>
        <v>-53.24</v>
      </c>
      <c r="R37" t="s">
        <v>104</v>
      </c>
      <c r="S37" s="10">
        <f>T9</f>
        <v>-40.36</v>
      </c>
      <c r="T37" t="s">
        <v>104</v>
      </c>
      <c r="U37" s="10">
        <f>U9</f>
        <v>-122</v>
      </c>
      <c r="V37" s="15" t="s">
        <v>105</v>
      </c>
    </row>
    <row r="38" spans="1:22" x14ac:dyDescent="0.3">
      <c r="A38" t="s">
        <v>0</v>
      </c>
      <c r="B38" t="s">
        <v>104</v>
      </c>
      <c r="C38" s="10" t="str">
        <f>_xlfn.CONCAT("(",L10,")")</f>
        <v>(1.437)</v>
      </c>
      <c r="D38" t="s">
        <v>104</v>
      </c>
      <c r="E38" s="10" t="str">
        <f>_xlfn.CONCAT("(",M10,")")</f>
        <v>(1.587)</v>
      </c>
      <c r="F38" t="s">
        <v>104</v>
      </c>
      <c r="G38" s="10" t="str">
        <f>_xlfn.CONCAT("(",N10,")")</f>
        <v>(1.794)</v>
      </c>
      <c r="H38" t="s">
        <v>104</v>
      </c>
      <c r="I38" s="10" t="str">
        <f>_xlfn.CONCAT("(",O10,")")</f>
        <v>(3.167)</v>
      </c>
      <c r="J38" t="s">
        <v>104</v>
      </c>
      <c r="K38" s="10" t="str">
        <f>_xlfn.CONCAT("(",P10,")")</f>
        <v>(4.446)</v>
      </c>
      <c r="L38" t="s">
        <v>104</v>
      </c>
      <c r="M38" s="10" t="str">
        <f>_xlfn.CONCAT("(",Q10,")")</f>
        <v>(6.116)</v>
      </c>
      <c r="N38" t="s">
        <v>104</v>
      </c>
      <c r="O38" s="10" t="str">
        <f>_xlfn.CONCAT("(",R10,")")</f>
        <v>(4.164)</v>
      </c>
      <c r="P38" t="s">
        <v>104</v>
      </c>
      <c r="Q38" s="10" t="str">
        <f>_xlfn.CONCAT("(",S10,")")</f>
        <v>(4.558)</v>
      </c>
      <c r="R38" t="s">
        <v>104</v>
      </c>
      <c r="S38" s="10" t="str">
        <f>_xlfn.CONCAT("(",T10,")")</f>
        <v>(10.8)</v>
      </c>
      <c r="T38" t="s">
        <v>104</v>
      </c>
      <c r="U38" s="10" t="str">
        <f>_xlfn.CONCAT("(",U10,")")</f>
        <v>(28.91)</v>
      </c>
      <c r="V38" s="15" t="s">
        <v>105</v>
      </c>
    </row>
    <row r="39" spans="1:22" x14ac:dyDescent="0.3">
      <c r="A39" t="s">
        <v>37</v>
      </c>
      <c r="B39" t="s">
        <v>104</v>
      </c>
      <c r="C39" s="10">
        <f>L11</f>
        <v>3.2669999999999999</v>
      </c>
      <c r="D39" t="s">
        <v>104</v>
      </c>
      <c r="E39" s="10">
        <f>M11</f>
        <v>3.5110000000000001</v>
      </c>
      <c r="F39" t="s">
        <v>104</v>
      </c>
      <c r="G39" s="10">
        <f>N11</f>
        <v>3.6339999999999999</v>
      </c>
      <c r="H39" t="s">
        <v>104</v>
      </c>
      <c r="I39" s="10">
        <f>O11</f>
        <v>4.1180000000000003</v>
      </c>
      <c r="J39" t="s">
        <v>104</v>
      </c>
      <c r="K39" s="10">
        <f>P11</f>
        <v>4.51</v>
      </c>
      <c r="L39" t="s">
        <v>104</v>
      </c>
      <c r="M39" s="10">
        <f>Q11</f>
        <v>5.2969999999999997</v>
      </c>
      <c r="N39" t="s">
        <v>104</v>
      </c>
      <c r="O39" s="10">
        <f>R11</f>
        <v>8.18</v>
      </c>
      <c r="P39" t="s">
        <v>104</v>
      </c>
      <c r="Q39" s="10">
        <f>S11</f>
        <v>7.6029999999999998</v>
      </c>
      <c r="R39" t="s">
        <v>104</v>
      </c>
      <c r="S39" s="10">
        <f>T11</f>
        <v>8.7439999999999998</v>
      </c>
      <c r="T39" t="s">
        <v>104</v>
      </c>
      <c r="U39" s="10">
        <f>U11</f>
        <v>4.5339999999999998</v>
      </c>
      <c r="V39" s="15" t="s">
        <v>105</v>
      </c>
    </row>
    <row r="40" spans="1:22" x14ac:dyDescent="0.3">
      <c r="B40" t="s">
        <v>104</v>
      </c>
      <c r="C40" s="10" t="str">
        <f>_xlfn.CONCAT("(",L12,")")</f>
        <v>(0.805)</v>
      </c>
      <c r="D40" t="s">
        <v>104</v>
      </c>
      <c r="E40" s="10" t="str">
        <f>_xlfn.CONCAT("(",M12,")")</f>
        <v>(0.889)</v>
      </c>
      <c r="F40" t="s">
        <v>104</v>
      </c>
      <c r="G40" s="10" t="str">
        <f>_xlfn.CONCAT("(",N12,")")</f>
        <v>(1.005)</v>
      </c>
      <c r="H40" t="s">
        <v>104</v>
      </c>
      <c r="I40" s="10" t="str">
        <f>_xlfn.CONCAT("(",O12,")")</f>
        <v>(1.775)</v>
      </c>
      <c r="J40" t="s">
        <v>104</v>
      </c>
      <c r="K40" s="10" t="str">
        <f>_xlfn.CONCAT("(",P12,")")</f>
        <v>(2.491)</v>
      </c>
      <c r="L40" t="s">
        <v>104</v>
      </c>
      <c r="M40" s="10" t="str">
        <f>_xlfn.CONCAT("(",Q12,")")</f>
        <v>(3.427)</v>
      </c>
      <c r="N40" t="s">
        <v>104</v>
      </c>
      <c r="O40" s="10" t="str">
        <f>_xlfn.CONCAT("(",R12,")")</f>
        <v>(2.333)</v>
      </c>
      <c r="P40" t="s">
        <v>104</v>
      </c>
      <c r="Q40" s="10" t="str">
        <f>_xlfn.CONCAT("(",S12,")")</f>
        <v>(2.554)</v>
      </c>
      <c r="R40" t="s">
        <v>104</v>
      </c>
      <c r="S40" s="10" t="str">
        <f>_xlfn.CONCAT("(",T12,")")</f>
        <v>(6.053)</v>
      </c>
      <c r="T40" t="s">
        <v>104</v>
      </c>
      <c r="U40" s="10" t="str">
        <f>_xlfn.CONCAT("(",U12,")")</f>
        <v>(16.2)</v>
      </c>
      <c r="V40" s="15" t="s">
        <v>105</v>
      </c>
    </row>
    <row r="41" spans="1:22" x14ac:dyDescent="0.3">
      <c r="A41" t="s">
        <v>26</v>
      </c>
      <c r="B41" t="s">
        <v>104</v>
      </c>
      <c r="C41" s="10">
        <f>L13</f>
        <v>-6243</v>
      </c>
      <c r="D41" t="s">
        <v>104</v>
      </c>
      <c r="E41" s="10">
        <f>M13</f>
        <v>-6685</v>
      </c>
      <c r="F41" t="s">
        <v>104</v>
      </c>
      <c r="G41" s="10">
        <f>N13</f>
        <v>-6901</v>
      </c>
      <c r="H41" t="s">
        <v>104</v>
      </c>
      <c r="I41" s="10">
        <f>O13</f>
        <v>-7842</v>
      </c>
      <c r="J41" t="s">
        <v>104</v>
      </c>
      <c r="K41" s="10">
        <f>P13</f>
        <v>-8524</v>
      </c>
      <c r="L41" t="s">
        <v>104</v>
      </c>
      <c r="M41" s="10">
        <f>Q13</f>
        <v>-9942</v>
      </c>
      <c r="N41" t="s">
        <v>104</v>
      </c>
      <c r="O41" s="10">
        <f>R13</f>
        <v>-15535</v>
      </c>
      <c r="P41" t="s">
        <v>104</v>
      </c>
      <c r="Q41" s="10">
        <f>S13</f>
        <v>-14399</v>
      </c>
      <c r="R41" t="s">
        <v>104</v>
      </c>
      <c r="S41" s="10">
        <f>T13</f>
        <v>-16414</v>
      </c>
      <c r="T41" t="s">
        <v>104</v>
      </c>
      <c r="U41" s="10">
        <f>U13</f>
        <v>-7523</v>
      </c>
      <c r="V41" s="15" t="s">
        <v>105</v>
      </c>
    </row>
    <row r="42" spans="1:22" x14ac:dyDescent="0.3">
      <c r="A42" t="s">
        <v>0</v>
      </c>
      <c r="B42" t="s">
        <v>104</v>
      </c>
      <c r="C42" s="10" t="str">
        <f>_xlfn.CONCAT("(",L14,")")</f>
        <v>(1627)</v>
      </c>
      <c r="D42" t="s">
        <v>104</v>
      </c>
      <c r="E42" s="10" t="str">
        <f>_xlfn.CONCAT("(",M14,")")</f>
        <v>(1797)</v>
      </c>
      <c r="F42" t="s">
        <v>104</v>
      </c>
      <c r="G42" s="10" t="str">
        <f>_xlfn.CONCAT("(",N14,")")</f>
        <v>(2031)</v>
      </c>
      <c r="H42" t="s">
        <v>104</v>
      </c>
      <c r="I42" s="10" t="str">
        <f>_xlfn.CONCAT("(",O14,")")</f>
        <v>(3586)</v>
      </c>
      <c r="J42" t="s">
        <v>104</v>
      </c>
      <c r="K42" s="10" t="str">
        <f>_xlfn.CONCAT("(",P14,")")</f>
        <v>(5033)</v>
      </c>
      <c r="L42" t="s">
        <v>104</v>
      </c>
      <c r="M42" s="10" t="str">
        <f>_xlfn.CONCAT("(",Q14,")")</f>
        <v>(6924)</v>
      </c>
      <c r="N42" t="s">
        <v>104</v>
      </c>
      <c r="O42" s="10" t="str">
        <f>_xlfn.CONCAT("(",R14,")")</f>
        <v>(4714)</v>
      </c>
      <c r="P42" t="s">
        <v>104</v>
      </c>
      <c r="Q42" s="10" t="str">
        <f>_xlfn.CONCAT("(",S14,")")</f>
        <v>(5160)</v>
      </c>
      <c r="R42" t="s">
        <v>104</v>
      </c>
      <c r="S42" s="10" t="str">
        <f>_xlfn.CONCAT("(",T14,")")</f>
        <v>(12228)</v>
      </c>
      <c r="T42" t="s">
        <v>104</v>
      </c>
      <c r="U42" s="10" t="str">
        <f>_xlfn.CONCAT("(",U14,")")</f>
        <v>(32728)</v>
      </c>
      <c r="V42" s="15" t="s">
        <v>105</v>
      </c>
    </row>
  </sheetData>
  <hyperlinks>
    <hyperlink ref="V33" r:id="rId1" xr:uid="{FDCBFCDB-ABB1-4320-BB57-0D2E07A26091}"/>
    <hyperlink ref="V34:V42" r:id="rId2" display="\\" xr:uid="{41BE9940-EB57-4A2A-851A-1E80585D7F40}"/>
    <hyperlink ref="V32" r:id="rId3" xr:uid="{FE0F4B57-4981-46E0-A6B9-5D34FAB7BBD2}"/>
    <hyperlink ref="V21:V31" r:id="rId4" display="\\" xr:uid="{1C88EF2F-53C2-49B8-A326-E0630DE55F70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D9A1-7604-4B1A-A942-2D24BDAC1BF9}">
  <dimension ref="A1:T15"/>
  <sheetViews>
    <sheetView workbookViewId="0">
      <selection activeCell="L10" sqref="L10"/>
    </sheetView>
  </sheetViews>
  <sheetFormatPr defaultRowHeight="13" x14ac:dyDescent="0.3"/>
  <sheetData>
    <row r="1" spans="1:20" x14ac:dyDescent="0.3">
      <c r="A1" t="s">
        <v>101</v>
      </c>
      <c r="B1" s="5">
        <v>0.05</v>
      </c>
      <c r="C1" s="6">
        <f>5%+B1</f>
        <v>0.1</v>
      </c>
      <c r="D1" s="6">
        <f>5%+C1</f>
        <v>0.15000000000000002</v>
      </c>
      <c r="E1" s="6">
        <f t="shared" ref="E1:T1" si="0">5%+D1</f>
        <v>0.2</v>
      </c>
      <c r="F1" s="6">
        <f t="shared" si="0"/>
        <v>0.25</v>
      </c>
      <c r="G1" s="6">
        <f t="shared" si="0"/>
        <v>0.3</v>
      </c>
      <c r="H1" s="6">
        <f t="shared" si="0"/>
        <v>0.35</v>
      </c>
      <c r="I1" s="6">
        <f t="shared" si="0"/>
        <v>0.39999999999999997</v>
      </c>
      <c r="J1" s="6">
        <f t="shared" si="0"/>
        <v>0.44999999999999996</v>
      </c>
      <c r="K1" s="6">
        <f t="shared" si="0"/>
        <v>0.49999999999999994</v>
      </c>
      <c r="L1" s="6">
        <f t="shared" si="0"/>
        <v>0.54999999999999993</v>
      </c>
      <c r="M1" s="6">
        <f t="shared" si="0"/>
        <v>0.6</v>
      </c>
      <c r="N1" s="6">
        <f t="shared" si="0"/>
        <v>0.65</v>
      </c>
      <c r="O1" s="6">
        <f t="shared" si="0"/>
        <v>0.70000000000000007</v>
      </c>
      <c r="P1" s="6">
        <f t="shared" si="0"/>
        <v>0.75000000000000011</v>
      </c>
      <c r="Q1" s="6">
        <f t="shared" si="0"/>
        <v>0.80000000000000016</v>
      </c>
      <c r="R1" s="6">
        <f t="shared" si="0"/>
        <v>0.8500000000000002</v>
      </c>
      <c r="S1" s="6">
        <f t="shared" si="0"/>
        <v>0.90000000000000024</v>
      </c>
      <c r="T1" s="6">
        <f t="shared" si="0"/>
        <v>0.95000000000000029</v>
      </c>
    </row>
    <row r="2" spans="1:20" x14ac:dyDescent="0.3">
      <c r="A2" t="s">
        <v>36</v>
      </c>
      <c r="B2" s="14">
        <f>risk!B28+time!B29</f>
        <v>-1.2967923839571398</v>
      </c>
      <c r="C2" s="14">
        <f>risk!C28+time!C29</f>
        <v>-2.4074486332699934</v>
      </c>
      <c r="D2" s="14">
        <f>risk!D28+time!D29</f>
        <v>-3.1854318431953157</v>
      </c>
      <c r="E2" s="14">
        <f>risk!E28+time!E29</f>
        <v>-3.081929790377604</v>
      </c>
      <c r="F2" s="14">
        <f>risk!F28+time!F29</f>
        <v>-3.8847471811158982</v>
      </c>
      <c r="G2" s="14">
        <f>risk!G28+time!G29</f>
        <v>-5.2424541078138063</v>
      </c>
      <c r="H2" s="14">
        <f>risk!H28+time!H29</f>
        <v>-6.3940428864047973</v>
      </c>
      <c r="I2" s="14">
        <f>risk!I28+time!I29</f>
        <v>-7.043687213668349</v>
      </c>
      <c r="J2" s="14">
        <f>risk!J28+time!J29</f>
        <v>-6.924271632071509</v>
      </c>
      <c r="K2" s="14">
        <f>risk!K28+time!K29</f>
        <v>-8.211019456688831</v>
      </c>
      <c r="L2" s="14">
        <f>risk!L28+time!L29</f>
        <v>-9.8089211417020152</v>
      </c>
      <c r="M2" s="14">
        <f>risk!M28+time!M29</f>
        <v>-10.557530886762109</v>
      </c>
      <c r="N2" s="14">
        <f>risk!N28+time!N29</f>
        <v>-11.887900319980488</v>
      </c>
      <c r="O2" s="14">
        <f>risk!O28+time!O29</f>
        <v>-17.125687104114888</v>
      </c>
      <c r="P2" s="14">
        <f>risk!P28+time!P29</f>
        <v>-23.314349539020952</v>
      </c>
      <c r="Q2" s="14">
        <f>risk!Q28+time!Q29</f>
        <v>-29.833733636595895</v>
      </c>
      <c r="R2" s="14">
        <f>risk!R28+time!R29</f>
        <v>-27.424889146564425</v>
      </c>
      <c r="S2" s="14">
        <f>risk!S28+time!S29</f>
        <v>-32.058680307347259</v>
      </c>
      <c r="T2" s="14">
        <f>risk!T28+time!T29</f>
        <v>-48.647679721442614</v>
      </c>
    </row>
    <row r="3" spans="1:20" x14ac:dyDescent="0.3">
      <c r="B3" s="14">
        <v>-4.8003749432908496</v>
      </c>
      <c r="C3" s="14">
        <v>-7.2405612968551996</v>
      </c>
      <c r="D3" s="14">
        <v>-9.3936666965133995</v>
      </c>
      <c r="E3" s="14">
        <v>-10.1537686332587</v>
      </c>
      <c r="F3" s="14">
        <v>-12.9662259118916</v>
      </c>
      <c r="G3" s="14">
        <v>-17.2395426559073</v>
      </c>
      <c r="H3" s="14">
        <v>-21.044177739031898</v>
      </c>
      <c r="I3" s="14">
        <v>-24.121449632264699</v>
      </c>
      <c r="J3" s="14">
        <v>-24.887389685968898</v>
      </c>
      <c r="K3" s="14">
        <v>-28.878679379956299</v>
      </c>
      <c r="L3" s="14">
        <v>-34.040783770581697</v>
      </c>
      <c r="M3" s="14">
        <v>-36.407824659042703</v>
      </c>
      <c r="N3" s="14">
        <v>-40.318965350985799</v>
      </c>
      <c r="O3" s="14">
        <v>-55.1246183509299</v>
      </c>
      <c r="P3" s="14">
        <v>-74.539157128961506</v>
      </c>
      <c r="Q3" s="14">
        <v>-94.375937895911207</v>
      </c>
      <c r="R3" s="14">
        <v>-84.723708327093902</v>
      </c>
      <c r="S3" s="14">
        <v>-99.6789727662118</v>
      </c>
      <c r="T3" s="14">
        <v>-143.869558986268</v>
      </c>
    </row>
    <row r="4" spans="1:20" x14ac:dyDescent="0.3">
      <c r="A4" t="s">
        <v>102</v>
      </c>
      <c r="B4" s="14">
        <f>risk!B40+time!B35</f>
        <v>-4.1446908651258934</v>
      </c>
      <c r="C4" s="14">
        <f>risk!C40+time!C35</f>
        <v>-6.8342924024016707</v>
      </c>
      <c r="D4" s="14">
        <f>risk!D40+time!D35</f>
        <v>-8.9467220230964717</v>
      </c>
      <c r="E4" s="14">
        <f>risk!E40+time!E35</f>
        <v>-9.2043670073611032</v>
      </c>
      <c r="F4" s="14">
        <f>risk!F40+time!F35</f>
        <v>-11.688236148043615</v>
      </c>
      <c r="G4" s="14">
        <f>risk!G40+time!G35</f>
        <v>-15.640266269046045</v>
      </c>
      <c r="H4" s="14">
        <f>risk!H40+time!H35</f>
        <v>-19.085008095430453</v>
      </c>
      <c r="I4" s="14">
        <f>risk!I40+time!I35</f>
        <v>-21.507472679338179</v>
      </c>
      <c r="J4" s="14">
        <f>risk!J40+time!J35</f>
        <v>-21.747579627170055</v>
      </c>
      <c r="K4" s="14">
        <f>risk!K40+time!K35</f>
        <v>-25.462853957647596</v>
      </c>
      <c r="L4" s="14">
        <f>risk!L40+time!L35</f>
        <v>-30.182393556764765</v>
      </c>
      <c r="M4" s="14">
        <f>risk!M40+time!M35</f>
        <v>-32.367029441197317</v>
      </c>
      <c r="N4" s="14">
        <f>risk!N40+time!N35</f>
        <v>-36.097354587750345</v>
      </c>
      <c r="O4" s="14">
        <f>risk!O40+time!O35</f>
        <v>-50.478827601063045</v>
      </c>
      <c r="P4" s="14">
        <f>risk!P40+time!P35</f>
        <v>-68.459932995372782</v>
      </c>
      <c r="Q4" s="14">
        <f>risk!Q40+time!Q35</f>
        <v>-87.0852565139935</v>
      </c>
      <c r="R4" s="14">
        <f>risk!R40+time!R35</f>
        <v>-79.007832539995519</v>
      </c>
      <c r="S4" s="14">
        <f>risk!S40+time!S35</f>
        <v>-92.686700127878737</v>
      </c>
      <c r="T4" s="14">
        <f>risk!T40+time!T35</f>
        <v>-136.84484050703063</v>
      </c>
    </row>
    <row r="5" spans="1:20" x14ac:dyDescent="0.3">
      <c r="B5" s="14">
        <v>-8.7061369826563109</v>
      </c>
      <c r="C5" s="14">
        <v>-9.0076464718590401</v>
      </c>
      <c r="D5" s="14">
        <v>-11.1199545294802</v>
      </c>
      <c r="E5" s="14">
        <v>-15.3190865902419</v>
      </c>
      <c r="F5" s="14">
        <v>-20.0266291479535</v>
      </c>
      <c r="G5" s="14">
        <v>-25.9198529295988</v>
      </c>
      <c r="H5" s="14">
        <v>-31.689316444385199</v>
      </c>
      <c r="I5" s="14">
        <v>-38.929774153560402</v>
      </c>
      <c r="J5" s="14">
        <v>-43.299789616646201</v>
      </c>
      <c r="K5" s="14">
        <v>-48.633755883875402</v>
      </c>
      <c r="L5" s="14">
        <v>-56.138057894997097</v>
      </c>
      <c r="M5" s="14">
        <v>-59.433809645094598</v>
      </c>
      <c r="N5" s="14">
        <v>-64.026171061913203</v>
      </c>
      <c r="O5" s="14">
        <v>-79.568486235027706</v>
      </c>
      <c r="P5" s="14">
        <v>-106.15691650424699</v>
      </c>
      <c r="Q5" s="14">
        <v>-131.532087224359</v>
      </c>
      <c r="R5" s="14">
        <v>-112.211892793179</v>
      </c>
      <c r="S5" s="14">
        <v>-133.91197186341799</v>
      </c>
      <c r="T5" s="14">
        <v>-171.57117284591899</v>
      </c>
    </row>
    <row r="6" spans="1:20" x14ac:dyDescent="0.3">
      <c r="A6" t="s">
        <v>41</v>
      </c>
      <c r="B6" s="14">
        <f>risk!B34+time!B41</f>
        <v>2.867923243934003</v>
      </c>
      <c r="C6" s="14">
        <f>risk!C34+time!C41</f>
        <v>-6.2822751362816405</v>
      </c>
      <c r="D6" s="14">
        <f>risk!D34+time!D41</f>
        <v>-9.6093639550562635</v>
      </c>
      <c r="E6" s="14">
        <f>risk!E34+time!E41</f>
        <v>-1.8982593800133607</v>
      </c>
      <c r="F6" s="14">
        <f>risk!F34+time!F41</f>
        <v>-1.2295379159165662</v>
      </c>
      <c r="G6" s="14">
        <f>risk!G34+time!G41</f>
        <v>-3.4534586085106511</v>
      </c>
      <c r="H6" s="14">
        <f>risk!H34+time!H41</f>
        <v>-4.0891770645012073</v>
      </c>
      <c r="I6" s="14">
        <f>risk!I34+time!I41</f>
        <v>2.0179139895748364</v>
      </c>
      <c r="J6" s="14">
        <f>risk!J34+time!J41</f>
        <v>10.143460522568404</v>
      </c>
      <c r="K6" s="14">
        <f>risk!K34+time!K41</f>
        <v>7.6281822212321941</v>
      </c>
      <c r="L6" s="14">
        <f>risk!L34+time!L41</f>
        <v>5.9330446877215763</v>
      </c>
      <c r="M6" s="14">
        <f>risk!M34+time!M41</f>
        <v>4.7820258838962673</v>
      </c>
      <c r="N6" s="14">
        <f>risk!N34+time!N41</f>
        <v>0.68509959355296246</v>
      </c>
      <c r="O6" s="14">
        <f>risk!O34+time!O41</f>
        <v>-19.562433921973465</v>
      </c>
      <c r="P6" s="14">
        <f>risk!P34+time!P41</f>
        <v>-30.143773412866182</v>
      </c>
      <c r="Q6" s="14">
        <f>risk!Q34+time!Q41</f>
        <v>-45.563722305636588</v>
      </c>
      <c r="R6" s="14">
        <f>risk!R34+time!R41</f>
        <v>-55.998045762096467</v>
      </c>
      <c r="S6" s="14">
        <f>risk!S34+time!S41</f>
        <v>-61.014091635974296</v>
      </c>
      <c r="T6" s="14">
        <f>risk!T34+time!T41</f>
        <v>-143.90425256769728</v>
      </c>
    </row>
    <row r="7" spans="1:20" x14ac:dyDescent="0.3">
      <c r="B7" s="14">
        <v>2.43842526352213</v>
      </c>
      <c r="C7" s="14">
        <v>-6.4556144115890799</v>
      </c>
      <c r="D7" s="14">
        <v>-9.7667183225135599</v>
      </c>
      <c r="E7" s="14">
        <v>-2.4499948707263801</v>
      </c>
      <c r="F7" s="14">
        <v>-1.9876004963582401</v>
      </c>
      <c r="G7" s="14">
        <v>-4.3798962774202099</v>
      </c>
      <c r="H7" s="14">
        <v>-5.2257355472670399</v>
      </c>
      <c r="I7" s="14">
        <v>0.41482996529814897</v>
      </c>
      <c r="J7" s="14">
        <v>8.12838952151656</v>
      </c>
      <c r="K7" s="14">
        <v>5.4754728266969499</v>
      </c>
      <c r="L7" s="14">
        <v>3.5325378803393299</v>
      </c>
      <c r="M7" s="14">
        <v>2.28463331174683</v>
      </c>
      <c r="N7" s="14">
        <v>-1.8740610705613501</v>
      </c>
      <c r="O7" s="14">
        <v>-22.143170831098399</v>
      </c>
      <c r="P7" s="14">
        <v>-33.468079070850003</v>
      </c>
      <c r="Q7" s="14">
        <v>-49.441348822713799</v>
      </c>
      <c r="R7" s="14">
        <v>-58.802997207169398</v>
      </c>
      <c r="S7" s="14">
        <v>-64.532239330411301</v>
      </c>
      <c r="T7" s="14">
        <v>-146.48091550302399</v>
      </c>
    </row>
    <row r="8" spans="1:20" x14ac:dyDescent="0.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x14ac:dyDescent="0.3">
      <c r="A9" t="s">
        <v>103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x14ac:dyDescent="0.3">
      <c r="A10" t="s">
        <v>36</v>
      </c>
      <c r="B10" s="14">
        <f>risk!B28+time!B29+rsB!B33</f>
        <v>-1.2309091092441014</v>
      </c>
      <c r="C10" s="14">
        <f>risk!C28+time!C29+rsB!C33</f>
        <v>-2.263068355615629</v>
      </c>
      <c r="D10" s="14">
        <f>risk!D28+time!D29+rsB!D33</f>
        <v>-2.9947143572973642</v>
      </c>
      <c r="E10" s="14">
        <f>risk!E28+time!E29+rsB!E33</f>
        <v>-2.7675247958609486</v>
      </c>
      <c r="F10" s="14">
        <f>risk!F28+time!F29+rsB!F33</f>
        <v>-3.5874906022484474</v>
      </c>
      <c r="G10" s="14">
        <f>risk!G28+time!G29+rsB!G33</f>
        <v>-4.9586973455212568</v>
      </c>
      <c r="H10" s="14">
        <f>risk!H28+time!H29+rsB!H33</f>
        <v>-6.1227956066526978</v>
      </c>
      <c r="I10" s="14">
        <f>risk!I28+time!I29+rsB!I33</f>
        <v>-6.5565471144056353</v>
      </c>
      <c r="J10" s="14">
        <f>risk!J28+time!J29+rsB!J33</f>
        <v>-6.2727360830897148</v>
      </c>
      <c r="K10" s="14">
        <f>risk!K28+time!K29+rsB!K33</f>
        <v>-7.1883692590070112</v>
      </c>
      <c r="L10" s="14">
        <f>risk!L28+time!L29+rsB!L33</f>
        <v>-8.724765988196296</v>
      </c>
      <c r="M10" s="14">
        <f>risk!M28+time!M29+rsB!M33</f>
        <v>-9.3373351106290059</v>
      </c>
      <c r="N10" s="14">
        <f>risk!N28+time!N29+rsB!N33</f>
        <v>-10.24550950810719</v>
      </c>
      <c r="O10" s="14">
        <f>risk!O28+time!O29+rsB!O33</f>
        <v>-15.141370436135958</v>
      </c>
      <c r="P10" s="14">
        <f>risk!P28+time!P29+rsB!P33</f>
        <v>-20.641490102878038</v>
      </c>
      <c r="Q10" s="14">
        <f>risk!Q28+time!Q29+rsB!Q33</f>
        <v>-26.935703514724892</v>
      </c>
      <c r="R10" s="14">
        <f>risk!R28+time!R29+rsB!R33</f>
        <v>-24.64986893634115</v>
      </c>
      <c r="S10" s="14">
        <f>risk!S28+time!S29+rsB!S33</f>
        <v>-29.95500232679484</v>
      </c>
      <c r="T10" s="14">
        <f>risk!T28+time!T29+rsB!T33</f>
        <v>-42.288692763380311</v>
      </c>
    </row>
    <row r="11" spans="1:20" x14ac:dyDescent="0.3">
      <c r="B11" s="14">
        <v>-4.7289413632720096</v>
      </c>
      <c r="C11" s="14">
        <v>-7.0835208074487097</v>
      </c>
      <c r="D11" s="14">
        <v>-9.1861691545539106</v>
      </c>
      <c r="E11" s="14">
        <v>-9.8119079288828193</v>
      </c>
      <c r="F11" s="14">
        <v>-12.6430740022825</v>
      </c>
      <c r="G11" s="14">
        <v>-16.931131008841799</v>
      </c>
      <c r="H11" s="14">
        <v>-20.7493724881605</v>
      </c>
      <c r="I11" s="14">
        <v>-23.591367113870898</v>
      </c>
      <c r="J11" s="14">
        <v>-24.178723217527999</v>
      </c>
      <c r="K11" s="14">
        <v>-27.7663564910915</v>
      </c>
      <c r="L11" s="14">
        <v>-32.861562767095997</v>
      </c>
      <c r="M11" s="14">
        <v>-35.080634096946604</v>
      </c>
      <c r="N11" s="14">
        <v>-38.532558917340097</v>
      </c>
      <c r="O11" s="14">
        <v>-52.966303754646397</v>
      </c>
      <c r="P11" s="14">
        <v>-71.631923808829598</v>
      </c>
      <c r="Q11" s="14">
        <v>-91.223789444286098</v>
      </c>
      <c r="R11" s="14">
        <v>-81.705356104710503</v>
      </c>
      <c r="S11" s="14">
        <v>-97.390830472909798</v>
      </c>
      <c r="T11" s="14">
        <v>-136.95297425428501</v>
      </c>
    </row>
    <row r="12" spans="1:20" x14ac:dyDescent="0.3">
      <c r="A12" t="s">
        <v>102</v>
      </c>
      <c r="B12" s="14">
        <f>risk!B40+time!B35+rsB!B33</f>
        <v>-4.0788075904128549</v>
      </c>
      <c r="C12" s="14">
        <f>risk!C40+time!C35+rsB!C33</f>
        <v>-6.6899121247473063</v>
      </c>
      <c r="D12" s="14">
        <f>risk!D40+time!D35+rsB!D33</f>
        <v>-8.7560045371985211</v>
      </c>
      <c r="E12" s="14">
        <f>risk!E40+time!E35+rsB!E33</f>
        <v>-8.8899620128444479</v>
      </c>
      <c r="F12" s="14">
        <f>risk!F40+time!F35+rsB!F33</f>
        <v>-11.390979569176164</v>
      </c>
      <c r="G12" s="14">
        <f>risk!G40+time!G35+rsB!G33</f>
        <v>-15.356509506753495</v>
      </c>
      <c r="H12" s="14">
        <f>risk!H40+time!H35+rsB!H33</f>
        <v>-18.813760815678354</v>
      </c>
      <c r="I12" s="14">
        <f>risk!I40+time!I35+rsB!I33</f>
        <v>-21.020332580075465</v>
      </c>
      <c r="J12" s="14">
        <f>risk!J40+time!J35+rsB!J33</f>
        <v>-21.09604407818826</v>
      </c>
      <c r="K12" s="14">
        <f>risk!K40+time!K35+rsB!K33</f>
        <v>-24.440203759965776</v>
      </c>
      <c r="L12" s="14">
        <f>risk!L40+time!L35+rsB!L33</f>
        <v>-29.098238403259046</v>
      </c>
      <c r="M12" s="14">
        <f>risk!M40+time!M35+rsB!M33</f>
        <v>-31.146833665064214</v>
      </c>
      <c r="N12" s="14">
        <f>risk!N40+time!N35+rsB!N33</f>
        <v>-34.454963775877047</v>
      </c>
      <c r="O12" s="14">
        <f>risk!O40+time!O35+rsB!O33</f>
        <v>-48.494510933084115</v>
      </c>
      <c r="P12" s="14">
        <f>risk!P40+time!P35+rsB!P33</f>
        <v>-65.787073559229867</v>
      </c>
      <c r="Q12" s="14">
        <f>risk!Q40+time!Q35+rsB!Q33</f>
        <v>-84.187226392122497</v>
      </c>
      <c r="R12" s="14">
        <f>risk!R40+time!R35+rsB!R33</f>
        <v>-76.232812329772244</v>
      </c>
      <c r="S12" s="14">
        <f>risk!S40+time!S35+rsB!S33</f>
        <v>-90.583022147326318</v>
      </c>
      <c r="T12" s="14">
        <f>risk!T40+time!T35+rsB!T33</f>
        <v>-130.48585354896832</v>
      </c>
    </row>
    <row r="13" spans="1:20" x14ac:dyDescent="0.3">
      <c r="B13" s="14">
        <v>-8.63470340263747</v>
      </c>
      <c r="C13" s="14">
        <v>-8.8506059824525298</v>
      </c>
      <c r="D13" s="14">
        <v>-10.9124569875207</v>
      </c>
      <c r="E13" s="14">
        <v>-14.977225885866</v>
      </c>
      <c r="F13" s="14">
        <v>-19.703477238344401</v>
      </c>
      <c r="G13" s="14">
        <v>-25.611441282533299</v>
      </c>
      <c r="H13" s="14">
        <v>-31.3945111935138</v>
      </c>
      <c r="I13" s="14">
        <v>-38.399691635166597</v>
      </c>
      <c r="J13" s="14">
        <v>-42.591123148205298</v>
      </c>
      <c r="K13" s="14">
        <v>-47.521432995010599</v>
      </c>
      <c r="L13" s="14">
        <v>-54.958836891511503</v>
      </c>
      <c r="M13" s="14">
        <v>-58.106619082998499</v>
      </c>
      <c r="N13" s="14">
        <v>-62.239764628267402</v>
      </c>
      <c r="O13" s="14">
        <v>-77.410171638744202</v>
      </c>
      <c r="P13" s="14">
        <v>-103.249683184115</v>
      </c>
      <c r="Q13" s="14">
        <v>-128.37993877273399</v>
      </c>
      <c r="R13" s="14">
        <v>-109.193540570796</v>
      </c>
      <c r="S13" s="14">
        <v>-131.62382957011599</v>
      </c>
      <c r="T13" s="14">
        <v>-164.654588113936</v>
      </c>
    </row>
    <row r="14" spans="1:20" x14ac:dyDescent="0.3">
      <c r="A14" t="s">
        <v>41</v>
      </c>
      <c r="B14" s="14">
        <f>risk!B40+time!B35+rsB!B33</f>
        <v>-4.0788075904128549</v>
      </c>
      <c r="C14" s="14">
        <f>risk!C40+time!C35+rsB!C33</f>
        <v>-6.6899121247473063</v>
      </c>
      <c r="D14" s="14">
        <f>risk!D40+time!D35+rsB!D33</f>
        <v>-8.7560045371985211</v>
      </c>
      <c r="E14" s="14">
        <f>risk!E40+time!E35+rsB!E33</f>
        <v>-8.8899620128444479</v>
      </c>
      <c r="F14" s="14">
        <f>risk!F40+time!F35+rsB!F33</f>
        <v>-11.390979569176164</v>
      </c>
      <c r="G14" s="14">
        <f>risk!G40+time!G35+rsB!G33</f>
        <v>-15.356509506753495</v>
      </c>
      <c r="H14" s="14">
        <f>risk!H40+time!H35+rsB!H33</f>
        <v>-18.813760815678354</v>
      </c>
      <c r="I14" s="14">
        <f>risk!I40+time!I35+rsB!I33</f>
        <v>-21.020332580075465</v>
      </c>
      <c r="J14" s="14">
        <f>risk!J40+time!J35+rsB!J33</f>
        <v>-21.09604407818826</v>
      </c>
      <c r="K14" s="14">
        <f>risk!K40+time!K35+rsB!K33</f>
        <v>-24.440203759965776</v>
      </c>
      <c r="L14" s="14">
        <f>risk!L40+time!L35+rsB!L33</f>
        <v>-29.098238403259046</v>
      </c>
      <c r="M14" s="14">
        <f>risk!M40+time!M35+rsB!M33</f>
        <v>-31.146833665064214</v>
      </c>
      <c r="N14" s="14">
        <f>risk!N40+time!N35+rsB!N33</f>
        <v>-34.454963775877047</v>
      </c>
      <c r="O14" s="14">
        <f>risk!O40+time!O35+rsB!O33</f>
        <v>-48.494510933084115</v>
      </c>
      <c r="P14" s="14">
        <f>risk!P40+time!P35+rsB!P33</f>
        <v>-65.787073559229867</v>
      </c>
      <c r="Q14" s="14">
        <f>risk!Q40+time!Q35+rsB!Q33</f>
        <v>-84.187226392122497</v>
      </c>
      <c r="R14" s="14">
        <f>risk!R40+time!R35+rsB!R33</f>
        <v>-76.232812329772244</v>
      </c>
      <c r="S14" s="14">
        <f>risk!S40+time!S35+rsB!S33</f>
        <v>-90.583022147326318</v>
      </c>
      <c r="T14" s="14">
        <f>risk!T40+time!T35+rsB!T33</f>
        <v>-130.48585354896832</v>
      </c>
    </row>
    <row r="15" spans="1:20" x14ac:dyDescent="0.3">
      <c r="B15" s="14">
        <v>2.5098588435409801</v>
      </c>
      <c r="C15" s="14">
        <v>-6.2985739221825803</v>
      </c>
      <c r="D15" s="14">
        <v>-9.5592207805540603</v>
      </c>
      <c r="E15" s="14">
        <v>-2.10813416635051</v>
      </c>
      <c r="F15" s="14">
        <v>-1.6644485867491901</v>
      </c>
      <c r="G15" s="14">
        <v>-4.0714846303547096</v>
      </c>
      <c r="H15" s="14">
        <v>-4.9309302963956396</v>
      </c>
      <c r="I15" s="14">
        <v>0.94491248369192105</v>
      </c>
      <c r="J15" s="14">
        <v>8.8370559899575003</v>
      </c>
      <c r="K15" s="14">
        <v>6.5877957155617404</v>
      </c>
      <c r="L15" s="14">
        <v>4.7117588838249498</v>
      </c>
      <c r="M15" s="14">
        <v>3.6118238738429498</v>
      </c>
      <c r="N15" s="14">
        <v>-8.7654636915562995E-2</v>
      </c>
      <c r="O15" s="14">
        <v>-19.984856234814899</v>
      </c>
      <c r="P15" s="14">
        <v>-30.560845750718101</v>
      </c>
      <c r="Q15" s="14">
        <v>-46.289200371088697</v>
      </c>
      <c r="R15" s="14">
        <v>-55.784644984785899</v>
      </c>
      <c r="S15" s="14">
        <v>-62.244097037109498</v>
      </c>
      <c r="T15" s="14">
        <v>-139.564330771041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9976-5553-40B0-BB79-196B6BEF3BE8}">
  <dimension ref="A1:AO339"/>
  <sheetViews>
    <sheetView topLeftCell="A12" workbookViewId="0">
      <selection activeCell="F20" sqref="F20"/>
    </sheetView>
  </sheetViews>
  <sheetFormatPr defaultRowHeight="13" x14ac:dyDescent="0.3"/>
  <cols>
    <col min="1" max="1" width="14.3984375" customWidth="1"/>
    <col min="2" max="41" width="11.59765625" customWidth="1"/>
  </cols>
  <sheetData>
    <row r="1" spans="1:41" x14ac:dyDescent="0.3">
      <c r="C1" s="5">
        <v>0.05</v>
      </c>
      <c r="D1" s="5">
        <f>0.05+C1</f>
        <v>0.1</v>
      </c>
      <c r="E1" s="5">
        <f t="shared" ref="E1:U1" si="0">0.05+D1</f>
        <v>0.15000000000000002</v>
      </c>
      <c r="F1" s="5">
        <f t="shared" si="0"/>
        <v>0.2</v>
      </c>
      <c r="G1" s="5">
        <f t="shared" si="0"/>
        <v>0.25</v>
      </c>
      <c r="H1" s="5">
        <f t="shared" si="0"/>
        <v>0.3</v>
      </c>
      <c r="I1" s="5">
        <f t="shared" si="0"/>
        <v>0.35</v>
      </c>
      <c r="J1" s="5">
        <f t="shared" si="0"/>
        <v>0.39999999999999997</v>
      </c>
      <c r="K1" s="5">
        <f t="shared" si="0"/>
        <v>0.44999999999999996</v>
      </c>
      <c r="L1" s="5">
        <f t="shared" si="0"/>
        <v>0.49999999999999994</v>
      </c>
      <c r="M1" s="5">
        <f t="shared" si="0"/>
        <v>0.54999999999999993</v>
      </c>
      <c r="N1" s="5">
        <f t="shared" si="0"/>
        <v>0.6</v>
      </c>
      <c r="O1" s="5">
        <f t="shared" si="0"/>
        <v>0.65</v>
      </c>
      <c r="P1" s="5">
        <f t="shared" si="0"/>
        <v>0.70000000000000007</v>
      </c>
      <c r="Q1" s="5">
        <f t="shared" si="0"/>
        <v>0.75000000000000011</v>
      </c>
      <c r="R1" s="5">
        <f t="shared" si="0"/>
        <v>0.80000000000000016</v>
      </c>
      <c r="S1" s="5">
        <f t="shared" si="0"/>
        <v>0.8500000000000002</v>
      </c>
      <c r="T1" s="5">
        <f t="shared" si="0"/>
        <v>0.90000000000000024</v>
      </c>
      <c r="U1" s="5">
        <f t="shared" si="0"/>
        <v>0.95000000000000029</v>
      </c>
    </row>
    <row r="2" spans="1:4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3">
      <c r="A3" t="s">
        <v>21</v>
      </c>
      <c r="B3" s="3" t="s">
        <v>22</v>
      </c>
      <c r="C3" s="3" t="s">
        <v>22</v>
      </c>
      <c r="D3" s="3" t="s">
        <v>22</v>
      </c>
      <c r="E3" s="3" t="s">
        <v>22</v>
      </c>
      <c r="F3" s="3" t="s">
        <v>22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3" t="s">
        <v>22</v>
      </c>
      <c r="Q3" s="3" t="s">
        <v>22</v>
      </c>
      <c r="R3" s="3" t="s">
        <v>22</v>
      </c>
      <c r="S3" s="3" t="s">
        <v>22</v>
      </c>
      <c r="T3" s="3" t="s">
        <v>22</v>
      </c>
      <c r="U3" s="3" t="s">
        <v>22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3">
      <c r="A5" t="s">
        <v>23</v>
      </c>
      <c r="B5" s="10">
        <v>-206</v>
      </c>
      <c r="C5" s="12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">
      <c r="A6" t="s">
        <v>0</v>
      </c>
      <c r="B6" s="10">
        <v>21.33</v>
      </c>
      <c r="C6" s="12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">
      <c r="A7" t="s">
        <v>24</v>
      </c>
      <c r="B7" s="10">
        <v>-139.19999999999999</v>
      </c>
      <c r="C7" s="7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x14ac:dyDescent="0.3">
      <c r="A8" t="s">
        <v>0</v>
      </c>
      <c r="B8" s="10">
        <v>36.11</v>
      </c>
      <c r="C8" s="7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t="s">
        <v>25</v>
      </c>
      <c r="B9" s="10">
        <v>-13.52</v>
      </c>
      <c r="C9" s="3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t="s">
        <v>0</v>
      </c>
      <c r="B10" s="10">
        <v>5.2430000000000003</v>
      </c>
      <c r="C10" s="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t="s">
        <v>37</v>
      </c>
      <c r="B11" s="10">
        <v>4.577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">
      <c r="B12" s="10">
        <v>2.5470000000000002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">
      <c r="A13" t="s">
        <v>26</v>
      </c>
      <c r="B13" s="10">
        <v>-8393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">
      <c r="A14" t="s">
        <v>0</v>
      </c>
      <c r="B14" s="10">
        <v>5133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">
      <c r="A15" t="s">
        <v>0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T15" s="3" t="s">
        <v>0</v>
      </c>
      <c r="U15" s="3" t="s">
        <v>0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">
      <c r="A16" t="s">
        <v>27</v>
      </c>
      <c r="B16" s="3" t="s">
        <v>38</v>
      </c>
      <c r="C16" s="3" t="s">
        <v>39</v>
      </c>
      <c r="D16" s="3" t="s">
        <v>39</v>
      </c>
      <c r="E16" s="3" t="s">
        <v>39</v>
      </c>
      <c r="F16" s="3" t="s">
        <v>39</v>
      </c>
      <c r="G16" s="3" t="s">
        <v>39</v>
      </c>
      <c r="H16" s="3" t="s">
        <v>39</v>
      </c>
      <c r="I16" s="3" t="s">
        <v>39</v>
      </c>
      <c r="J16" s="3" t="s">
        <v>39</v>
      </c>
      <c r="K16" s="3" t="s">
        <v>39</v>
      </c>
      <c r="L16" s="3" t="s">
        <v>39</v>
      </c>
      <c r="M16" s="3" t="s">
        <v>39</v>
      </c>
      <c r="N16" s="3" t="s">
        <v>39</v>
      </c>
      <c r="O16" s="3" t="s">
        <v>39</v>
      </c>
      <c r="P16" s="3" t="s">
        <v>39</v>
      </c>
      <c r="Q16" s="3" t="s">
        <v>39</v>
      </c>
      <c r="R16" s="3" t="s">
        <v>39</v>
      </c>
      <c r="S16" s="3" t="s">
        <v>39</v>
      </c>
      <c r="T16" s="3" t="s">
        <v>39</v>
      </c>
      <c r="U16" s="3" t="s">
        <v>39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">
      <c r="A17" s="8" t="s">
        <v>28</v>
      </c>
      <c r="B17" s="9" t="s">
        <v>40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9" t="s">
        <v>0</v>
      </c>
      <c r="O17" s="9" t="s">
        <v>0</v>
      </c>
      <c r="P17" s="9" t="s">
        <v>0</v>
      </c>
      <c r="Q17" s="9" t="s">
        <v>0</v>
      </c>
      <c r="R17" s="9" t="s">
        <v>0</v>
      </c>
      <c r="S17" s="9" t="s">
        <v>0</v>
      </c>
      <c r="T17" s="9" t="s">
        <v>0</v>
      </c>
      <c r="U17" s="9" t="s">
        <v>0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x14ac:dyDescent="0.3">
      <c r="A18" t="s">
        <v>29</v>
      </c>
    </row>
    <row r="19" spans="1:41" x14ac:dyDescent="0.3">
      <c r="A19" t="s">
        <v>30</v>
      </c>
    </row>
    <row r="21" spans="1:41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41" x14ac:dyDescent="0.3">
      <c r="B22" s="3" t="s">
        <v>46</v>
      </c>
      <c r="C22" s="3" t="s">
        <v>22</v>
      </c>
      <c r="D22" s="3" t="s">
        <v>47</v>
      </c>
      <c r="E22" s="3" t="s">
        <v>48</v>
      </c>
      <c r="F22" s="3" t="s">
        <v>49</v>
      </c>
      <c r="G22" s="3" t="s">
        <v>37</v>
      </c>
      <c r="H22" s="3" t="s">
        <v>50</v>
      </c>
      <c r="I22" s="3" t="s">
        <v>51</v>
      </c>
      <c r="J22" s="3" t="s">
        <v>52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41" x14ac:dyDescent="0.3">
      <c r="A23" t="s">
        <v>53</v>
      </c>
      <c r="B23" s="3" t="s">
        <v>54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41" x14ac:dyDescent="0.3">
      <c r="A24" t="s">
        <v>44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41" x14ac:dyDescent="0.3">
      <c r="B25" s="3" t="s">
        <v>55</v>
      </c>
      <c r="C25" s="3" t="s">
        <v>56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41" x14ac:dyDescent="0.3">
      <c r="B26" s="3" t="s">
        <v>57</v>
      </c>
      <c r="C26" s="3" t="s">
        <v>55</v>
      </c>
      <c r="D26" s="3" t="s">
        <v>58</v>
      </c>
      <c r="E26" s="3" t="s">
        <v>59</v>
      </c>
      <c r="F26" s="3" t="s">
        <v>60</v>
      </c>
      <c r="G26" s="3" t="s">
        <v>61</v>
      </c>
      <c r="H26" s="3" t="s">
        <v>62</v>
      </c>
      <c r="I26" s="3" t="s">
        <v>63</v>
      </c>
      <c r="J26" s="3" t="s">
        <v>64</v>
      </c>
      <c r="K26" s="3" t="s">
        <v>65</v>
      </c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41" x14ac:dyDescent="0.3">
      <c r="A27" t="s">
        <v>45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41" x14ac:dyDescent="0.3">
      <c r="B28" s="3" t="s">
        <v>47</v>
      </c>
      <c r="C28" s="3" t="s">
        <v>55</v>
      </c>
      <c r="D28" s="3">
        <v>-34.804780000000001</v>
      </c>
      <c r="E28" s="3">
        <v>44.654949999999999</v>
      </c>
      <c r="F28" s="3">
        <v>-0.78</v>
      </c>
      <c r="G28" s="3">
        <v>0.436</v>
      </c>
      <c r="H28" s="3">
        <v>-122.32689999999999</v>
      </c>
      <c r="I28" s="3">
        <v>52.717309999999998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41" x14ac:dyDescent="0.3">
      <c r="B29" s="7" t="s">
        <v>48</v>
      </c>
      <c r="C29" s="3" t="s">
        <v>55</v>
      </c>
      <c r="D29" s="7">
        <v>-100.46559999999999</v>
      </c>
      <c r="E29" s="7">
        <v>75.601619999999997</v>
      </c>
      <c r="F29" s="7">
        <v>-1.33</v>
      </c>
      <c r="G29" s="7">
        <v>0.184</v>
      </c>
      <c r="H29" s="7">
        <v>-248.6421</v>
      </c>
      <c r="I29" s="7">
        <v>47.710819999999998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3"/>
    </row>
    <row r="30" spans="1:41" x14ac:dyDescent="0.3">
      <c r="B30" s="7" t="s">
        <v>49</v>
      </c>
      <c r="C30" s="7" t="s">
        <v>55</v>
      </c>
      <c r="D30" s="3">
        <v>-8.5058539999999994</v>
      </c>
      <c r="E30" s="3">
        <v>10.97681</v>
      </c>
      <c r="F30" s="3">
        <v>-0.77</v>
      </c>
      <c r="G30" s="3">
        <v>0.438</v>
      </c>
      <c r="H30" s="3">
        <v>-30.02</v>
      </c>
      <c r="I30" s="7">
        <v>13.0083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41" x14ac:dyDescent="0.3">
      <c r="B31" t="s">
        <v>37</v>
      </c>
      <c r="C31" t="s">
        <v>55</v>
      </c>
      <c r="D31">
        <v>-0.81175790000000003</v>
      </c>
      <c r="E31">
        <v>5.3331809999999997</v>
      </c>
      <c r="F31">
        <v>-0.15</v>
      </c>
      <c r="G31">
        <v>0.879</v>
      </c>
      <c r="H31">
        <v>-11.2646</v>
      </c>
      <c r="I31">
        <v>9.6410850000000003</v>
      </c>
    </row>
    <row r="32" spans="1:41" x14ac:dyDescent="0.3">
      <c r="A32" t="s">
        <v>44</v>
      </c>
    </row>
    <row r="33" spans="1:11" x14ac:dyDescent="0.3">
      <c r="A33" t="s">
        <v>66</v>
      </c>
      <c r="B33" t="s">
        <v>67</v>
      </c>
      <c r="C33" t="s">
        <v>51</v>
      </c>
    </row>
    <row r="35" spans="1:11" x14ac:dyDescent="0.3">
      <c r="A35" t="s">
        <v>68</v>
      </c>
      <c r="B35" t="s">
        <v>69</v>
      </c>
      <c r="C35" t="s">
        <v>70</v>
      </c>
      <c r="D35" t="s">
        <v>71</v>
      </c>
    </row>
    <row r="36" spans="1:11" x14ac:dyDescent="0.3">
      <c r="A36" t="s">
        <v>68</v>
      </c>
      <c r="B36" t="s">
        <v>72</v>
      </c>
      <c r="C36" t="s">
        <v>73</v>
      </c>
      <c r="D36" t="s">
        <v>70</v>
      </c>
      <c r="E36" t="s">
        <v>74</v>
      </c>
      <c r="F36" t="s">
        <v>75</v>
      </c>
    </row>
    <row r="37" spans="1:11" x14ac:dyDescent="0.3">
      <c r="A37" t="s">
        <v>76</v>
      </c>
      <c r="B37" t="s">
        <v>77</v>
      </c>
      <c r="C37" t="s">
        <v>78</v>
      </c>
      <c r="D37" t="s">
        <v>79</v>
      </c>
    </row>
    <row r="39" spans="1:11" x14ac:dyDescent="0.3">
      <c r="A39" t="s">
        <v>68</v>
      </c>
      <c r="B39" t="s">
        <v>46</v>
      </c>
      <c r="C39" t="s">
        <v>22</v>
      </c>
      <c r="D39" t="s">
        <v>47</v>
      </c>
      <c r="E39" t="s">
        <v>48</v>
      </c>
      <c r="F39" t="s">
        <v>49</v>
      </c>
      <c r="G39" t="s">
        <v>37</v>
      </c>
      <c r="H39" t="s">
        <v>50</v>
      </c>
      <c r="I39" t="s">
        <v>80</v>
      </c>
      <c r="J39" t="s">
        <v>81</v>
      </c>
    </row>
    <row r="40" spans="1:11" x14ac:dyDescent="0.3">
      <c r="A40" t="s">
        <v>53</v>
      </c>
      <c r="B40" t="s">
        <v>82</v>
      </c>
    </row>
    <row r="41" spans="1:11" x14ac:dyDescent="0.3">
      <c r="A41" t="s">
        <v>44</v>
      </c>
    </row>
    <row r="42" spans="1:11" x14ac:dyDescent="0.3">
      <c r="B42" t="s">
        <v>55</v>
      </c>
      <c r="C42" t="s">
        <v>56</v>
      </c>
    </row>
    <row r="43" spans="1:11" x14ac:dyDescent="0.3">
      <c r="B43" t="s">
        <v>57</v>
      </c>
      <c r="C43" t="s">
        <v>55</v>
      </c>
      <c r="D43" t="s">
        <v>58</v>
      </c>
      <c r="E43" t="s">
        <v>59</v>
      </c>
      <c r="F43" t="s">
        <v>60</v>
      </c>
      <c r="G43" t="s">
        <v>61</v>
      </c>
      <c r="H43" t="s">
        <v>62</v>
      </c>
      <c r="I43" t="s">
        <v>63</v>
      </c>
      <c r="J43" t="s">
        <v>64</v>
      </c>
      <c r="K43" t="s">
        <v>65</v>
      </c>
    </row>
    <row r="44" spans="1:11" x14ac:dyDescent="0.3">
      <c r="A44" t="s">
        <v>45</v>
      </c>
    </row>
    <row r="45" spans="1:11" x14ac:dyDescent="0.3">
      <c r="B45" t="s">
        <v>47</v>
      </c>
      <c r="C45" t="s">
        <v>55</v>
      </c>
      <c r="D45">
        <v>-0.77821189999999996</v>
      </c>
      <c r="E45">
        <v>1.1513169999999999</v>
      </c>
      <c r="F45">
        <v>-0.68</v>
      </c>
      <c r="G45">
        <v>0.499</v>
      </c>
      <c r="H45">
        <v>-3.0347520000000001</v>
      </c>
      <c r="I45">
        <v>1.4783280000000001</v>
      </c>
    </row>
    <row r="46" spans="1:11" x14ac:dyDescent="0.3">
      <c r="B46" t="s">
        <v>48</v>
      </c>
      <c r="C46" t="s">
        <v>55</v>
      </c>
      <c r="D46">
        <v>-1.292408</v>
      </c>
      <c r="E46">
        <v>1.949203</v>
      </c>
      <c r="F46">
        <v>-0.66</v>
      </c>
      <c r="G46">
        <v>0.50700000000000001</v>
      </c>
      <c r="H46">
        <v>-5.1127760000000002</v>
      </c>
      <c r="I46">
        <v>2.5279590000000001</v>
      </c>
    </row>
    <row r="47" spans="1:11" x14ac:dyDescent="0.3">
      <c r="B47" t="s">
        <v>49</v>
      </c>
      <c r="C47" t="s">
        <v>55</v>
      </c>
      <c r="D47">
        <v>-0.2367746</v>
      </c>
      <c r="E47">
        <v>0.28301009999999999</v>
      </c>
      <c r="F47">
        <v>-0.84</v>
      </c>
      <c r="G47">
        <v>0.40300000000000002</v>
      </c>
      <c r="H47">
        <v>-0.79146430000000001</v>
      </c>
      <c r="I47">
        <v>0.31791510000000001</v>
      </c>
    </row>
    <row r="48" spans="1:11" x14ac:dyDescent="0.3">
      <c r="B48" t="s">
        <v>37</v>
      </c>
      <c r="C48" t="s">
        <v>55</v>
      </c>
      <c r="D48">
        <v>1.7159600000000001E-2</v>
      </c>
      <c r="E48">
        <v>0.13750299999999999</v>
      </c>
      <c r="F48">
        <v>0.12</v>
      </c>
      <c r="G48">
        <v>0.90100000000000002</v>
      </c>
      <c r="H48">
        <v>-0.25234139999999999</v>
      </c>
      <c r="I48">
        <v>0.28666059999999999</v>
      </c>
    </row>
    <row r="49" spans="1:11" x14ac:dyDescent="0.3">
      <c r="A49" t="s">
        <v>44</v>
      </c>
    </row>
    <row r="50" spans="1:11" x14ac:dyDescent="0.3">
      <c r="A50" t="s">
        <v>66</v>
      </c>
      <c r="B50" t="s">
        <v>67</v>
      </c>
      <c r="C50" t="s">
        <v>80</v>
      </c>
    </row>
    <row r="52" spans="1:11" x14ac:dyDescent="0.3">
      <c r="A52" t="s">
        <v>68</v>
      </c>
      <c r="B52" t="s">
        <v>69</v>
      </c>
      <c r="C52" t="s">
        <v>70</v>
      </c>
      <c r="D52" t="s">
        <v>71</v>
      </c>
    </row>
    <row r="53" spans="1:11" x14ac:dyDescent="0.3">
      <c r="A53" t="s">
        <v>68</v>
      </c>
      <c r="B53" t="s">
        <v>72</v>
      </c>
      <c r="C53" t="s">
        <v>73</v>
      </c>
      <c r="D53" t="s">
        <v>70</v>
      </c>
      <c r="E53" t="s">
        <v>74</v>
      </c>
      <c r="F53" t="s">
        <v>75</v>
      </c>
    </row>
    <row r="54" spans="1:11" x14ac:dyDescent="0.3">
      <c r="A54" t="s">
        <v>76</v>
      </c>
      <c r="B54" t="s">
        <v>77</v>
      </c>
      <c r="C54" t="s">
        <v>78</v>
      </c>
      <c r="D54" t="s">
        <v>79</v>
      </c>
    </row>
    <row r="56" spans="1:11" x14ac:dyDescent="0.3">
      <c r="A56" t="s">
        <v>68</v>
      </c>
      <c r="B56" t="s">
        <v>46</v>
      </c>
      <c r="C56" t="s">
        <v>22</v>
      </c>
      <c r="D56" t="s">
        <v>47</v>
      </c>
      <c r="E56" t="s">
        <v>48</v>
      </c>
      <c r="F56" t="s">
        <v>49</v>
      </c>
      <c r="G56" t="s">
        <v>37</v>
      </c>
      <c r="H56" t="s">
        <v>50</v>
      </c>
      <c r="I56" t="s">
        <v>83</v>
      </c>
      <c r="J56" t="s">
        <v>52</v>
      </c>
    </row>
    <row r="57" spans="1:11" x14ac:dyDescent="0.3">
      <c r="A57" t="s">
        <v>53</v>
      </c>
      <c r="B57" t="s">
        <v>54</v>
      </c>
    </row>
    <row r="58" spans="1:11" x14ac:dyDescent="0.3">
      <c r="A58" t="s">
        <v>44</v>
      </c>
    </row>
    <row r="59" spans="1:11" x14ac:dyDescent="0.3">
      <c r="B59" t="s">
        <v>55</v>
      </c>
      <c r="C59" t="s">
        <v>56</v>
      </c>
    </row>
    <row r="60" spans="1:11" x14ac:dyDescent="0.3">
      <c r="B60" t="s">
        <v>57</v>
      </c>
      <c r="C60" t="s">
        <v>55</v>
      </c>
      <c r="D60" t="s">
        <v>58</v>
      </c>
      <c r="E60" t="s">
        <v>59</v>
      </c>
      <c r="F60" t="s">
        <v>60</v>
      </c>
      <c r="G60" t="s">
        <v>61</v>
      </c>
      <c r="H60" t="s">
        <v>62</v>
      </c>
      <c r="I60" t="s">
        <v>63</v>
      </c>
      <c r="J60" t="s">
        <v>64</v>
      </c>
      <c r="K60" t="s">
        <v>65</v>
      </c>
    </row>
    <row r="61" spans="1:11" x14ac:dyDescent="0.3">
      <c r="A61" t="s">
        <v>45</v>
      </c>
    </row>
    <row r="62" spans="1:11" x14ac:dyDescent="0.3">
      <c r="B62" t="s">
        <v>47</v>
      </c>
      <c r="C62" t="s">
        <v>55</v>
      </c>
      <c r="D62">
        <v>-0.8470647</v>
      </c>
      <c r="E62">
        <v>1.0952809999999999</v>
      </c>
      <c r="F62">
        <v>-0.77</v>
      </c>
      <c r="G62">
        <v>0.439</v>
      </c>
      <c r="H62">
        <v>-2.9937749999999999</v>
      </c>
      <c r="I62">
        <v>1.2996460000000001</v>
      </c>
    </row>
    <row r="63" spans="1:11" x14ac:dyDescent="0.3">
      <c r="B63" t="s">
        <v>48</v>
      </c>
      <c r="C63" t="s">
        <v>55</v>
      </c>
      <c r="D63">
        <v>-0.96546739999999998</v>
      </c>
      <c r="E63">
        <v>1.8543289999999999</v>
      </c>
      <c r="F63">
        <v>-0.52</v>
      </c>
      <c r="G63">
        <v>0.60299999999999998</v>
      </c>
      <c r="H63">
        <v>-4.5998849999999996</v>
      </c>
      <c r="I63">
        <v>2.6689500000000002</v>
      </c>
    </row>
    <row r="64" spans="1:11" x14ac:dyDescent="0.3">
      <c r="B64" t="s">
        <v>49</v>
      </c>
      <c r="C64" t="s">
        <v>55</v>
      </c>
      <c r="D64">
        <v>-0.2281022</v>
      </c>
      <c r="E64">
        <v>0.26923530000000001</v>
      </c>
      <c r="F64">
        <v>-0.85</v>
      </c>
      <c r="G64">
        <v>0.39700000000000002</v>
      </c>
      <c r="H64">
        <v>-0.75579359999999995</v>
      </c>
      <c r="I64">
        <v>0.2995893</v>
      </c>
    </row>
    <row r="65" spans="1:11" x14ac:dyDescent="0.3">
      <c r="B65" t="s">
        <v>37</v>
      </c>
      <c r="C65" t="s">
        <v>55</v>
      </c>
      <c r="D65">
        <v>3.6958600000000001E-2</v>
      </c>
      <c r="E65">
        <v>0.13081029999999999</v>
      </c>
      <c r="F65">
        <v>0.28000000000000003</v>
      </c>
      <c r="G65">
        <v>0.77800000000000002</v>
      </c>
      <c r="H65">
        <v>-0.21942490000000001</v>
      </c>
      <c r="I65">
        <v>0.2933422</v>
      </c>
    </row>
    <row r="66" spans="1:11" x14ac:dyDescent="0.3">
      <c r="A66" t="s">
        <v>44</v>
      </c>
    </row>
    <row r="67" spans="1:11" x14ac:dyDescent="0.3">
      <c r="A67" t="s">
        <v>66</v>
      </c>
      <c r="B67" t="s">
        <v>67</v>
      </c>
      <c r="C67" t="s">
        <v>83</v>
      </c>
    </row>
    <row r="69" spans="1:11" x14ac:dyDescent="0.3">
      <c r="A69" t="s">
        <v>68</v>
      </c>
      <c r="B69" t="s">
        <v>69</v>
      </c>
      <c r="C69" t="s">
        <v>70</v>
      </c>
      <c r="D69" t="s">
        <v>71</v>
      </c>
    </row>
    <row r="70" spans="1:11" x14ac:dyDescent="0.3">
      <c r="A70" t="s">
        <v>68</v>
      </c>
      <c r="B70" t="s">
        <v>72</v>
      </c>
      <c r="C70" t="s">
        <v>73</v>
      </c>
      <c r="D70" t="s">
        <v>70</v>
      </c>
      <c r="E70" t="s">
        <v>74</v>
      </c>
      <c r="F70" t="s">
        <v>75</v>
      </c>
    </row>
    <row r="71" spans="1:11" x14ac:dyDescent="0.3">
      <c r="A71" t="s">
        <v>76</v>
      </c>
      <c r="B71" t="s">
        <v>77</v>
      </c>
      <c r="C71" t="s">
        <v>78</v>
      </c>
      <c r="D71" t="s">
        <v>79</v>
      </c>
    </row>
    <row r="73" spans="1:11" x14ac:dyDescent="0.3">
      <c r="A73" t="s">
        <v>68</v>
      </c>
      <c r="B73" t="s">
        <v>46</v>
      </c>
      <c r="C73" t="s">
        <v>22</v>
      </c>
      <c r="D73" t="s">
        <v>47</v>
      </c>
      <c r="E73" t="s">
        <v>48</v>
      </c>
      <c r="F73" t="s">
        <v>49</v>
      </c>
      <c r="G73" t="s">
        <v>37</v>
      </c>
      <c r="H73" t="s">
        <v>50</v>
      </c>
      <c r="I73" t="s">
        <v>84</v>
      </c>
      <c r="J73" t="s">
        <v>81</v>
      </c>
    </row>
    <row r="74" spans="1:11" x14ac:dyDescent="0.3">
      <c r="A74" t="s">
        <v>53</v>
      </c>
      <c r="B74" t="s">
        <v>82</v>
      </c>
    </row>
    <row r="75" spans="1:11" x14ac:dyDescent="0.3">
      <c r="A75" t="s">
        <v>44</v>
      </c>
    </row>
    <row r="76" spans="1:11" x14ac:dyDescent="0.3">
      <c r="B76" t="s">
        <v>55</v>
      </c>
      <c r="C76" t="s">
        <v>56</v>
      </c>
    </row>
    <row r="77" spans="1:11" x14ac:dyDescent="0.3">
      <c r="B77" t="s">
        <v>57</v>
      </c>
      <c r="C77" t="s">
        <v>55</v>
      </c>
      <c r="D77" t="s">
        <v>58</v>
      </c>
      <c r="E77" t="s">
        <v>59</v>
      </c>
      <c r="F77" t="s">
        <v>60</v>
      </c>
      <c r="G77" t="s">
        <v>61</v>
      </c>
      <c r="H77" t="s">
        <v>62</v>
      </c>
      <c r="I77" t="s">
        <v>63</v>
      </c>
      <c r="J77" t="s">
        <v>64</v>
      </c>
      <c r="K77" t="s">
        <v>65</v>
      </c>
    </row>
    <row r="78" spans="1:11" x14ac:dyDescent="0.3">
      <c r="A78" t="s">
        <v>45</v>
      </c>
    </row>
    <row r="79" spans="1:11" x14ac:dyDescent="0.3">
      <c r="B79" t="s">
        <v>47</v>
      </c>
      <c r="C79" t="s">
        <v>55</v>
      </c>
      <c r="D79">
        <v>-1.3710469999999999</v>
      </c>
      <c r="E79">
        <v>1.1733180000000001</v>
      </c>
      <c r="F79">
        <v>-1.17</v>
      </c>
      <c r="G79">
        <v>0.24299999999999999</v>
      </c>
      <c r="H79">
        <v>-3.6707079999999999</v>
      </c>
      <c r="I79">
        <v>0.92861510000000003</v>
      </c>
    </row>
    <row r="80" spans="1:11" x14ac:dyDescent="0.3">
      <c r="B80" t="s">
        <v>48</v>
      </c>
      <c r="C80" t="s">
        <v>55</v>
      </c>
      <c r="D80">
        <v>-0.36766349999999998</v>
      </c>
      <c r="E80">
        <v>1.98645</v>
      </c>
      <c r="F80">
        <v>-0.19</v>
      </c>
      <c r="G80">
        <v>0.85299999999999998</v>
      </c>
      <c r="H80">
        <v>-4.2610340000000004</v>
      </c>
      <c r="I80">
        <v>3.5257079999999998</v>
      </c>
    </row>
    <row r="81" spans="1:11" x14ac:dyDescent="0.3">
      <c r="B81" t="s">
        <v>49</v>
      </c>
      <c r="C81" t="s">
        <v>55</v>
      </c>
      <c r="D81">
        <v>-0.27412259999999999</v>
      </c>
      <c r="E81">
        <v>0.28841810000000001</v>
      </c>
      <c r="F81">
        <v>-0.95</v>
      </c>
      <c r="G81">
        <v>0.34200000000000003</v>
      </c>
      <c r="H81">
        <v>-0.83941169999999998</v>
      </c>
      <c r="I81">
        <v>0.29116649999999999</v>
      </c>
    </row>
    <row r="82" spans="1:11" x14ac:dyDescent="0.3">
      <c r="B82" t="s">
        <v>37</v>
      </c>
      <c r="C82" t="s">
        <v>55</v>
      </c>
      <c r="D82">
        <v>6.3328599999999999E-2</v>
      </c>
      <c r="E82">
        <v>0.14013049999999999</v>
      </c>
      <c r="F82">
        <v>0.45</v>
      </c>
      <c r="G82">
        <v>0.65100000000000002</v>
      </c>
      <c r="H82">
        <v>-0.21132210000000001</v>
      </c>
      <c r="I82">
        <v>0.33797929999999998</v>
      </c>
    </row>
    <row r="83" spans="1:11" x14ac:dyDescent="0.3">
      <c r="A83" t="s">
        <v>44</v>
      </c>
    </row>
    <row r="84" spans="1:11" x14ac:dyDescent="0.3">
      <c r="A84" t="s">
        <v>66</v>
      </c>
      <c r="B84" t="s">
        <v>67</v>
      </c>
      <c r="C84" t="s">
        <v>84</v>
      </c>
    </row>
    <row r="86" spans="1:11" x14ac:dyDescent="0.3">
      <c r="A86" t="s">
        <v>68</v>
      </c>
      <c r="B86" t="s">
        <v>69</v>
      </c>
      <c r="C86" t="s">
        <v>70</v>
      </c>
      <c r="D86" t="s">
        <v>71</v>
      </c>
    </row>
    <row r="87" spans="1:11" x14ac:dyDescent="0.3">
      <c r="A87" t="s">
        <v>68</v>
      </c>
      <c r="B87" t="s">
        <v>72</v>
      </c>
      <c r="C87" t="s">
        <v>73</v>
      </c>
      <c r="D87" t="s">
        <v>70</v>
      </c>
      <c r="E87" t="s">
        <v>74</v>
      </c>
      <c r="F87" t="s">
        <v>75</v>
      </c>
    </row>
    <row r="88" spans="1:11" x14ac:dyDescent="0.3">
      <c r="A88" t="s">
        <v>76</v>
      </c>
      <c r="B88" t="s">
        <v>77</v>
      </c>
      <c r="C88" t="s">
        <v>78</v>
      </c>
      <c r="D88" t="s">
        <v>79</v>
      </c>
    </row>
    <row r="90" spans="1:11" x14ac:dyDescent="0.3">
      <c r="A90" t="s">
        <v>68</v>
      </c>
      <c r="B90" t="s">
        <v>46</v>
      </c>
      <c r="C90" t="s">
        <v>22</v>
      </c>
      <c r="D90" t="s">
        <v>47</v>
      </c>
      <c r="E90" t="s">
        <v>48</v>
      </c>
      <c r="F90" t="s">
        <v>49</v>
      </c>
      <c r="G90" t="s">
        <v>37</v>
      </c>
      <c r="H90" t="s">
        <v>50</v>
      </c>
      <c r="I90" t="s">
        <v>85</v>
      </c>
      <c r="J90" t="s">
        <v>52</v>
      </c>
    </row>
    <row r="91" spans="1:11" x14ac:dyDescent="0.3">
      <c r="A91" t="s">
        <v>53</v>
      </c>
      <c r="B91" t="s">
        <v>54</v>
      </c>
    </row>
    <row r="92" spans="1:11" x14ac:dyDescent="0.3">
      <c r="A92" t="s">
        <v>44</v>
      </c>
    </row>
    <row r="93" spans="1:11" x14ac:dyDescent="0.3">
      <c r="B93" t="s">
        <v>55</v>
      </c>
      <c r="C93" t="s">
        <v>56</v>
      </c>
    </row>
    <row r="94" spans="1:11" x14ac:dyDescent="0.3">
      <c r="B94" t="s">
        <v>57</v>
      </c>
      <c r="C94" t="s">
        <v>55</v>
      </c>
      <c r="D94" t="s">
        <v>58</v>
      </c>
      <c r="E94" t="s">
        <v>59</v>
      </c>
      <c r="F94" t="s">
        <v>60</v>
      </c>
      <c r="G94" t="s">
        <v>61</v>
      </c>
      <c r="H94" t="s">
        <v>62</v>
      </c>
      <c r="I94" t="s">
        <v>63</v>
      </c>
      <c r="J94" t="s">
        <v>64</v>
      </c>
      <c r="K94" t="s">
        <v>65</v>
      </c>
    </row>
    <row r="95" spans="1:11" x14ac:dyDescent="0.3">
      <c r="A95" t="s">
        <v>45</v>
      </c>
    </row>
    <row r="96" spans="1:11" x14ac:dyDescent="0.3">
      <c r="B96" t="s">
        <v>47</v>
      </c>
      <c r="C96" t="s">
        <v>55</v>
      </c>
      <c r="D96">
        <v>-1.6890050000000001</v>
      </c>
      <c r="E96">
        <v>1.247088</v>
      </c>
      <c r="F96">
        <v>-1.35</v>
      </c>
      <c r="G96">
        <v>0.17599999999999999</v>
      </c>
      <c r="H96">
        <v>-4.1332519999999997</v>
      </c>
      <c r="I96">
        <v>0.7552413</v>
      </c>
    </row>
    <row r="97" spans="1:11" x14ac:dyDescent="0.3">
      <c r="B97" t="s">
        <v>48</v>
      </c>
      <c r="C97" t="s">
        <v>55</v>
      </c>
      <c r="D97">
        <v>-0.26714470000000001</v>
      </c>
      <c r="E97">
        <v>2.1113360000000001</v>
      </c>
      <c r="F97">
        <v>-0.13</v>
      </c>
      <c r="G97">
        <v>0.89900000000000002</v>
      </c>
      <c r="H97">
        <v>-4.4052870000000004</v>
      </c>
      <c r="I97">
        <v>3.870997</v>
      </c>
    </row>
    <row r="98" spans="1:11" x14ac:dyDescent="0.3">
      <c r="B98" t="s">
        <v>49</v>
      </c>
      <c r="C98" t="s">
        <v>55</v>
      </c>
      <c r="D98">
        <v>-0.31357119999999999</v>
      </c>
      <c r="E98">
        <v>0.30655159999999998</v>
      </c>
      <c r="F98">
        <v>-1.02</v>
      </c>
      <c r="G98">
        <v>0.30599999999999999</v>
      </c>
      <c r="H98">
        <v>-0.91440120000000003</v>
      </c>
      <c r="I98">
        <v>0.28725879999999998</v>
      </c>
    </row>
    <row r="99" spans="1:11" x14ac:dyDescent="0.3">
      <c r="B99" t="s">
        <v>37</v>
      </c>
      <c r="C99" t="s">
        <v>55</v>
      </c>
      <c r="D99">
        <v>8.0811800000000003E-2</v>
      </c>
      <c r="E99">
        <v>0.14894080000000001</v>
      </c>
      <c r="F99">
        <v>0.54</v>
      </c>
      <c r="G99">
        <v>0.58699999999999997</v>
      </c>
      <c r="H99">
        <v>-0.21110670000000001</v>
      </c>
      <c r="I99">
        <v>0.37273030000000001</v>
      </c>
    </row>
    <row r="100" spans="1:11" x14ac:dyDescent="0.3">
      <c r="A100" t="s">
        <v>44</v>
      </c>
    </row>
    <row r="101" spans="1:11" x14ac:dyDescent="0.3">
      <c r="A101" t="s">
        <v>66</v>
      </c>
      <c r="B101" t="s">
        <v>67</v>
      </c>
      <c r="C101" t="s">
        <v>85</v>
      </c>
    </row>
    <row r="103" spans="1:11" x14ac:dyDescent="0.3">
      <c r="A103" t="s">
        <v>68</v>
      </c>
      <c r="B103" t="s">
        <v>69</v>
      </c>
      <c r="C103" t="s">
        <v>70</v>
      </c>
      <c r="D103" t="s">
        <v>71</v>
      </c>
    </row>
    <row r="104" spans="1:11" x14ac:dyDescent="0.3">
      <c r="A104" t="s">
        <v>68</v>
      </c>
      <c r="B104" t="s">
        <v>72</v>
      </c>
      <c r="C104" t="s">
        <v>73</v>
      </c>
      <c r="D104" t="s">
        <v>70</v>
      </c>
      <c r="E104" t="s">
        <v>74</v>
      </c>
      <c r="F104" t="s">
        <v>75</v>
      </c>
    </row>
    <row r="105" spans="1:11" x14ac:dyDescent="0.3">
      <c r="A105" t="s">
        <v>76</v>
      </c>
      <c r="B105" t="s">
        <v>77</v>
      </c>
      <c r="C105" t="s">
        <v>78</v>
      </c>
      <c r="D105" t="s">
        <v>79</v>
      </c>
    </row>
    <row r="107" spans="1:11" x14ac:dyDescent="0.3">
      <c r="A107" t="s">
        <v>68</v>
      </c>
      <c r="B107" t="s">
        <v>46</v>
      </c>
      <c r="C107" t="s">
        <v>22</v>
      </c>
      <c r="D107" t="s">
        <v>47</v>
      </c>
      <c r="E107" t="s">
        <v>48</v>
      </c>
      <c r="F107" t="s">
        <v>49</v>
      </c>
      <c r="G107" t="s">
        <v>37</v>
      </c>
      <c r="H107" t="s">
        <v>50</v>
      </c>
      <c r="I107" t="s">
        <v>86</v>
      </c>
      <c r="J107" t="s">
        <v>81</v>
      </c>
    </row>
    <row r="108" spans="1:11" x14ac:dyDescent="0.3">
      <c r="A108" t="s">
        <v>53</v>
      </c>
      <c r="B108" t="s">
        <v>82</v>
      </c>
    </row>
    <row r="109" spans="1:11" x14ac:dyDescent="0.3">
      <c r="A109" t="s">
        <v>44</v>
      </c>
    </row>
    <row r="110" spans="1:11" x14ac:dyDescent="0.3">
      <c r="B110" t="s">
        <v>55</v>
      </c>
      <c r="C110" t="s">
        <v>56</v>
      </c>
    </row>
    <row r="111" spans="1:11" x14ac:dyDescent="0.3">
      <c r="B111" t="s">
        <v>57</v>
      </c>
      <c r="C111" t="s">
        <v>55</v>
      </c>
      <c r="D111" t="s">
        <v>58</v>
      </c>
      <c r="E111" t="s">
        <v>59</v>
      </c>
      <c r="F111" t="s">
        <v>60</v>
      </c>
      <c r="G111" t="s">
        <v>61</v>
      </c>
      <c r="H111" t="s">
        <v>62</v>
      </c>
      <c r="I111" t="s">
        <v>63</v>
      </c>
      <c r="J111" t="s">
        <v>64</v>
      </c>
      <c r="K111" t="s">
        <v>65</v>
      </c>
    </row>
    <row r="112" spans="1:11" x14ac:dyDescent="0.3">
      <c r="A112" t="s">
        <v>45</v>
      </c>
    </row>
    <row r="113" spans="1:11" x14ac:dyDescent="0.3">
      <c r="B113" t="s">
        <v>47</v>
      </c>
      <c r="C113" t="s">
        <v>55</v>
      </c>
      <c r="D113">
        <v>-1.8843570000000001</v>
      </c>
      <c r="E113">
        <v>1.330003</v>
      </c>
      <c r="F113">
        <v>-1.42</v>
      </c>
      <c r="G113">
        <v>0.157</v>
      </c>
      <c r="H113">
        <v>-4.4911149999999997</v>
      </c>
      <c r="I113">
        <v>0.72240139999999997</v>
      </c>
    </row>
    <row r="114" spans="1:11" x14ac:dyDescent="0.3">
      <c r="B114" t="s">
        <v>48</v>
      </c>
      <c r="C114" t="s">
        <v>55</v>
      </c>
      <c r="D114">
        <v>-0.44088490000000002</v>
      </c>
      <c r="E114">
        <v>2.2517179999999999</v>
      </c>
      <c r="F114">
        <v>-0.2</v>
      </c>
      <c r="G114">
        <v>0.84499999999999997</v>
      </c>
      <c r="H114">
        <v>-4.8541699999999999</v>
      </c>
      <c r="I114">
        <v>3.9724010000000001</v>
      </c>
    </row>
    <row r="115" spans="1:11" x14ac:dyDescent="0.3">
      <c r="B115" t="s">
        <v>49</v>
      </c>
      <c r="C115" t="s">
        <v>55</v>
      </c>
      <c r="D115">
        <v>-0.35709920000000001</v>
      </c>
      <c r="E115">
        <v>0.32693329999999998</v>
      </c>
      <c r="F115">
        <v>-1.0900000000000001</v>
      </c>
      <c r="G115">
        <v>0.27500000000000002</v>
      </c>
      <c r="H115">
        <v>-0.99787669999999995</v>
      </c>
      <c r="I115">
        <v>0.28367829999999999</v>
      </c>
    </row>
    <row r="116" spans="1:11" x14ac:dyDescent="0.3">
      <c r="B116" t="s">
        <v>37</v>
      </c>
      <c r="C116" t="s">
        <v>55</v>
      </c>
      <c r="D116">
        <v>9.6235399999999999E-2</v>
      </c>
      <c r="E116">
        <v>0.1588434</v>
      </c>
      <c r="F116">
        <v>0.61</v>
      </c>
      <c r="G116">
        <v>0.54500000000000004</v>
      </c>
      <c r="H116">
        <v>-0.21509200000000001</v>
      </c>
      <c r="I116">
        <v>0.4075628</v>
      </c>
    </row>
    <row r="117" spans="1:11" x14ac:dyDescent="0.3">
      <c r="A117" t="s">
        <v>44</v>
      </c>
    </row>
    <row r="118" spans="1:11" x14ac:dyDescent="0.3">
      <c r="A118" t="s">
        <v>66</v>
      </c>
      <c r="B118" t="s">
        <v>67</v>
      </c>
      <c r="C118" t="s">
        <v>86</v>
      </c>
    </row>
    <row r="120" spans="1:11" x14ac:dyDescent="0.3">
      <c r="A120" t="s">
        <v>68</v>
      </c>
      <c r="B120" t="s">
        <v>69</v>
      </c>
      <c r="C120" t="s">
        <v>70</v>
      </c>
      <c r="D120" t="s">
        <v>71</v>
      </c>
    </row>
    <row r="121" spans="1:11" x14ac:dyDescent="0.3">
      <c r="A121" t="s">
        <v>68</v>
      </c>
      <c r="B121" t="s">
        <v>72</v>
      </c>
      <c r="C121" t="s">
        <v>73</v>
      </c>
      <c r="D121" t="s">
        <v>70</v>
      </c>
      <c r="E121" t="s">
        <v>74</v>
      </c>
      <c r="F121" t="s">
        <v>75</v>
      </c>
    </row>
    <row r="122" spans="1:11" x14ac:dyDescent="0.3">
      <c r="A122" t="s">
        <v>76</v>
      </c>
      <c r="B122" t="s">
        <v>77</v>
      </c>
      <c r="C122" t="s">
        <v>78</v>
      </c>
      <c r="D122" t="s">
        <v>79</v>
      </c>
    </row>
    <row r="124" spans="1:11" x14ac:dyDescent="0.3">
      <c r="A124" t="s">
        <v>68</v>
      </c>
      <c r="B124" t="s">
        <v>46</v>
      </c>
      <c r="C124" t="s">
        <v>22</v>
      </c>
      <c r="D124" t="s">
        <v>47</v>
      </c>
      <c r="E124" t="s">
        <v>48</v>
      </c>
      <c r="F124" t="s">
        <v>49</v>
      </c>
      <c r="G124" t="s">
        <v>37</v>
      </c>
      <c r="H124" t="s">
        <v>50</v>
      </c>
      <c r="I124" t="s">
        <v>87</v>
      </c>
      <c r="J124" t="s">
        <v>52</v>
      </c>
    </row>
    <row r="125" spans="1:11" x14ac:dyDescent="0.3">
      <c r="A125" t="s">
        <v>53</v>
      </c>
      <c r="B125" t="s">
        <v>54</v>
      </c>
    </row>
    <row r="126" spans="1:11" x14ac:dyDescent="0.3">
      <c r="A126" t="s">
        <v>44</v>
      </c>
    </row>
    <row r="127" spans="1:11" x14ac:dyDescent="0.3">
      <c r="B127" t="s">
        <v>55</v>
      </c>
      <c r="C127" t="s">
        <v>56</v>
      </c>
    </row>
    <row r="128" spans="1:11" x14ac:dyDescent="0.3">
      <c r="B128" t="s">
        <v>57</v>
      </c>
      <c r="C128" t="s">
        <v>55</v>
      </c>
      <c r="D128" t="s">
        <v>58</v>
      </c>
      <c r="E128" t="s">
        <v>59</v>
      </c>
      <c r="F128" t="s">
        <v>60</v>
      </c>
      <c r="G128" t="s">
        <v>61</v>
      </c>
      <c r="H128" t="s">
        <v>62</v>
      </c>
      <c r="I128" t="s">
        <v>63</v>
      </c>
      <c r="J128" t="s">
        <v>64</v>
      </c>
      <c r="K128" t="s">
        <v>65</v>
      </c>
    </row>
    <row r="129" spans="1:10" x14ac:dyDescent="0.3">
      <c r="A129" t="s">
        <v>45</v>
      </c>
    </row>
    <row r="130" spans="1:10" x14ac:dyDescent="0.3">
      <c r="B130" t="s">
        <v>47</v>
      </c>
      <c r="C130" t="s">
        <v>55</v>
      </c>
      <c r="D130">
        <v>-2.1369060000000002</v>
      </c>
      <c r="E130">
        <v>1.4076979999999999</v>
      </c>
      <c r="F130">
        <v>-1.52</v>
      </c>
      <c r="G130">
        <v>0.129</v>
      </c>
      <c r="H130">
        <v>-4.8959440000000001</v>
      </c>
      <c r="I130">
        <v>0.62213169999999995</v>
      </c>
    </row>
    <row r="131" spans="1:10" x14ac:dyDescent="0.3">
      <c r="B131" t="s">
        <v>48</v>
      </c>
      <c r="C131" t="s">
        <v>55</v>
      </c>
      <c r="D131">
        <v>-0.69221370000000004</v>
      </c>
      <c r="E131">
        <v>2.3832599999999999</v>
      </c>
      <c r="F131">
        <v>-0.28999999999999998</v>
      </c>
      <c r="G131">
        <v>0.77100000000000002</v>
      </c>
      <c r="H131">
        <v>-5.3633179999999996</v>
      </c>
      <c r="I131">
        <v>3.978891</v>
      </c>
    </row>
    <row r="132" spans="1:10" x14ac:dyDescent="0.3">
      <c r="B132" t="s">
        <v>49</v>
      </c>
      <c r="C132" t="s">
        <v>55</v>
      </c>
      <c r="D132">
        <v>-0.40466419999999997</v>
      </c>
      <c r="E132">
        <v>0.34603139999999999</v>
      </c>
      <c r="F132">
        <v>-1.17</v>
      </c>
      <c r="G132">
        <v>0.24199999999999999</v>
      </c>
      <c r="H132">
        <v>-1.082873</v>
      </c>
      <c r="I132">
        <v>0.27354479999999998</v>
      </c>
    </row>
    <row r="133" spans="1:10" x14ac:dyDescent="0.3">
      <c r="B133" t="s">
        <v>37</v>
      </c>
      <c r="C133" t="s">
        <v>55</v>
      </c>
      <c r="D133">
        <v>9.6501500000000004E-2</v>
      </c>
      <c r="E133">
        <v>0.16812260000000001</v>
      </c>
      <c r="F133">
        <v>0.56999999999999995</v>
      </c>
      <c r="G133">
        <v>0.56599999999999995</v>
      </c>
      <c r="H133">
        <v>-0.23301279999999999</v>
      </c>
      <c r="I133">
        <v>0.4260158</v>
      </c>
    </row>
    <row r="134" spans="1:10" x14ac:dyDescent="0.3">
      <c r="A134" t="s">
        <v>44</v>
      </c>
    </row>
    <row r="135" spans="1:10" x14ac:dyDescent="0.3">
      <c r="A135" t="s">
        <v>66</v>
      </c>
      <c r="B135" t="s">
        <v>67</v>
      </c>
      <c r="C135" t="s">
        <v>87</v>
      </c>
    </row>
    <row r="137" spans="1:10" x14ac:dyDescent="0.3">
      <c r="A137" t="s">
        <v>68</v>
      </c>
      <c r="B137" t="s">
        <v>69</v>
      </c>
      <c r="C137" t="s">
        <v>70</v>
      </c>
      <c r="D137" t="s">
        <v>71</v>
      </c>
    </row>
    <row r="138" spans="1:10" x14ac:dyDescent="0.3">
      <c r="A138" t="s">
        <v>68</v>
      </c>
      <c r="B138" t="s">
        <v>72</v>
      </c>
      <c r="C138" t="s">
        <v>73</v>
      </c>
      <c r="D138" t="s">
        <v>70</v>
      </c>
      <c r="E138" t="s">
        <v>74</v>
      </c>
      <c r="F138" t="s">
        <v>75</v>
      </c>
    </row>
    <row r="139" spans="1:10" x14ac:dyDescent="0.3">
      <c r="A139" t="s">
        <v>76</v>
      </c>
      <c r="B139" t="s">
        <v>77</v>
      </c>
      <c r="C139" t="s">
        <v>78</v>
      </c>
      <c r="D139" t="s">
        <v>79</v>
      </c>
    </row>
    <row r="141" spans="1:10" x14ac:dyDescent="0.3">
      <c r="A141" t="s">
        <v>68</v>
      </c>
      <c r="B141" t="s">
        <v>46</v>
      </c>
      <c r="C141" t="s">
        <v>22</v>
      </c>
      <c r="D141" t="s">
        <v>47</v>
      </c>
      <c r="E141" t="s">
        <v>48</v>
      </c>
      <c r="F141" t="s">
        <v>49</v>
      </c>
      <c r="G141" t="s">
        <v>37</v>
      </c>
      <c r="H141" t="s">
        <v>50</v>
      </c>
      <c r="I141" t="s">
        <v>88</v>
      </c>
      <c r="J141" t="s">
        <v>81</v>
      </c>
    </row>
    <row r="142" spans="1:10" x14ac:dyDescent="0.3">
      <c r="A142" t="s">
        <v>53</v>
      </c>
      <c r="B142" t="s">
        <v>82</v>
      </c>
    </row>
    <row r="143" spans="1:10" x14ac:dyDescent="0.3">
      <c r="A143" t="s">
        <v>44</v>
      </c>
    </row>
    <row r="144" spans="1:10" x14ac:dyDescent="0.3">
      <c r="B144" t="s">
        <v>55</v>
      </c>
      <c r="C144" t="s">
        <v>56</v>
      </c>
    </row>
    <row r="145" spans="1:11" x14ac:dyDescent="0.3">
      <c r="B145" t="s">
        <v>57</v>
      </c>
      <c r="C145" t="s">
        <v>55</v>
      </c>
      <c r="D145" t="s">
        <v>58</v>
      </c>
      <c r="E145" t="s">
        <v>59</v>
      </c>
      <c r="F145" t="s">
        <v>60</v>
      </c>
      <c r="G145" t="s">
        <v>61</v>
      </c>
      <c r="H145" t="s">
        <v>62</v>
      </c>
      <c r="I145" t="s">
        <v>63</v>
      </c>
      <c r="J145" t="s">
        <v>64</v>
      </c>
      <c r="K145" t="s">
        <v>65</v>
      </c>
    </row>
    <row r="146" spans="1:11" x14ac:dyDescent="0.3">
      <c r="A146" t="s">
        <v>45</v>
      </c>
    </row>
    <row r="147" spans="1:11" x14ac:dyDescent="0.3">
      <c r="B147" t="s">
        <v>47</v>
      </c>
      <c r="C147" t="s">
        <v>55</v>
      </c>
      <c r="D147">
        <v>-2.3996689999999998</v>
      </c>
      <c r="E147">
        <v>1.4279550000000001</v>
      </c>
      <c r="F147">
        <v>-1.68</v>
      </c>
      <c r="G147">
        <v>9.2999999999999999E-2</v>
      </c>
      <c r="H147">
        <v>-5.1984089999999998</v>
      </c>
      <c r="I147">
        <v>0.39907209999999999</v>
      </c>
    </row>
    <row r="148" spans="1:11" x14ac:dyDescent="0.3">
      <c r="B148" t="s">
        <v>48</v>
      </c>
      <c r="C148" t="s">
        <v>55</v>
      </c>
      <c r="D148">
        <v>-1.243061</v>
      </c>
      <c r="E148">
        <v>2.417554</v>
      </c>
      <c r="F148">
        <v>-0.51</v>
      </c>
      <c r="G148">
        <v>0.60699999999999998</v>
      </c>
      <c r="H148">
        <v>-5.9813789999999996</v>
      </c>
      <c r="I148">
        <v>3.4952570000000001</v>
      </c>
    </row>
    <row r="149" spans="1:11" x14ac:dyDescent="0.3">
      <c r="B149" t="s">
        <v>49</v>
      </c>
      <c r="C149" t="s">
        <v>55</v>
      </c>
      <c r="D149">
        <v>-0.43141350000000001</v>
      </c>
      <c r="E149">
        <v>0.35101110000000002</v>
      </c>
      <c r="F149">
        <v>-1.23</v>
      </c>
      <c r="G149">
        <v>0.219</v>
      </c>
      <c r="H149">
        <v>-1.119383</v>
      </c>
      <c r="I149">
        <v>0.2565557</v>
      </c>
    </row>
    <row r="150" spans="1:11" x14ac:dyDescent="0.3">
      <c r="B150" t="s">
        <v>37</v>
      </c>
      <c r="C150" t="s">
        <v>55</v>
      </c>
      <c r="D150">
        <v>9.9695199999999998E-2</v>
      </c>
      <c r="E150">
        <v>0.170542</v>
      </c>
      <c r="F150">
        <v>0.57999999999999996</v>
      </c>
      <c r="G150">
        <v>0.55900000000000005</v>
      </c>
      <c r="H150">
        <v>-0.23456099999999999</v>
      </c>
      <c r="I150">
        <v>0.43395129999999998</v>
      </c>
    </row>
    <row r="151" spans="1:11" x14ac:dyDescent="0.3">
      <c r="A151" t="s">
        <v>44</v>
      </c>
    </row>
    <row r="152" spans="1:11" x14ac:dyDescent="0.3">
      <c r="A152" t="s">
        <v>66</v>
      </c>
      <c r="B152" t="s">
        <v>67</v>
      </c>
      <c r="C152" t="s">
        <v>88</v>
      </c>
    </row>
    <row r="154" spans="1:11" x14ac:dyDescent="0.3">
      <c r="A154" t="s">
        <v>68</v>
      </c>
      <c r="B154" t="s">
        <v>69</v>
      </c>
      <c r="C154" t="s">
        <v>70</v>
      </c>
      <c r="D154" t="s">
        <v>71</v>
      </c>
    </row>
    <row r="155" spans="1:11" x14ac:dyDescent="0.3">
      <c r="A155" t="s">
        <v>68</v>
      </c>
      <c r="B155" t="s">
        <v>72</v>
      </c>
      <c r="C155" t="s">
        <v>73</v>
      </c>
      <c r="D155" t="s">
        <v>70</v>
      </c>
      <c r="E155" t="s">
        <v>74</v>
      </c>
      <c r="F155" t="s">
        <v>75</v>
      </c>
    </row>
    <row r="156" spans="1:11" x14ac:dyDescent="0.3">
      <c r="A156" t="s">
        <v>76</v>
      </c>
      <c r="B156" t="s">
        <v>77</v>
      </c>
      <c r="C156" t="s">
        <v>78</v>
      </c>
      <c r="D156" t="s">
        <v>79</v>
      </c>
    </row>
    <row r="158" spans="1:11" x14ac:dyDescent="0.3">
      <c r="A158" t="s">
        <v>68</v>
      </c>
      <c r="B158" t="s">
        <v>46</v>
      </c>
      <c r="C158" t="s">
        <v>22</v>
      </c>
      <c r="D158" t="s">
        <v>47</v>
      </c>
      <c r="E158" t="s">
        <v>48</v>
      </c>
      <c r="F158" t="s">
        <v>49</v>
      </c>
      <c r="G158" t="s">
        <v>37</v>
      </c>
      <c r="H158" t="s">
        <v>50</v>
      </c>
      <c r="I158" t="s">
        <v>89</v>
      </c>
      <c r="J158" t="s">
        <v>52</v>
      </c>
    </row>
    <row r="159" spans="1:11" x14ac:dyDescent="0.3">
      <c r="A159" t="s">
        <v>53</v>
      </c>
      <c r="B159" t="s">
        <v>54</v>
      </c>
    </row>
    <row r="160" spans="1:11" x14ac:dyDescent="0.3">
      <c r="A160" t="s">
        <v>44</v>
      </c>
    </row>
    <row r="161" spans="1:11" x14ac:dyDescent="0.3">
      <c r="B161" t="s">
        <v>55</v>
      </c>
      <c r="C161" t="s">
        <v>56</v>
      </c>
    </row>
    <row r="162" spans="1:11" x14ac:dyDescent="0.3">
      <c r="B162" t="s">
        <v>57</v>
      </c>
      <c r="C162" t="s">
        <v>55</v>
      </c>
      <c r="D162" t="s">
        <v>58</v>
      </c>
      <c r="E162" t="s">
        <v>59</v>
      </c>
      <c r="F162" t="s">
        <v>60</v>
      </c>
      <c r="G162" t="s">
        <v>61</v>
      </c>
      <c r="H162" t="s">
        <v>62</v>
      </c>
      <c r="I162" t="s">
        <v>63</v>
      </c>
      <c r="J162" t="s">
        <v>64</v>
      </c>
      <c r="K162" t="s">
        <v>65</v>
      </c>
    </row>
    <row r="163" spans="1:11" x14ac:dyDescent="0.3">
      <c r="A163" t="s">
        <v>45</v>
      </c>
    </row>
    <row r="164" spans="1:11" x14ac:dyDescent="0.3">
      <c r="B164" t="s">
        <v>47</v>
      </c>
      <c r="C164" t="s">
        <v>55</v>
      </c>
      <c r="D164">
        <v>-2.6676739999999999</v>
      </c>
      <c r="E164">
        <v>1.4778789999999999</v>
      </c>
      <c r="F164">
        <v>-1.81</v>
      </c>
      <c r="G164">
        <v>7.0999999999999994E-2</v>
      </c>
      <c r="H164">
        <v>-5.5642630000000004</v>
      </c>
      <c r="I164">
        <v>0.22891500000000001</v>
      </c>
    </row>
    <row r="165" spans="1:11" x14ac:dyDescent="0.3">
      <c r="B165" t="s">
        <v>48</v>
      </c>
      <c r="C165" t="s">
        <v>55</v>
      </c>
      <c r="D165">
        <v>-1.0469550000000001</v>
      </c>
      <c r="E165">
        <v>2.5020739999999999</v>
      </c>
      <c r="F165">
        <v>-0.42</v>
      </c>
      <c r="G165">
        <v>0.67600000000000005</v>
      </c>
      <c r="H165">
        <v>-5.9509290000000004</v>
      </c>
      <c r="I165">
        <v>3.8570199999999999</v>
      </c>
    </row>
    <row r="166" spans="1:11" x14ac:dyDescent="0.3">
      <c r="B166" t="s">
        <v>49</v>
      </c>
      <c r="C166" t="s">
        <v>55</v>
      </c>
      <c r="D166">
        <v>-0.46076109999999998</v>
      </c>
      <c r="E166">
        <v>0.36328329999999998</v>
      </c>
      <c r="F166">
        <v>-1.27</v>
      </c>
      <c r="G166">
        <v>0.20499999999999999</v>
      </c>
      <c r="H166">
        <v>-1.1727829999999999</v>
      </c>
      <c r="I166">
        <v>0.25126110000000001</v>
      </c>
    </row>
    <row r="167" spans="1:11" x14ac:dyDescent="0.3">
      <c r="B167" t="s">
        <v>37</v>
      </c>
      <c r="C167" t="s">
        <v>55</v>
      </c>
      <c r="D167">
        <v>0.10175240000000001</v>
      </c>
      <c r="E167">
        <v>0.17650440000000001</v>
      </c>
      <c r="F167">
        <v>0.57999999999999996</v>
      </c>
      <c r="G167">
        <v>0.56399999999999995</v>
      </c>
      <c r="H167">
        <v>-0.24418980000000001</v>
      </c>
      <c r="I167">
        <v>0.4476946</v>
      </c>
    </row>
    <row r="168" spans="1:11" x14ac:dyDescent="0.3">
      <c r="A168" t="s">
        <v>44</v>
      </c>
    </row>
    <row r="169" spans="1:11" x14ac:dyDescent="0.3">
      <c r="A169" t="s">
        <v>66</v>
      </c>
      <c r="B169" t="s">
        <v>67</v>
      </c>
      <c r="C169" t="s">
        <v>89</v>
      </c>
    </row>
    <row r="171" spans="1:11" x14ac:dyDescent="0.3">
      <c r="A171" t="s">
        <v>68</v>
      </c>
      <c r="B171" t="s">
        <v>69</v>
      </c>
      <c r="C171" t="s">
        <v>70</v>
      </c>
      <c r="D171" t="s">
        <v>71</v>
      </c>
    </row>
    <row r="172" spans="1:11" x14ac:dyDescent="0.3">
      <c r="A172" t="s">
        <v>68</v>
      </c>
      <c r="B172" t="s">
        <v>72</v>
      </c>
      <c r="C172" t="s">
        <v>73</v>
      </c>
      <c r="D172" t="s">
        <v>70</v>
      </c>
      <c r="E172" t="s">
        <v>74</v>
      </c>
      <c r="F172" t="s">
        <v>75</v>
      </c>
    </row>
    <row r="173" spans="1:11" x14ac:dyDescent="0.3">
      <c r="A173" t="s">
        <v>76</v>
      </c>
      <c r="B173" t="s">
        <v>77</v>
      </c>
      <c r="C173" t="s">
        <v>78</v>
      </c>
      <c r="D173" t="s">
        <v>79</v>
      </c>
    </row>
    <row r="175" spans="1:11" x14ac:dyDescent="0.3">
      <c r="A175" t="s">
        <v>68</v>
      </c>
      <c r="B175" t="s">
        <v>46</v>
      </c>
      <c r="C175" t="s">
        <v>22</v>
      </c>
      <c r="D175" t="s">
        <v>47</v>
      </c>
      <c r="E175" t="s">
        <v>48</v>
      </c>
      <c r="F175" t="s">
        <v>49</v>
      </c>
      <c r="G175" t="s">
        <v>37</v>
      </c>
      <c r="H175" t="s">
        <v>50</v>
      </c>
      <c r="I175" t="s">
        <v>90</v>
      </c>
      <c r="J175" t="s">
        <v>81</v>
      </c>
    </row>
    <row r="176" spans="1:11" x14ac:dyDescent="0.3">
      <c r="A176" t="s">
        <v>53</v>
      </c>
      <c r="B176" t="s">
        <v>82</v>
      </c>
    </row>
    <row r="177" spans="1:11" x14ac:dyDescent="0.3">
      <c r="A177" t="s">
        <v>44</v>
      </c>
    </row>
    <row r="178" spans="1:11" x14ac:dyDescent="0.3">
      <c r="B178" t="s">
        <v>55</v>
      </c>
      <c r="C178" t="s">
        <v>56</v>
      </c>
    </row>
    <row r="179" spans="1:11" x14ac:dyDescent="0.3">
      <c r="B179" t="s">
        <v>57</v>
      </c>
      <c r="C179" t="s">
        <v>55</v>
      </c>
      <c r="D179" t="s">
        <v>58</v>
      </c>
      <c r="E179" t="s">
        <v>59</v>
      </c>
      <c r="F179" t="s">
        <v>60</v>
      </c>
      <c r="G179" t="s">
        <v>61</v>
      </c>
      <c r="H179" t="s">
        <v>62</v>
      </c>
      <c r="I179" t="s">
        <v>63</v>
      </c>
      <c r="J179" t="s">
        <v>64</v>
      </c>
      <c r="K179" t="s">
        <v>65</v>
      </c>
    </row>
    <row r="180" spans="1:11" x14ac:dyDescent="0.3">
      <c r="A180" t="s">
        <v>45</v>
      </c>
    </row>
    <row r="181" spans="1:11" x14ac:dyDescent="0.3">
      <c r="B181" t="s">
        <v>47</v>
      </c>
      <c r="C181" t="s">
        <v>55</v>
      </c>
      <c r="D181">
        <v>-2.6676739999999999</v>
      </c>
      <c r="E181">
        <v>1.4778789999999999</v>
      </c>
      <c r="F181">
        <v>-1.81</v>
      </c>
      <c r="G181">
        <v>7.0999999999999994E-2</v>
      </c>
      <c r="H181">
        <v>-5.5642630000000004</v>
      </c>
      <c r="I181">
        <v>0.2289149</v>
      </c>
    </row>
    <row r="182" spans="1:11" x14ac:dyDescent="0.3">
      <c r="B182" t="s">
        <v>48</v>
      </c>
      <c r="C182" t="s">
        <v>55</v>
      </c>
      <c r="D182">
        <v>-1.0469550000000001</v>
      </c>
      <c r="E182">
        <v>2.5020760000000002</v>
      </c>
      <c r="F182">
        <v>-0.42</v>
      </c>
      <c r="G182">
        <v>0.67600000000000005</v>
      </c>
      <c r="H182">
        <v>-5.950933</v>
      </c>
      <c r="I182">
        <v>3.8570229999999999</v>
      </c>
    </row>
    <row r="183" spans="1:11" x14ac:dyDescent="0.3">
      <c r="B183" t="s">
        <v>49</v>
      </c>
      <c r="C183" t="s">
        <v>55</v>
      </c>
      <c r="D183">
        <v>-0.46076109999999998</v>
      </c>
      <c r="E183">
        <v>0.36328290000000002</v>
      </c>
      <c r="F183">
        <v>-1.27</v>
      </c>
      <c r="G183">
        <v>0.20499999999999999</v>
      </c>
      <c r="H183">
        <v>-1.1727829999999999</v>
      </c>
      <c r="I183">
        <v>0.25126029999999999</v>
      </c>
    </row>
    <row r="184" spans="1:11" x14ac:dyDescent="0.3">
      <c r="B184" t="s">
        <v>37</v>
      </c>
      <c r="C184" t="s">
        <v>55</v>
      </c>
      <c r="D184">
        <v>0.10175240000000001</v>
      </c>
      <c r="E184">
        <v>0.17650440000000001</v>
      </c>
      <c r="F184">
        <v>0.57999999999999996</v>
      </c>
      <c r="G184">
        <v>0.56399999999999995</v>
      </c>
      <c r="H184">
        <v>-0.24418980000000001</v>
      </c>
      <c r="I184">
        <v>0.4476946</v>
      </c>
    </row>
    <row r="185" spans="1:11" x14ac:dyDescent="0.3">
      <c r="A185" t="s">
        <v>44</v>
      </c>
    </row>
    <row r="186" spans="1:11" x14ac:dyDescent="0.3">
      <c r="A186" t="s">
        <v>66</v>
      </c>
      <c r="B186" t="s">
        <v>67</v>
      </c>
      <c r="C186" t="s">
        <v>90</v>
      </c>
    </row>
    <row r="188" spans="1:11" x14ac:dyDescent="0.3">
      <c r="A188" t="s">
        <v>68</v>
      </c>
      <c r="B188" t="s">
        <v>69</v>
      </c>
      <c r="C188" t="s">
        <v>70</v>
      </c>
      <c r="D188" t="s">
        <v>71</v>
      </c>
    </row>
    <row r="189" spans="1:11" x14ac:dyDescent="0.3">
      <c r="A189" t="s">
        <v>68</v>
      </c>
      <c r="B189" t="s">
        <v>72</v>
      </c>
      <c r="C189" t="s">
        <v>73</v>
      </c>
      <c r="D189" t="s">
        <v>70</v>
      </c>
      <c r="E189" t="s">
        <v>74</v>
      </c>
      <c r="F189" t="s">
        <v>75</v>
      </c>
    </row>
    <row r="190" spans="1:11" x14ac:dyDescent="0.3">
      <c r="A190" t="s">
        <v>76</v>
      </c>
      <c r="B190" t="s">
        <v>77</v>
      </c>
      <c r="C190" t="s">
        <v>78</v>
      </c>
      <c r="D190" t="s">
        <v>79</v>
      </c>
    </row>
    <row r="192" spans="1:11" x14ac:dyDescent="0.3">
      <c r="A192" t="s">
        <v>68</v>
      </c>
      <c r="B192" t="s">
        <v>46</v>
      </c>
      <c r="C192" t="s">
        <v>22</v>
      </c>
      <c r="D192" t="s">
        <v>47</v>
      </c>
      <c r="E192" t="s">
        <v>48</v>
      </c>
      <c r="F192" t="s">
        <v>49</v>
      </c>
      <c r="G192" t="s">
        <v>37</v>
      </c>
      <c r="H192" t="s">
        <v>50</v>
      </c>
      <c r="I192" t="s">
        <v>91</v>
      </c>
      <c r="J192" t="s">
        <v>52</v>
      </c>
    </row>
    <row r="193" spans="1:11" x14ac:dyDescent="0.3">
      <c r="A193" t="s">
        <v>53</v>
      </c>
      <c r="B193" t="s">
        <v>54</v>
      </c>
    </row>
    <row r="194" spans="1:11" x14ac:dyDescent="0.3">
      <c r="A194" t="s">
        <v>44</v>
      </c>
    </row>
    <row r="195" spans="1:11" x14ac:dyDescent="0.3">
      <c r="B195" t="s">
        <v>55</v>
      </c>
      <c r="C195" t="s">
        <v>56</v>
      </c>
    </row>
    <row r="196" spans="1:11" x14ac:dyDescent="0.3">
      <c r="B196" t="s">
        <v>57</v>
      </c>
      <c r="C196" t="s">
        <v>55</v>
      </c>
      <c r="D196" t="s">
        <v>58</v>
      </c>
      <c r="E196" t="s">
        <v>59</v>
      </c>
      <c r="F196" t="s">
        <v>60</v>
      </c>
      <c r="G196" t="s">
        <v>61</v>
      </c>
      <c r="H196" t="s">
        <v>62</v>
      </c>
      <c r="I196" t="s">
        <v>63</v>
      </c>
      <c r="J196" t="s">
        <v>64</v>
      </c>
      <c r="K196" t="s">
        <v>65</v>
      </c>
    </row>
    <row r="197" spans="1:11" x14ac:dyDescent="0.3">
      <c r="A197" t="s">
        <v>45</v>
      </c>
    </row>
    <row r="198" spans="1:11" x14ac:dyDescent="0.3">
      <c r="B198" t="s">
        <v>47</v>
      </c>
      <c r="C198" t="s">
        <v>55</v>
      </c>
      <c r="D198">
        <v>-3.4741430000000002</v>
      </c>
      <c r="E198">
        <v>1.617831</v>
      </c>
      <c r="F198">
        <v>-2.15</v>
      </c>
      <c r="G198">
        <v>3.2000000000000001E-2</v>
      </c>
      <c r="H198">
        <v>-6.6450329999999997</v>
      </c>
      <c r="I198">
        <v>-0.30325279999999999</v>
      </c>
    </row>
    <row r="199" spans="1:11" x14ac:dyDescent="0.3">
      <c r="B199" t="s">
        <v>48</v>
      </c>
      <c r="C199" t="s">
        <v>55</v>
      </c>
      <c r="D199">
        <v>-0.47615679999999999</v>
      </c>
      <c r="E199">
        <v>2.7390140000000001</v>
      </c>
      <c r="F199">
        <v>-0.17</v>
      </c>
      <c r="G199">
        <v>0.86199999999999999</v>
      </c>
      <c r="H199">
        <v>-5.8445260000000001</v>
      </c>
      <c r="I199">
        <v>4.8922119999999998</v>
      </c>
    </row>
    <row r="200" spans="1:11" x14ac:dyDescent="0.3">
      <c r="B200" t="s">
        <v>49</v>
      </c>
      <c r="C200" t="s">
        <v>55</v>
      </c>
      <c r="D200">
        <v>-0.54386769999999995</v>
      </c>
      <c r="E200">
        <v>0.39768530000000002</v>
      </c>
      <c r="F200">
        <v>-1.37</v>
      </c>
      <c r="G200">
        <v>0.17100000000000001</v>
      </c>
      <c r="H200">
        <v>-1.3233170000000001</v>
      </c>
      <c r="I200">
        <v>0.23558109999999999</v>
      </c>
    </row>
    <row r="201" spans="1:11" x14ac:dyDescent="0.3">
      <c r="B201" t="s">
        <v>37</v>
      </c>
      <c r="C201" t="s">
        <v>55</v>
      </c>
      <c r="D201">
        <v>0.13821410000000001</v>
      </c>
      <c r="E201">
        <v>0.1932189</v>
      </c>
      <c r="F201">
        <v>0.72</v>
      </c>
      <c r="G201">
        <v>0.47399999999999998</v>
      </c>
      <c r="H201">
        <v>-0.24048800000000001</v>
      </c>
      <c r="I201">
        <v>0.5169163</v>
      </c>
    </row>
    <row r="202" spans="1:11" x14ac:dyDescent="0.3">
      <c r="A202" t="s">
        <v>44</v>
      </c>
    </row>
    <row r="203" spans="1:11" x14ac:dyDescent="0.3">
      <c r="A203" t="s">
        <v>66</v>
      </c>
      <c r="B203" t="s">
        <v>67</v>
      </c>
      <c r="C203" t="s">
        <v>91</v>
      </c>
    </row>
    <row r="205" spans="1:11" x14ac:dyDescent="0.3">
      <c r="A205" t="s">
        <v>68</v>
      </c>
      <c r="B205" t="s">
        <v>69</v>
      </c>
      <c r="C205" t="s">
        <v>70</v>
      </c>
      <c r="D205" t="s">
        <v>71</v>
      </c>
    </row>
    <row r="206" spans="1:11" x14ac:dyDescent="0.3">
      <c r="A206" t="s">
        <v>68</v>
      </c>
      <c r="B206" t="s">
        <v>72</v>
      </c>
      <c r="C206" t="s">
        <v>73</v>
      </c>
      <c r="D206" t="s">
        <v>70</v>
      </c>
      <c r="E206" t="s">
        <v>74</v>
      </c>
      <c r="F206" t="s">
        <v>75</v>
      </c>
    </row>
    <row r="207" spans="1:11" x14ac:dyDescent="0.3">
      <c r="A207" t="s">
        <v>76</v>
      </c>
      <c r="B207" t="s">
        <v>77</v>
      </c>
      <c r="C207" t="s">
        <v>78</v>
      </c>
      <c r="D207" t="s">
        <v>79</v>
      </c>
    </row>
    <row r="209" spans="1:11" x14ac:dyDescent="0.3">
      <c r="A209" t="s">
        <v>68</v>
      </c>
      <c r="B209" t="s">
        <v>46</v>
      </c>
      <c r="C209" t="s">
        <v>22</v>
      </c>
      <c r="D209" t="s">
        <v>47</v>
      </c>
      <c r="E209" t="s">
        <v>48</v>
      </c>
      <c r="F209" t="s">
        <v>49</v>
      </c>
      <c r="G209" t="s">
        <v>37</v>
      </c>
      <c r="H209" t="s">
        <v>50</v>
      </c>
      <c r="I209" t="s">
        <v>92</v>
      </c>
      <c r="J209" t="s">
        <v>81</v>
      </c>
    </row>
    <row r="210" spans="1:11" x14ac:dyDescent="0.3">
      <c r="A210" t="s">
        <v>53</v>
      </c>
      <c r="B210" t="s">
        <v>82</v>
      </c>
    </row>
    <row r="211" spans="1:11" x14ac:dyDescent="0.3">
      <c r="A211" t="s">
        <v>44</v>
      </c>
    </row>
    <row r="212" spans="1:11" x14ac:dyDescent="0.3">
      <c r="B212" t="s">
        <v>55</v>
      </c>
      <c r="C212" t="s">
        <v>56</v>
      </c>
    </row>
    <row r="213" spans="1:11" x14ac:dyDescent="0.3">
      <c r="B213" t="s">
        <v>57</v>
      </c>
      <c r="C213" t="s">
        <v>55</v>
      </c>
      <c r="D213" t="s">
        <v>58</v>
      </c>
      <c r="E213" t="s">
        <v>59</v>
      </c>
      <c r="F213" t="s">
        <v>60</v>
      </c>
      <c r="G213" t="s">
        <v>61</v>
      </c>
      <c r="H213" t="s">
        <v>62</v>
      </c>
      <c r="I213" t="s">
        <v>63</v>
      </c>
      <c r="J213" t="s">
        <v>64</v>
      </c>
      <c r="K213" t="s">
        <v>65</v>
      </c>
    </row>
    <row r="214" spans="1:11" x14ac:dyDescent="0.3">
      <c r="A214" t="s">
        <v>45</v>
      </c>
    </row>
    <row r="215" spans="1:11" x14ac:dyDescent="0.3">
      <c r="B215" t="s">
        <v>47</v>
      </c>
      <c r="C215" t="s">
        <v>55</v>
      </c>
      <c r="D215">
        <v>-3.6394389999999999</v>
      </c>
      <c r="E215">
        <v>1.66195</v>
      </c>
      <c r="F215">
        <v>-2.19</v>
      </c>
      <c r="G215">
        <v>2.9000000000000001E-2</v>
      </c>
      <c r="H215">
        <v>-6.896801</v>
      </c>
      <c r="I215">
        <v>-0.38207619999999998</v>
      </c>
    </row>
    <row r="216" spans="1:11" x14ac:dyDescent="0.3">
      <c r="B216" t="s">
        <v>48</v>
      </c>
      <c r="C216" t="s">
        <v>55</v>
      </c>
      <c r="D216">
        <v>-0.17618220000000001</v>
      </c>
      <c r="E216">
        <v>2.813717</v>
      </c>
      <c r="F216">
        <v>-0.06</v>
      </c>
      <c r="G216">
        <v>0.95</v>
      </c>
      <c r="H216">
        <v>-5.6909669999999997</v>
      </c>
      <c r="I216">
        <v>5.338603</v>
      </c>
    </row>
    <row r="217" spans="1:11" x14ac:dyDescent="0.3">
      <c r="B217" t="s">
        <v>49</v>
      </c>
      <c r="C217" t="s">
        <v>55</v>
      </c>
      <c r="D217">
        <v>-0.57270109999999996</v>
      </c>
      <c r="E217">
        <v>0.40853040000000002</v>
      </c>
      <c r="F217">
        <v>-1.4</v>
      </c>
      <c r="G217">
        <v>0.161</v>
      </c>
      <c r="H217">
        <v>-1.3734059999999999</v>
      </c>
      <c r="I217">
        <v>0.2280037</v>
      </c>
    </row>
    <row r="218" spans="1:11" x14ac:dyDescent="0.3">
      <c r="B218" t="s">
        <v>37</v>
      </c>
      <c r="C218" t="s">
        <v>55</v>
      </c>
      <c r="D218">
        <v>0.15148909999999999</v>
      </c>
      <c r="E218">
        <v>0.1984882</v>
      </c>
      <c r="F218">
        <v>0.76</v>
      </c>
      <c r="G218">
        <v>0.44500000000000001</v>
      </c>
      <c r="H218">
        <v>-0.23754059999999999</v>
      </c>
      <c r="I218">
        <v>0.54051870000000002</v>
      </c>
    </row>
    <row r="219" spans="1:11" x14ac:dyDescent="0.3">
      <c r="A219" t="s">
        <v>44</v>
      </c>
    </row>
    <row r="220" spans="1:11" x14ac:dyDescent="0.3">
      <c r="A220" t="s">
        <v>66</v>
      </c>
      <c r="B220" t="s">
        <v>67</v>
      </c>
      <c r="C220" t="s">
        <v>92</v>
      </c>
    </row>
    <row r="222" spans="1:11" x14ac:dyDescent="0.3">
      <c r="A222" t="s">
        <v>68</v>
      </c>
      <c r="B222" t="s">
        <v>69</v>
      </c>
      <c r="C222" t="s">
        <v>70</v>
      </c>
      <c r="D222" t="s">
        <v>71</v>
      </c>
    </row>
    <row r="223" spans="1:11" x14ac:dyDescent="0.3">
      <c r="A223" t="s">
        <v>68</v>
      </c>
      <c r="B223" t="s">
        <v>72</v>
      </c>
      <c r="C223" t="s">
        <v>73</v>
      </c>
      <c r="D223" t="s">
        <v>70</v>
      </c>
      <c r="E223" t="s">
        <v>74</v>
      </c>
      <c r="F223" t="s">
        <v>75</v>
      </c>
    </row>
    <row r="224" spans="1:11" x14ac:dyDescent="0.3">
      <c r="A224" t="s">
        <v>76</v>
      </c>
      <c r="B224" t="s">
        <v>77</v>
      </c>
      <c r="C224" t="s">
        <v>78</v>
      </c>
      <c r="D224" t="s">
        <v>79</v>
      </c>
    </row>
    <row r="226" spans="1:11" x14ac:dyDescent="0.3">
      <c r="A226" t="s">
        <v>68</v>
      </c>
      <c r="B226" t="s">
        <v>46</v>
      </c>
      <c r="C226" t="s">
        <v>22</v>
      </c>
      <c r="D226" t="s">
        <v>47</v>
      </c>
      <c r="E226" t="s">
        <v>48</v>
      </c>
      <c r="F226" t="s">
        <v>49</v>
      </c>
      <c r="G226" t="s">
        <v>37</v>
      </c>
      <c r="H226" t="s">
        <v>50</v>
      </c>
      <c r="I226" t="s">
        <v>93</v>
      </c>
      <c r="J226" t="s">
        <v>52</v>
      </c>
    </row>
    <row r="227" spans="1:11" x14ac:dyDescent="0.3">
      <c r="A227" t="s">
        <v>53</v>
      </c>
      <c r="B227" t="s">
        <v>54</v>
      </c>
    </row>
    <row r="228" spans="1:11" x14ac:dyDescent="0.3">
      <c r="A228" t="s">
        <v>44</v>
      </c>
    </row>
    <row r="229" spans="1:11" x14ac:dyDescent="0.3">
      <c r="B229" t="s">
        <v>55</v>
      </c>
      <c r="C229" t="s">
        <v>56</v>
      </c>
    </row>
    <row r="230" spans="1:11" x14ac:dyDescent="0.3">
      <c r="B230" t="s">
        <v>57</v>
      </c>
      <c r="C230" t="s">
        <v>55</v>
      </c>
      <c r="D230" t="s">
        <v>58</v>
      </c>
      <c r="E230" t="s">
        <v>59</v>
      </c>
      <c r="F230" t="s">
        <v>60</v>
      </c>
      <c r="G230" t="s">
        <v>61</v>
      </c>
      <c r="H230" t="s">
        <v>62</v>
      </c>
      <c r="I230" t="s">
        <v>63</v>
      </c>
      <c r="J230" t="s">
        <v>64</v>
      </c>
      <c r="K230" t="s">
        <v>65</v>
      </c>
    </row>
    <row r="231" spans="1:11" x14ac:dyDescent="0.3">
      <c r="A231" t="s">
        <v>45</v>
      </c>
    </row>
    <row r="232" spans="1:11" x14ac:dyDescent="0.3">
      <c r="B232" t="s">
        <v>47</v>
      </c>
      <c r="C232" t="s">
        <v>55</v>
      </c>
      <c r="D232">
        <v>-3.6394389999999999</v>
      </c>
      <c r="E232">
        <v>1.66195</v>
      </c>
      <c r="F232">
        <v>-2.19</v>
      </c>
      <c r="G232">
        <v>2.9000000000000001E-2</v>
      </c>
      <c r="H232">
        <v>-6.896801</v>
      </c>
      <c r="I232">
        <v>-0.38207600000000003</v>
      </c>
    </row>
    <row r="233" spans="1:11" x14ac:dyDescent="0.3">
      <c r="B233" t="s">
        <v>48</v>
      </c>
      <c r="C233" t="s">
        <v>55</v>
      </c>
      <c r="D233">
        <v>-0.17618220000000001</v>
      </c>
      <c r="E233">
        <v>2.8137110000000001</v>
      </c>
      <c r="F233">
        <v>-0.06</v>
      </c>
      <c r="G233">
        <v>0.95</v>
      </c>
      <c r="H233">
        <v>-5.6909539999999996</v>
      </c>
      <c r="I233">
        <v>5.3385899999999999</v>
      </c>
    </row>
    <row r="234" spans="1:11" x14ac:dyDescent="0.3">
      <c r="B234" t="s">
        <v>49</v>
      </c>
      <c r="C234" t="s">
        <v>55</v>
      </c>
      <c r="D234">
        <v>-0.57270109999999996</v>
      </c>
      <c r="E234">
        <v>0.40853020000000001</v>
      </c>
      <c r="F234">
        <v>-1.4</v>
      </c>
      <c r="G234">
        <v>0.161</v>
      </c>
      <c r="H234">
        <v>-1.3734059999999999</v>
      </c>
      <c r="I234">
        <v>0.22800339999999999</v>
      </c>
    </row>
    <row r="235" spans="1:11" x14ac:dyDescent="0.3">
      <c r="B235" t="s">
        <v>37</v>
      </c>
      <c r="C235" t="s">
        <v>55</v>
      </c>
      <c r="D235">
        <v>0.15148909999999999</v>
      </c>
      <c r="E235">
        <v>0.1984882</v>
      </c>
      <c r="F235">
        <v>0.76</v>
      </c>
      <c r="G235">
        <v>0.44500000000000001</v>
      </c>
      <c r="H235">
        <v>-0.23754059999999999</v>
      </c>
      <c r="I235">
        <v>0.54051870000000002</v>
      </c>
    </row>
    <row r="236" spans="1:11" x14ac:dyDescent="0.3">
      <c r="A236" t="s">
        <v>44</v>
      </c>
    </row>
    <row r="237" spans="1:11" x14ac:dyDescent="0.3">
      <c r="A237" t="s">
        <v>66</v>
      </c>
      <c r="B237" t="s">
        <v>67</v>
      </c>
      <c r="C237" t="s">
        <v>93</v>
      </c>
    </row>
    <row r="239" spans="1:11" x14ac:dyDescent="0.3">
      <c r="A239" t="s">
        <v>68</v>
      </c>
      <c r="B239" t="s">
        <v>69</v>
      </c>
      <c r="C239" t="s">
        <v>70</v>
      </c>
      <c r="D239" t="s">
        <v>71</v>
      </c>
    </row>
    <row r="240" spans="1:11" x14ac:dyDescent="0.3">
      <c r="A240" t="s">
        <v>68</v>
      </c>
      <c r="B240" t="s">
        <v>72</v>
      </c>
      <c r="C240" t="s">
        <v>73</v>
      </c>
      <c r="D240" t="s">
        <v>70</v>
      </c>
      <c r="E240" t="s">
        <v>74</v>
      </c>
      <c r="F240" t="s">
        <v>75</v>
      </c>
    </row>
    <row r="241" spans="1:11" x14ac:dyDescent="0.3">
      <c r="A241" t="s">
        <v>76</v>
      </c>
      <c r="B241" t="s">
        <v>77</v>
      </c>
      <c r="C241" t="s">
        <v>78</v>
      </c>
      <c r="D241" t="s">
        <v>79</v>
      </c>
    </row>
    <row r="243" spans="1:11" x14ac:dyDescent="0.3">
      <c r="A243" t="s">
        <v>68</v>
      </c>
      <c r="B243" t="s">
        <v>46</v>
      </c>
      <c r="C243" t="s">
        <v>22</v>
      </c>
      <c r="D243" t="s">
        <v>47</v>
      </c>
      <c r="E243" t="s">
        <v>48</v>
      </c>
      <c r="F243" t="s">
        <v>49</v>
      </c>
      <c r="G243" t="s">
        <v>37</v>
      </c>
      <c r="H243" t="s">
        <v>50</v>
      </c>
      <c r="I243" t="s">
        <v>94</v>
      </c>
      <c r="J243" t="s">
        <v>81</v>
      </c>
    </row>
    <row r="244" spans="1:11" x14ac:dyDescent="0.3">
      <c r="A244" t="s">
        <v>53</v>
      </c>
      <c r="B244" t="s">
        <v>82</v>
      </c>
    </row>
    <row r="245" spans="1:11" x14ac:dyDescent="0.3">
      <c r="A245" t="s">
        <v>44</v>
      </c>
    </row>
    <row r="246" spans="1:11" x14ac:dyDescent="0.3">
      <c r="B246" t="s">
        <v>55</v>
      </c>
      <c r="C246" t="s">
        <v>56</v>
      </c>
    </row>
    <row r="247" spans="1:11" x14ac:dyDescent="0.3">
      <c r="B247" t="s">
        <v>57</v>
      </c>
      <c r="C247" t="s">
        <v>55</v>
      </c>
      <c r="D247" t="s">
        <v>58</v>
      </c>
      <c r="E247" t="s">
        <v>59</v>
      </c>
      <c r="F247" t="s">
        <v>60</v>
      </c>
      <c r="G247" t="s">
        <v>61</v>
      </c>
      <c r="H247" t="s">
        <v>62</v>
      </c>
      <c r="I247" t="s">
        <v>63</v>
      </c>
      <c r="J247" t="s">
        <v>64</v>
      </c>
      <c r="K247" t="s">
        <v>65</v>
      </c>
    </row>
    <row r="248" spans="1:11" x14ac:dyDescent="0.3">
      <c r="A248" t="s">
        <v>45</v>
      </c>
    </row>
    <row r="249" spans="1:11" x14ac:dyDescent="0.3">
      <c r="B249" t="s">
        <v>47</v>
      </c>
      <c r="C249" t="s">
        <v>55</v>
      </c>
      <c r="D249">
        <v>-3.6394389999999999</v>
      </c>
      <c r="E249">
        <v>1.66195</v>
      </c>
      <c r="F249">
        <v>-2.19</v>
      </c>
      <c r="G249">
        <v>2.9000000000000001E-2</v>
      </c>
      <c r="H249">
        <v>-6.896801</v>
      </c>
      <c r="I249">
        <v>-0.38207649999999999</v>
      </c>
    </row>
    <row r="250" spans="1:11" x14ac:dyDescent="0.3">
      <c r="B250" t="s">
        <v>48</v>
      </c>
      <c r="C250" t="s">
        <v>55</v>
      </c>
      <c r="D250">
        <v>-0.17618220000000001</v>
      </c>
      <c r="E250">
        <v>2.8137159999999999</v>
      </c>
      <c r="F250">
        <v>-0.06</v>
      </c>
      <c r="G250">
        <v>0.95</v>
      </c>
      <c r="H250">
        <v>-5.6909640000000001</v>
      </c>
      <c r="I250">
        <v>5.3385990000000003</v>
      </c>
    </row>
    <row r="251" spans="1:11" x14ac:dyDescent="0.3">
      <c r="B251" t="s">
        <v>49</v>
      </c>
      <c r="C251" t="s">
        <v>55</v>
      </c>
      <c r="D251">
        <v>-0.57270109999999996</v>
      </c>
      <c r="E251">
        <v>0.40853020000000001</v>
      </c>
      <c r="F251">
        <v>-1.4</v>
      </c>
      <c r="G251">
        <v>0.161</v>
      </c>
      <c r="H251">
        <v>-1.3734059999999999</v>
      </c>
      <c r="I251">
        <v>0.22800339999999999</v>
      </c>
    </row>
    <row r="252" spans="1:11" x14ac:dyDescent="0.3">
      <c r="B252" t="s">
        <v>37</v>
      </c>
      <c r="C252" t="s">
        <v>55</v>
      </c>
      <c r="D252">
        <v>0.15148909999999999</v>
      </c>
      <c r="E252">
        <v>0.1984882</v>
      </c>
      <c r="F252">
        <v>0.76</v>
      </c>
      <c r="G252">
        <v>0.44500000000000001</v>
      </c>
      <c r="H252">
        <v>-0.23754059999999999</v>
      </c>
      <c r="I252">
        <v>0.54051870000000002</v>
      </c>
    </row>
    <row r="253" spans="1:11" x14ac:dyDescent="0.3">
      <c r="A253" t="s">
        <v>44</v>
      </c>
    </row>
    <row r="254" spans="1:11" x14ac:dyDescent="0.3">
      <c r="A254" t="s">
        <v>66</v>
      </c>
      <c r="B254" t="s">
        <v>67</v>
      </c>
      <c r="C254" t="s">
        <v>94</v>
      </c>
    </row>
    <row r="256" spans="1:11" x14ac:dyDescent="0.3">
      <c r="A256" t="s">
        <v>68</v>
      </c>
      <c r="B256" t="s">
        <v>69</v>
      </c>
      <c r="C256" t="s">
        <v>70</v>
      </c>
      <c r="D256" t="s">
        <v>71</v>
      </c>
    </row>
    <row r="257" spans="1:11" x14ac:dyDescent="0.3">
      <c r="A257" t="s">
        <v>68</v>
      </c>
      <c r="B257" t="s">
        <v>72</v>
      </c>
      <c r="C257" t="s">
        <v>73</v>
      </c>
      <c r="D257" t="s">
        <v>70</v>
      </c>
      <c r="E257" t="s">
        <v>74</v>
      </c>
      <c r="F257" t="s">
        <v>75</v>
      </c>
    </row>
    <row r="258" spans="1:11" x14ac:dyDescent="0.3">
      <c r="A258" t="s">
        <v>76</v>
      </c>
      <c r="B258" t="s">
        <v>77</v>
      </c>
      <c r="C258" t="s">
        <v>78</v>
      </c>
      <c r="D258" t="s">
        <v>79</v>
      </c>
    </row>
    <row r="260" spans="1:11" x14ac:dyDescent="0.3">
      <c r="A260" t="s">
        <v>68</v>
      </c>
      <c r="B260" t="s">
        <v>46</v>
      </c>
      <c r="C260" t="s">
        <v>22</v>
      </c>
      <c r="D260" t="s">
        <v>47</v>
      </c>
      <c r="E260" t="s">
        <v>48</v>
      </c>
      <c r="F260" t="s">
        <v>49</v>
      </c>
      <c r="G260" t="s">
        <v>37</v>
      </c>
      <c r="H260" t="s">
        <v>50</v>
      </c>
      <c r="I260" t="s">
        <v>95</v>
      </c>
      <c r="J260" t="s">
        <v>52</v>
      </c>
    </row>
    <row r="261" spans="1:11" x14ac:dyDescent="0.3">
      <c r="A261" t="s">
        <v>53</v>
      </c>
      <c r="B261" t="s">
        <v>54</v>
      </c>
    </row>
    <row r="262" spans="1:11" x14ac:dyDescent="0.3">
      <c r="A262" t="s">
        <v>44</v>
      </c>
    </row>
    <row r="263" spans="1:11" x14ac:dyDescent="0.3">
      <c r="B263" t="s">
        <v>55</v>
      </c>
      <c r="C263" t="s">
        <v>56</v>
      </c>
    </row>
    <row r="264" spans="1:11" x14ac:dyDescent="0.3">
      <c r="B264" t="s">
        <v>57</v>
      </c>
      <c r="C264" t="s">
        <v>55</v>
      </c>
      <c r="D264" t="s">
        <v>58</v>
      </c>
      <c r="E264" t="s">
        <v>59</v>
      </c>
      <c r="F264" t="s">
        <v>60</v>
      </c>
      <c r="G264" t="s">
        <v>61</v>
      </c>
      <c r="H264" t="s">
        <v>62</v>
      </c>
      <c r="I264" t="s">
        <v>63</v>
      </c>
      <c r="J264" t="s">
        <v>64</v>
      </c>
      <c r="K264" t="s">
        <v>65</v>
      </c>
    </row>
    <row r="265" spans="1:11" x14ac:dyDescent="0.3">
      <c r="A265" t="s">
        <v>45</v>
      </c>
    </row>
    <row r="266" spans="1:11" x14ac:dyDescent="0.3">
      <c r="B266" t="s">
        <v>47</v>
      </c>
      <c r="C266" t="s">
        <v>55</v>
      </c>
      <c r="D266">
        <v>-4.8780559999999999</v>
      </c>
      <c r="E266">
        <v>1.846007</v>
      </c>
      <c r="F266">
        <v>-2.64</v>
      </c>
      <c r="G266">
        <v>8.0000000000000002E-3</v>
      </c>
      <c r="H266">
        <v>-8.4961640000000003</v>
      </c>
      <c r="I266">
        <v>-1.2599480000000001</v>
      </c>
    </row>
    <row r="267" spans="1:11" x14ac:dyDescent="0.3">
      <c r="B267" t="s">
        <v>48</v>
      </c>
      <c r="C267" t="s">
        <v>55</v>
      </c>
      <c r="D267">
        <v>0.65656139999999996</v>
      </c>
      <c r="E267">
        <v>3.1253199999999999</v>
      </c>
      <c r="F267">
        <v>0.21</v>
      </c>
      <c r="G267">
        <v>0.83399999999999996</v>
      </c>
      <c r="H267">
        <v>-5.468953</v>
      </c>
      <c r="I267">
        <v>6.782076</v>
      </c>
    </row>
    <row r="268" spans="1:11" x14ac:dyDescent="0.3">
      <c r="B268" t="s">
        <v>49</v>
      </c>
      <c r="C268" t="s">
        <v>55</v>
      </c>
      <c r="D268">
        <v>-0.72677579999999997</v>
      </c>
      <c r="E268">
        <v>0.45377410000000001</v>
      </c>
      <c r="F268">
        <v>-1.6</v>
      </c>
      <c r="G268">
        <v>0.109</v>
      </c>
      <c r="H268">
        <v>-1.6161570000000001</v>
      </c>
      <c r="I268">
        <v>0.1626051</v>
      </c>
    </row>
    <row r="269" spans="1:11" x14ac:dyDescent="0.3">
      <c r="B269" t="s">
        <v>37</v>
      </c>
      <c r="C269" t="s">
        <v>55</v>
      </c>
      <c r="D269">
        <v>0.1675083</v>
      </c>
      <c r="E269">
        <v>0.22047030000000001</v>
      </c>
      <c r="F269">
        <v>0.76</v>
      </c>
      <c r="G269">
        <v>0.44700000000000001</v>
      </c>
      <c r="H269">
        <v>-0.26460549999999999</v>
      </c>
      <c r="I269">
        <v>0.59962210000000005</v>
      </c>
    </row>
    <row r="270" spans="1:11" x14ac:dyDescent="0.3">
      <c r="A270" t="s">
        <v>44</v>
      </c>
    </row>
    <row r="271" spans="1:11" x14ac:dyDescent="0.3">
      <c r="A271" t="s">
        <v>66</v>
      </c>
      <c r="B271" t="s">
        <v>67</v>
      </c>
      <c r="C271" t="s">
        <v>95</v>
      </c>
    </row>
    <row r="273" spans="1:11" x14ac:dyDescent="0.3">
      <c r="A273" t="s">
        <v>68</v>
      </c>
      <c r="B273" t="s">
        <v>69</v>
      </c>
      <c r="C273" t="s">
        <v>70</v>
      </c>
      <c r="D273" t="s">
        <v>71</v>
      </c>
    </row>
    <row r="274" spans="1:11" x14ac:dyDescent="0.3">
      <c r="A274" t="s">
        <v>68</v>
      </c>
      <c r="B274" t="s">
        <v>72</v>
      </c>
      <c r="C274" t="s">
        <v>73</v>
      </c>
      <c r="D274" t="s">
        <v>70</v>
      </c>
      <c r="E274" t="s">
        <v>74</v>
      </c>
      <c r="F274" t="s">
        <v>75</v>
      </c>
    </row>
    <row r="275" spans="1:11" x14ac:dyDescent="0.3">
      <c r="A275" t="s">
        <v>76</v>
      </c>
      <c r="B275" t="s">
        <v>77</v>
      </c>
      <c r="C275" t="s">
        <v>78</v>
      </c>
      <c r="D275" t="s">
        <v>79</v>
      </c>
    </row>
    <row r="277" spans="1:11" x14ac:dyDescent="0.3">
      <c r="A277" t="s">
        <v>68</v>
      </c>
      <c r="B277" t="s">
        <v>46</v>
      </c>
      <c r="C277" t="s">
        <v>22</v>
      </c>
      <c r="D277" t="s">
        <v>47</v>
      </c>
      <c r="E277" t="s">
        <v>48</v>
      </c>
      <c r="F277" t="s">
        <v>49</v>
      </c>
      <c r="G277" t="s">
        <v>37</v>
      </c>
      <c r="H277" t="s">
        <v>50</v>
      </c>
      <c r="I277" t="s">
        <v>96</v>
      </c>
      <c r="J277" t="s">
        <v>81</v>
      </c>
    </row>
    <row r="278" spans="1:11" x14ac:dyDescent="0.3">
      <c r="A278" t="s">
        <v>53</v>
      </c>
      <c r="B278" t="s">
        <v>82</v>
      </c>
    </row>
    <row r="279" spans="1:11" x14ac:dyDescent="0.3">
      <c r="A279" t="s">
        <v>44</v>
      </c>
    </row>
    <row r="280" spans="1:11" x14ac:dyDescent="0.3">
      <c r="B280" t="s">
        <v>55</v>
      </c>
      <c r="C280" t="s">
        <v>56</v>
      </c>
    </row>
    <row r="281" spans="1:11" x14ac:dyDescent="0.3">
      <c r="B281" t="s">
        <v>57</v>
      </c>
      <c r="C281" t="s">
        <v>55</v>
      </c>
      <c r="D281" t="s">
        <v>58</v>
      </c>
      <c r="E281" t="s">
        <v>59</v>
      </c>
      <c r="F281" t="s">
        <v>60</v>
      </c>
      <c r="G281" t="s">
        <v>61</v>
      </c>
      <c r="H281" t="s">
        <v>62</v>
      </c>
      <c r="I281" t="s">
        <v>63</v>
      </c>
      <c r="J281" t="s">
        <v>64</v>
      </c>
      <c r="K281" t="s">
        <v>65</v>
      </c>
    </row>
    <row r="282" spans="1:11" x14ac:dyDescent="0.3">
      <c r="A282" t="s">
        <v>45</v>
      </c>
    </row>
    <row r="283" spans="1:11" x14ac:dyDescent="0.3">
      <c r="B283" t="s">
        <v>47</v>
      </c>
      <c r="C283" t="s">
        <v>55</v>
      </c>
      <c r="D283">
        <v>-4.9385149999999998</v>
      </c>
      <c r="E283">
        <v>1.85297</v>
      </c>
      <c r="F283">
        <v>-2.67</v>
      </c>
      <c r="G283">
        <v>8.0000000000000002E-3</v>
      </c>
      <c r="H283">
        <v>-8.570271</v>
      </c>
      <c r="I283">
        <v>-1.3067599999999999</v>
      </c>
    </row>
    <row r="284" spans="1:11" x14ac:dyDescent="0.3">
      <c r="B284" t="s">
        <v>48</v>
      </c>
      <c r="C284" t="s">
        <v>55</v>
      </c>
      <c r="D284">
        <v>0.81259289999999995</v>
      </c>
      <c r="E284">
        <v>3.1371099999999998</v>
      </c>
      <c r="F284">
        <v>0.26</v>
      </c>
      <c r="G284">
        <v>0.79600000000000004</v>
      </c>
      <c r="H284">
        <v>-5.3360310000000002</v>
      </c>
      <c r="I284">
        <v>6.9612160000000003</v>
      </c>
    </row>
    <row r="285" spans="1:11" x14ac:dyDescent="0.3">
      <c r="B285" t="s">
        <v>49</v>
      </c>
      <c r="C285" t="s">
        <v>55</v>
      </c>
      <c r="D285">
        <v>-0.74047370000000001</v>
      </c>
      <c r="E285">
        <v>0.45548559999999999</v>
      </c>
      <c r="F285">
        <v>-1.63</v>
      </c>
      <c r="G285">
        <v>0.104</v>
      </c>
      <c r="H285">
        <v>-1.6332089999999999</v>
      </c>
      <c r="I285">
        <v>0.1522617</v>
      </c>
    </row>
    <row r="286" spans="1:11" x14ac:dyDescent="0.3">
      <c r="B286" t="s">
        <v>37</v>
      </c>
      <c r="C286" t="s">
        <v>55</v>
      </c>
      <c r="D286">
        <v>0.16719000000000001</v>
      </c>
      <c r="E286">
        <v>0.2213019</v>
      </c>
      <c r="F286">
        <v>0.76</v>
      </c>
      <c r="G286">
        <v>0.45</v>
      </c>
      <c r="H286">
        <v>-0.2665537</v>
      </c>
      <c r="I286">
        <v>0.60093379999999996</v>
      </c>
    </row>
    <row r="287" spans="1:11" x14ac:dyDescent="0.3">
      <c r="A287" t="s">
        <v>44</v>
      </c>
    </row>
    <row r="288" spans="1:11" x14ac:dyDescent="0.3">
      <c r="A288" t="s">
        <v>66</v>
      </c>
      <c r="B288" t="s">
        <v>67</v>
      </c>
      <c r="C288" t="s">
        <v>96</v>
      </c>
    </row>
    <row r="290" spans="1:11" x14ac:dyDescent="0.3">
      <c r="A290" t="s">
        <v>68</v>
      </c>
      <c r="B290" t="s">
        <v>69</v>
      </c>
      <c r="C290" t="s">
        <v>70</v>
      </c>
      <c r="D290" t="s">
        <v>71</v>
      </c>
    </row>
    <row r="291" spans="1:11" x14ac:dyDescent="0.3">
      <c r="A291" t="s">
        <v>68</v>
      </c>
      <c r="B291" t="s">
        <v>72</v>
      </c>
      <c r="C291" t="s">
        <v>73</v>
      </c>
      <c r="D291" t="s">
        <v>70</v>
      </c>
      <c r="E291" t="s">
        <v>74</v>
      </c>
      <c r="F291" t="s">
        <v>75</v>
      </c>
    </row>
    <row r="292" spans="1:11" x14ac:dyDescent="0.3">
      <c r="A292" t="s">
        <v>76</v>
      </c>
      <c r="B292" t="s">
        <v>77</v>
      </c>
      <c r="C292" t="s">
        <v>78</v>
      </c>
      <c r="D292" t="s">
        <v>79</v>
      </c>
    </row>
    <row r="294" spans="1:11" x14ac:dyDescent="0.3">
      <c r="A294" t="s">
        <v>68</v>
      </c>
      <c r="B294" t="s">
        <v>46</v>
      </c>
      <c r="C294" t="s">
        <v>22</v>
      </c>
      <c r="D294" t="s">
        <v>47</v>
      </c>
      <c r="E294" t="s">
        <v>48</v>
      </c>
      <c r="F294" t="s">
        <v>49</v>
      </c>
      <c r="G294" t="s">
        <v>37</v>
      </c>
      <c r="H294" t="s">
        <v>50</v>
      </c>
      <c r="I294" t="s">
        <v>97</v>
      </c>
      <c r="J294" t="s">
        <v>52</v>
      </c>
    </row>
    <row r="295" spans="1:11" x14ac:dyDescent="0.3">
      <c r="A295" t="s">
        <v>53</v>
      </c>
      <c r="B295" t="s">
        <v>54</v>
      </c>
    </row>
    <row r="296" spans="1:11" x14ac:dyDescent="0.3">
      <c r="A296" t="s">
        <v>44</v>
      </c>
    </row>
    <row r="297" spans="1:11" x14ac:dyDescent="0.3">
      <c r="B297" t="s">
        <v>55</v>
      </c>
      <c r="C297" t="s">
        <v>56</v>
      </c>
    </row>
    <row r="298" spans="1:11" x14ac:dyDescent="0.3">
      <c r="B298" t="s">
        <v>57</v>
      </c>
      <c r="C298" t="s">
        <v>55</v>
      </c>
      <c r="D298" t="s">
        <v>58</v>
      </c>
      <c r="E298" t="s">
        <v>59</v>
      </c>
      <c r="F298" t="s">
        <v>60</v>
      </c>
      <c r="G298" t="s">
        <v>61</v>
      </c>
      <c r="H298" t="s">
        <v>62</v>
      </c>
      <c r="I298" t="s">
        <v>63</v>
      </c>
      <c r="J298" t="s">
        <v>64</v>
      </c>
      <c r="K298" t="s">
        <v>65</v>
      </c>
    </row>
    <row r="299" spans="1:11" x14ac:dyDescent="0.3">
      <c r="A299" t="s">
        <v>45</v>
      </c>
    </row>
    <row r="300" spans="1:11" x14ac:dyDescent="0.3">
      <c r="B300" t="s">
        <v>47</v>
      </c>
      <c r="C300" t="s">
        <v>55</v>
      </c>
      <c r="D300">
        <v>-5.0875839999999997</v>
      </c>
      <c r="E300">
        <v>1.8908990000000001</v>
      </c>
      <c r="F300">
        <v>-2.69</v>
      </c>
      <c r="G300">
        <v>7.0000000000000001E-3</v>
      </c>
      <c r="H300">
        <v>-8.7936770000000006</v>
      </c>
      <c r="I300">
        <v>-1.381491</v>
      </c>
    </row>
    <row r="301" spans="1:11" x14ac:dyDescent="0.3">
      <c r="B301" t="s">
        <v>48</v>
      </c>
      <c r="C301" t="s">
        <v>55</v>
      </c>
      <c r="D301">
        <v>0.77023459999999999</v>
      </c>
      <c r="E301">
        <v>3.201327</v>
      </c>
      <c r="F301">
        <v>0.24</v>
      </c>
      <c r="G301">
        <v>0.81</v>
      </c>
      <c r="H301">
        <v>-5.504251</v>
      </c>
      <c r="I301">
        <v>7.0447199999999999</v>
      </c>
    </row>
    <row r="302" spans="1:11" x14ac:dyDescent="0.3">
      <c r="B302" t="s">
        <v>49</v>
      </c>
      <c r="C302" t="s">
        <v>55</v>
      </c>
      <c r="D302">
        <v>-0.78659049999999997</v>
      </c>
      <c r="E302">
        <v>0.46480890000000002</v>
      </c>
      <c r="F302">
        <v>-1.69</v>
      </c>
      <c r="G302">
        <v>9.0999999999999998E-2</v>
      </c>
      <c r="H302">
        <v>-1.6975990000000001</v>
      </c>
      <c r="I302">
        <v>0.12441820000000001</v>
      </c>
    </row>
    <row r="303" spans="1:11" x14ac:dyDescent="0.3">
      <c r="B303" t="s">
        <v>37</v>
      </c>
      <c r="C303" t="s">
        <v>55</v>
      </c>
      <c r="D303">
        <v>0.18391560000000001</v>
      </c>
      <c r="E303">
        <v>0.2258317</v>
      </c>
      <c r="F303">
        <v>0.81</v>
      </c>
      <c r="G303">
        <v>0.41499999999999998</v>
      </c>
      <c r="H303">
        <v>-0.2587064</v>
      </c>
      <c r="I303">
        <v>0.62653760000000003</v>
      </c>
    </row>
    <row r="304" spans="1:11" x14ac:dyDescent="0.3">
      <c r="A304" t="s">
        <v>44</v>
      </c>
    </row>
    <row r="305" spans="1:11" x14ac:dyDescent="0.3">
      <c r="A305" t="s">
        <v>66</v>
      </c>
      <c r="B305" t="s">
        <v>67</v>
      </c>
      <c r="C305" t="s">
        <v>97</v>
      </c>
    </row>
    <row r="307" spans="1:11" x14ac:dyDescent="0.3">
      <c r="A307" t="s">
        <v>68</v>
      </c>
      <c r="B307" t="s">
        <v>69</v>
      </c>
      <c r="C307" t="s">
        <v>70</v>
      </c>
      <c r="D307" t="s">
        <v>71</v>
      </c>
    </row>
    <row r="308" spans="1:11" x14ac:dyDescent="0.3">
      <c r="A308" t="s">
        <v>68</v>
      </c>
      <c r="B308" t="s">
        <v>72</v>
      </c>
      <c r="C308" t="s">
        <v>73</v>
      </c>
      <c r="D308" t="s">
        <v>70</v>
      </c>
      <c r="E308" t="s">
        <v>74</v>
      </c>
      <c r="F308" t="s">
        <v>75</v>
      </c>
    </row>
    <row r="309" spans="1:11" x14ac:dyDescent="0.3">
      <c r="A309" t="s">
        <v>76</v>
      </c>
      <c r="B309" t="s">
        <v>77</v>
      </c>
      <c r="C309" t="s">
        <v>78</v>
      </c>
      <c r="D309" t="s">
        <v>79</v>
      </c>
    </row>
    <row r="311" spans="1:11" x14ac:dyDescent="0.3">
      <c r="A311" t="s">
        <v>68</v>
      </c>
      <c r="B311" t="s">
        <v>46</v>
      </c>
      <c r="C311" t="s">
        <v>22</v>
      </c>
      <c r="D311" t="s">
        <v>47</v>
      </c>
      <c r="E311" t="s">
        <v>48</v>
      </c>
      <c r="F311" t="s">
        <v>49</v>
      </c>
      <c r="G311" t="s">
        <v>37</v>
      </c>
      <c r="H311" t="s">
        <v>50</v>
      </c>
      <c r="I311" t="s">
        <v>98</v>
      </c>
      <c r="J311" t="s">
        <v>81</v>
      </c>
    </row>
    <row r="312" spans="1:11" x14ac:dyDescent="0.3">
      <c r="A312" t="s">
        <v>53</v>
      </c>
      <c r="B312" t="s">
        <v>82</v>
      </c>
    </row>
    <row r="313" spans="1:11" x14ac:dyDescent="0.3">
      <c r="A313" t="s">
        <v>44</v>
      </c>
    </row>
    <row r="314" spans="1:11" x14ac:dyDescent="0.3">
      <c r="B314" t="s">
        <v>55</v>
      </c>
      <c r="C314" t="s">
        <v>56</v>
      </c>
    </row>
    <row r="315" spans="1:11" x14ac:dyDescent="0.3">
      <c r="B315" t="s">
        <v>57</v>
      </c>
      <c r="C315" t="s">
        <v>55</v>
      </c>
      <c r="D315" t="s">
        <v>58</v>
      </c>
      <c r="E315" t="s">
        <v>59</v>
      </c>
      <c r="F315" t="s">
        <v>60</v>
      </c>
      <c r="G315" t="s">
        <v>61</v>
      </c>
      <c r="H315" t="s">
        <v>62</v>
      </c>
      <c r="I315" t="s">
        <v>63</v>
      </c>
      <c r="J315" t="s">
        <v>64</v>
      </c>
      <c r="K315" t="s">
        <v>65</v>
      </c>
    </row>
    <row r="316" spans="1:11" x14ac:dyDescent="0.3">
      <c r="A316" t="s">
        <v>45</v>
      </c>
    </row>
    <row r="317" spans="1:11" x14ac:dyDescent="0.3">
      <c r="B317" t="s">
        <v>47</v>
      </c>
      <c r="C317" t="s">
        <v>55</v>
      </c>
      <c r="D317">
        <v>-5.1302960000000004</v>
      </c>
      <c r="E317">
        <v>1.8360879999999999</v>
      </c>
      <c r="F317">
        <v>-2.79</v>
      </c>
      <c r="G317">
        <v>5.0000000000000001E-3</v>
      </c>
      <c r="H317">
        <v>-8.7289619999999992</v>
      </c>
      <c r="I317">
        <v>-1.53163</v>
      </c>
    </row>
    <row r="318" spans="1:11" x14ac:dyDescent="0.3">
      <c r="B318" t="s">
        <v>48</v>
      </c>
      <c r="C318" t="s">
        <v>55</v>
      </c>
      <c r="D318">
        <v>0.74106030000000001</v>
      </c>
      <c r="E318">
        <v>3.10853</v>
      </c>
      <c r="F318">
        <v>0.24</v>
      </c>
      <c r="G318">
        <v>0.81200000000000006</v>
      </c>
      <c r="H318">
        <v>-5.3515459999999999</v>
      </c>
      <c r="I318">
        <v>6.833666</v>
      </c>
    </row>
    <row r="319" spans="1:11" x14ac:dyDescent="0.3">
      <c r="B319" t="s">
        <v>49</v>
      </c>
      <c r="C319" t="s">
        <v>55</v>
      </c>
      <c r="D319">
        <v>-0.79141810000000001</v>
      </c>
      <c r="E319">
        <v>0.45133590000000001</v>
      </c>
      <c r="F319">
        <v>-1.75</v>
      </c>
      <c r="G319">
        <v>0.08</v>
      </c>
      <c r="H319">
        <v>-1.6760200000000001</v>
      </c>
      <c r="I319">
        <v>9.3184100000000006E-2</v>
      </c>
    </row>
    <row r="320" spans="1:11" x14ac:dyDescent="0.3">
      <c r="B320" t="s">
        <v>37</v>
      </c>
      <c r="C320" t="s">
        <v>55</v>
      </c>
      <c r="D320">
        <v>0.15367049999999999</v>
      </c>
      <c r="E320">
        <v>0.2192856</v>
      </c>
      <c r="F320">
        <v>0.7</v>
      </c>
      <c r="G320">
        <v>0.48299999999999998</v>
      </c>
      <c r="H320">
        <v>-0.27612140000000002</v>
      </c>
      <c r="I320">
        <v>0.58346240000000005</v>
      </c>
    </row>
    <row r="321" spans="1:11" x14ac:dyDescent="0.3">
      <c r="A321" t="s">
        <v>44</v>
      </c>
    </row>
    <row r="322" spans="1:11" x14ac:dyDescent="0.3">
      <c r="A322" t="s">
        <v>66</v>
      </c>
      <c r="B322" t="s">
        <v>67</v>
      </c>
      <c r="C322" t="s">
        <v>98</v>
      </c>
    </row>
    <row r="324" spans="1:11" x14ac:dyDescent="0.3">
      <c r="A324" t="s">
        <v>68</v>
      </c>
      <c r="B324" t="s">
        <v>69</v>
      </c>
      <c r="C324" t="s">
        <v>70</v>
      </c>
      <c r="D324" t="s">
        <v>71</v>
      </c>
    </row>
    <row r="325" spans="1:11" x14ac:dyDescent="0.3">
      <c r="A325" t="s">
        <v>68</v>
      </c>
      <c r="B325" t="s">
        <v>72</v>
      </c>
      <c r="C325" t="s">
        <v>73</v>
      </c>
      <c r="D325" t="s">
        <v>70</v>
      </c>
      <c r="E325" t="s">
        <v>74</v>
      </c>
      <c r="F325" t="s">
        <v>75</v>
      </c>
    </row>
    <row r="326" spans="1:11" x14ac:dyDescent="0.3">
      <c r="A326" t="s">
        <v>76</v>
      </c>
      <c r="B326" t="s">
        <v>77</v>
      </c>
      <c r="C326" t="s">
        <v>78</v>
      </c>
      <c r="D326" t="s">
        <v>79</v>
      </c>
    </row>
    <row r="328" spans="1:11" x14ac:dyDescent="0.3">
      <c r="A328" t="s">
        <v>68</v>
      </c>
      <c r="B328" t="s">
        <v>46</v>
      </c>
      <c r="C328" t="s">
        <v>22</v>
      </c>
      <c r="D328" t="s">
        <v>47</v>
      </c>
      <c r="E328" t="s">
        <v>48</v>
      </c>
      <c r="F328" t="s">
        <v>49</v>
      </c>
      <c r="G328" t="s">
        <v>37</v>
      </c>
      <c r="H328" t="s">
        <v>50</v>
      </c>
      <c r="I328" t="s">
        <v>99</v>
      </c>
      <c r="J328" t="s">
        <v>52</v>
      </c>
    </row>
    <row r="329" spans="1:11" x14ac:dyDescent="0.3">
      <c r="A329" t="s">
        <v>53</v>
      </c>
      <c r="B329" t="s">
        <v>54</v>
      </c>
    </row>
    <row r="330" spans="1:11" x14ac:dyDescent="0.3">
      <c r="A330" t="s">
        <v>44</v>
      </c>
    </row>
    <row r="331" spans="1:11" x14ac:dyDescent="0.3">
      <c r="B331" t="s">
        <v>55</v>
      </c>
      <c r="C331" t="s">
        <v>56</v>
      </c>
    </row>
    <row r="332" spans="1:11" x14ac:dyDescent="0.3">
      <c r="B332" t="s">
        <v>57</v>
      </c>
      <c r="C332" t="s">
        <v>55</v>
      </c>
      <c r="D332" t="s">
        <v>58</v>
      </c>
      <c r="E332" t="s">
        <v>59</v>
      </c>
      <c r="F332" t="s">
        <v>60</v>
      </c>
      <c r="G332" t="s">
        <v>61</v>
      </c>
      <c r="H332" t="s">
        <v>62</v>
      </c>
      <c r="I332" t="s">
        <v>63</v>
      </c>
      <c r="J332" t="s">
        <v>64</v>
      </c>
      <c r="K332" t="s">
        <v>65</v>
      </c>
    </row>
    <row r="333" spans="1:11" x14ac:dyDescent="0.3">
      <c r="A333" t="s">
        <v>45</v>
      </c>
    </row>
    <row r="334" spans="1:11" x14ac:dyDescent="0.3">
      <c r="B334" t="s">
        <v>47</v>
      </c>
      <c r="C334" t="s">
        <v>55</v>
      </c>
      <c r="D334">
        <v>-5.3624090000000004</v>
      </c>
      <c r="E334">
        <v>1.863486</v>
      </c>
      <c r="F334">
        <v>-2.88</v>
      </c>
      <c r="G334">
        <v>4.0000000000000001E-3</v>
      </c>
      <c r="H334">
        <v>-9.0147750000000002</v>
      </c>
      <c r="I334">
        <v>-1.7100439999999999</v>
      </c>
    </row>
    <row r="335" spans="1:11" x14ac:dyDescent="0.3">
      <c r="B335" t="s">
        <v>48</v>
      </c>
      <c r="C335" t="s">
        <v>55</v>
      </c>
      <c r="D335">
        <v>0.87898319999999996</v>
      </c>
      <c r="E335">
        <v>3.1549140000000002</v>
      </c>
      <c r="F335">
        <v>0.28000000000000003</v>
      </c>
      <c r="G335">
        <v>0.78100000000000003</v>
      </c>
      <c r="H335">
        <v>-5.3045340000000003</v>
      </c>
      <c r="I335">
        <v>7.0625</v>
      </c>
    </row>
    <row r="336" spans="1:11" x14ac:dyDescent="0.3">
      <c r="B336" t="s">
        <v>49</v>
      </c>
      <c r="C336" t="s">
        <v>55</v>
      </c>
      <c r="D336">
        <v>-0.8275922</v>
      </c>
      <c r="E336">
        <v>0.4580707</v>
      </c>
      <c r="F336">
        <v>-1.81</v>
      </c>
      <c r="G336">
        <v>7.0999999999999994E-2</v>
      </c>
      <c r="H336">
        <v>-1.7253940000000001</v>
      </c>
      <c r="I336">
        <v>7.0209800000000003E-2</v>
      </c>
    </row>
    <row r="337" spans="1:9" x14ac:dyDescent="0.3">
      <c r="B337" t="s">
        <v>37</v>
      </c>
      <c r="C337" t="s">
        <v>55</v>
      </c>
      <c r="D337">
        <v>0.15225469999999999</v>
      </c>
      <c r="E337">
        <v>0.2225578</v>
      </c>
      <c r="F337">
        <v>0.68</v>
      </c>
      <c r="G337">
        <v>0.49399999999999999</v>
      </c>
      <c r="H337">
        <v>-0.2839506</v>
      </c>
      <c r="I337">
        <v>0.58845999999999998</v>
      </c>
    </row>
    <row r="338" spans="1:9" x14ac:dyDescent="0.3">
      <c r="A338" t="s">
        <v>44</v>
      </c>
    </row>
    <row r="339" spans="1:9" x14ac:dyDescent="0.3">
      <c r="A339" t="s">
        <v>66</v>
      </c>
      <c r="B339" t="s">
        <v>67</v>
      </c>
      <c r="C339" t="s">
        <v>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B150-5FB5-452D-A91D-D350D8602F4C}">
  <dimension ref="A1:L140"/>
  <sheetViews>
    <sheetView workbookViewId="0">
      <selection activeCell="H3" sqref="H3"/>
    </sheetView>
  </sheetViews>
  <sheetFormatPr defaultRowHeight="13" x14ac:dyDescent="0.3"/>
  <sheetData>
    <row r="1" spans="1:12" x14ac:dyDescent="0.3">
      <c r="A1" t="str">
        <f>""</f>
        <v/>
      </c>
      <c r="B1" t="str">
        <f>"e(V)"</f>
        <v>e(V)</v>
      </c>
      <c r="C1" t="str">
        <f>""</f>
        <v/>
      </c>
      <c r="D1" t="str">
        <f>""</f>
        <v/>
      </c>
      <c r="E1" t="str">
        <f>""</f>
        <v/>
      </c>
      <c r="F1" t="str">
        <f>""</f>
        <v/>
      </c>
    </row>
    <row r="2" spans="1:12" x14ac:dyDescent="0.3">
      <c r="A2" t="str">
        <f>""</f>
        <v/>
      </c>
      <c r="B2" t="str">
        <f>"puretime"</f>
        <v>puretime</v>
      </c>
      <c r="C2" t="str">
        <f>"intertemp"</f>
        <v>intertemp</v>
      </c>
      <c r="D2" t="str">
        <f>"levelimp"</f>
        <v>levelimp</v>
      </c>
      <c r="E2" t="str">
        <f>"year"</f>
        <v>year</v>
      </c>
      <c r="F2" t="str">
        <f>"_cons"</f>
        <v>_cons</v>
      </c>
    </row>
    <row r="3" spans="1:12" x14ac:dyDescent="0.3">
      <c r="A3" t="str">
        <f>"puretime"</f>
        <v>puretime</v>
      </c>
      <c r="B3" t="str">
        <f>"454.8935"</f>
        <v>454.8935</v>
      </c>
      <c r="C3" t="str">
        <f>"80.67193"</f>
        <v>80.67193</v>
      </c>
      <c r="D3" t="str">
        <f>"5.420504"</f>
        <v>5.420504</v>
      </c>
      <c r="E3" t="str">
        <f>"11.15453"</f>
        <v>11.15453</v>
      </c>
      <c r="F3" t="str">
        <f>"-23242.08"</f>
        <v>-23242.08</v>
      </c>
      <c r="H3">
        <f>B3*1</f>
        <v>454.89350000000002</v>
      </c>
      <c r="I3">
        <f t="shared" ref="I3:I7" si="0">C3*1</f>
        <v>80.671930000000003</v>
      </c>
      <c r="J3">
        <f t="shared" ref="J3:J7" si="1">D3*1</f>
        <v>5.4205040000000002</v>
      </c>
      <c r="K3">
        <f t="shared" ref="K3:K7" si="2">E3*1</f>
        <v>11.154529999999999</v>
      </c>
      <c r="L3">
        <f t="shared" ref="L3:L7" si="3">F3*1</f>
        <v>-23242.080000000002</v>
      </c>
    </row>
    <row r="4" spans="1:12" x14ac:dyDescent="0.3">
      <c r="A4" t="str">
        <f>"intertemp"</f>
        <v>intertemp</v>
      </c>
      <c r="B4" t="str">
        <f>"80.67193"</f>
        <v>80.67193</v>
      </c>
      <c r="C4" t="str">
        <f>"1303.865"</f>
        <v>1303.865</v>
      </c>
      <c r="D4" t="str">
        <f>"3.854865"</f>
        <v>3.854865</v>
      </c>
      <c r="E4" t="str">
        <f>"-.8008998"</f>
        <v>-.8008998</v>
      </c>
      <c r="F4" t="str">
        <f>"-274.3123"</f>
        <v>-274.3123</v>
      </c>
      <c r="H4">
        <f t="shared" ref="H4:H7" si="4">B4*1</f>
        <v>80.671930000000003</v>
      </c>
      <c r="I4">
        <f t="shared" si="0"/>
        <v>1303.865</v>
      </c>
      <c r="J4">
        <f t="shared" si="1"/>
        <v>3.8548650000000002</v>
      </c>
      <c r="K4">
        <f t="shared" si="2"/>
        <v>-0.80089980000000005</v>
      </c>
      <c r="L4">
        <f t="shared" si="3"/>
        <v>-274.31229999999999</v>
      </c>
    </row>
    <row r="5" spans="1:12" x14ac:dyDescent="0.3">
      <c r="A5" t="str">
        <f>"levelimp"</f>
        <v>levelimp</v>
      </c>
      <c r="B5" t="str">
        <f>"5.420504"</f>
        <v>5.420504</v>
      </c>
      <c r="C5" t="str">
        <f>"3.854865"</f>
        <v>3.854865</v>
      </c>
      <c r="D5" t="str">
        <f>"27.48668"</f>
        <v>27.48668</v>
      </c>
      <c r="E5" t="str">
        <f>"2.388463"</f>
        <v>2.388463</v>
      </c>
      <c r="F5" t="str">
        <f>"-4763.544"</f>
        <v>-4763.544</v>
      </c>
      <c r="H5">
        <f t="shared" si="4"/>
        <v>5.4205040000000002</v>
      </c>
      <c r="I5">
        <f t="shared" si="0"/>
        <v>3.8548650000000002</v>
      </c>
      <c r="J5">
        <f t="shared" si="1"/>
        <v>27.48668</v>
      </c>
      <c r="K5">
        <f t="shared" si="2"/>
        <v>2.3884629999999998</v>
      </c>
      <c r="L5">
        <f t="shared" si="3"/>
        <v>-4763.5439999999999</v>
      </c>
    </row>
    <row r="6" spans="1:12" x14ac:dyDescent="0.3">
      <c r="A6" t="str">
        <f>"year"</f>
        <v>year</v>
      </c>
      <c r="B6" t="str">
        <f>"11.15453"</f>
        <v>11.15453</v>
      </c>
      <c r="C6" t="str">
        <f>"-.8008998"</f>
        <v>-.8008998</v>
      </c>
      <c r="D6" t="str">
        <f>"2.388463"</f>
        <v>2.388463</v>
      </c>
      <c r="E6" t="str">
        <f>"6.488481"</f>
        <v>6.488481</v>
      </c>
      <c r="F6" t="str">
        <f>"-13074.92"</f>
        <v>-13074.92</v>
      </c>
      <c r="H6">
        <f t="shared" si="4"/>
        <v>11.154529999999999</v>
      </c>
      <c r="I6">
        <f t="shared" si="0"/>
        <v>-0.80089980000000005</v>
      </c>
      <c r="J6">
        <f t="shared" si="1"/>
        <v>2.3884629999999998</v>
      </c>
      <c r="K6">
        <f t="shared" si="2"/>
        <v>6.4884810000000002</v>
      </c>
      <c r="L6">
        <f t="shared" si="3"/>
        <v>-13074.92</v>
      </c>
    </row>
    <row r="7" spans="1:12" x14ac:dyDescent="0.3">
      <c r="A7" t="str">
        <f>"_cons"</f>
        <v>_cons</v>
      </c>
      <c r="B7" t="str">
        <f>"-23242.08"</f>
        <v>-23242.08</v>
      </c>
      <c r="C7" t="str">
        <f>"-274.3123"</f>
        <v>-274.3123</v>
      </c>
      <c r="D7" t="str">
        <f>"-4763.544"</f>
        <v>-4763.544</v>
      </c>
      <c r="E7" t="str">
        <f>"-13074.92"</f>
        <v>-13074.92</v>
      </c>
      <c r="F7" t="str">
        <f>"2.64e+07"</f>
        <v>2.64e+07</v>
      </c>
      <c r="H7">
        <f t="shared" si="4"/>
        <v>-23242.080000000002</v>
      </c>
      <c r="I7">
        <f t="shared" si="0"/>
        <v>-274.31229999999999</v>
      </c>
      <c r="J7">
        <f t="shared" si="1"/>
        <v>-4763.5439999999999</v>
      </c>
      <c r="K7">
        <f t="shared" si="2"/>
        <v>-13074.92</v>
      </c>
      <c r="L7">
        <f t="shared" si="3"/>
        <v>26400000</v>
      </c>
    </row>
    <row r="8" spans="1:12" x14ac:dyDescent="0.3">
      <c r="A8" t="str">
        <f>""</f>
        <v/>
      </c>
      <c r="B8" t="str">
        <f>"e(V)"</f>
        <v>e(V)</v>
      </c>
      <c r="C8" t="str">
        <f>""</f>
        <v/>
      </c>
      <c r="D8" t="str">
        <f>""</f>
        <v/>
      </c>
      <c r="E8" t="str">
        <f>""</f>
        <v/>
      </c>
      <c r="F8" t="str">
        <f>""</f>
        <v/>
      </c>
    </row>
    <row r="9" spans="1:12" x14ac:dyDescent="0.3">
      <c r="A9" t="str">
        <f>""</f>
        <v/>
      </c>
      <c r="B9" t="str">
        <f>"puretime"</f>
        <v>puretime</v>
      </c>
      <c r="C9" t="str">
        <f>"intertemp"</f>
        <v>intertemp</v>
      </c>
      <c r="D9" t="str">
        <f>"levelimp"</f>
        <v>levelimp</v>
      </c>
      <c r="E9" t="str">
        <f>"year"</f>
        <v>year</v>
      </c>
      <c r="F9" t="str">
        <f>"_cons"</f>
        <v>_cons</v>
      </c>
    </row>
    <row r="10" spans="1:12" x14ac:dyDescent="0.3">
      <c r="A10" t="str">
        <f>"puretime"</f>
        <v>puretime</v>
      </c>
      <c r="B10" t="str">
        <f>"9.597553"</f>
        <v>9.597553</v>
      </c>
      <c r="C10" t="str">
        <f>"4.004184"</f>
        <v>4.004184</v>
      </c>
      <c r="D10" t="str">
        <f>".1178065"</f>
        <v>.1178065</v>
      </c>
      <c r="E10" t="str">
        <f>".4958244"</f>
        <v>.4958244</v>
      </c>
      <c r="F10" t="str">
        <f>"-1017.683"</f>
        <v>-1017.683</v>
      </c>
      <c r="H10">
        <f>B10*1</f>
        <v>9.5975529999999996</v>
      </c>
      <c r="I10">
        <f t="shared" ref="I10:I14" si="5">C10*1</f>
        <v>4.0041840000000004</v>
      </c>
      <c r="J10">
        <f t="shared" ref="J10:J14" si="6">D10*1</f>
        <v>0.11780649999999999</v>
      </c>
      <c r="K10">
        <f t="shared" ref="K10:K14" si="7">E10*1</f>
        <v>0.4958244</v>
      </c>
      <c r="L10">
        <f t="shared" ref="L10:L14" si="8">F10*1</f>
        <v>-1017.683</v>
      </c>
    </row>
    <row r="11" spans="1:12" x14ac:dyDescent="0.3">
      <c r="A11" t="str">
        <f>"intertemp"</f>
        <v>intertemp</v>
      </c>
      <c r="B11" t="str">
        <f>"4.004184"</f>
        <v>4.004184</v>
      </c>
      <c r="C11" t="str">
        <f>"30.72613"</f>
        <v>30.72613</v>
      </c>
      <c r="D11" t="str">
        <f>".0763752"</f>
        <v>.0763752</v>
      </c>
      <c r="E11" t="str">
        <f>".1144959"</f>
        <v>.1144959</v>
      </c>
      <c r="F11" t="str">
        <f>"-276.2079"</f>
        <v>-276.2079</v>
      </c>
      <c r="H11">
        <f t="shared" ref="H11:H14" si="9">B11*1</f>
        <v>4.0041840000000004</v>
      </c>
      <c r="I11">
        <f t="shared" si="5"/>
        <v>30.726130000000001</v>
      </c>
      <c r="J11">
        <f t="shared" si="6"/>
        <v>7.6375200000000004E-2</v>
      </c>
      <c r="K11">
        <f t="shared" si="7"/>
        <v>0.1144959</v>
      </c>
      <c r="L11">
        <f t="shared" si="8"/>
        <v>-276.2079</v>
      </c>
    </row>
    <row r="12" spans="1:12" x14ac:dyDescent="0.3">
      <c r="A12" t="str">
        <f>"levelimp"</f>
        <v>levelimp</v>
      </c>
      <c r="B12" t="str">
        <f>".1178065"</f>
        <v>.1178065</v>
      </c>
      <c r="C12" t="str">
        <f>".0763752"</f>
        <v>.0763752</v>
      </c>
      <c r="D12" t="str">
        <f>".3371612"</f>
        <v>.3371612</v>
      </c>
      <c r="E12" t="str">
        <f>".0346507"</f>
        <v>.0346507</v>
      </c>
      <c r="F12" t="str">
        <f>"-69.20375"</f>
        <v>-69.20375</v>
      </c>
      <c r="H12">
        <f t="shared" si="9"/>
        <v>0.11780649999999999</v>
      </c>
      <c r="I12">
        <f t="shared" si="5"/>
        <v>7.6375200000000004E-2</v>
      </c>
      <c r="J12">
        <f t="shared" si="6"/>
        <v>0.33716119999999999</v>
      </c>
      <c r="K12">
        <f t="shared" si="7"/>
        <v>3.46507E-2</v>
      </c>
      <c r="L12">
        <f t="shared" si="8"/>
        <v>-69.203749999999999</v>
      </c>
    </row>
    <row r="13" spans="1:12" x14ac:dyDescent="0.3">
      <c r="A13" t="str">
        <f>"year"</f>
        <v>year</v>
      </c>
      <c r="B13" t="str">
        <f>".4958244"</f>
        <v>.4958244</v>
      </c>
      <c r="C13" t="str">
        <f>".1144959"</f>
        <v>.1144959</v>
      </c>
      <c r="D13" t="str">
        <f>".0346507"</f>
        <v>.0346507</v>
      </c>
      <c r="E13" t="str">
        <f>".1058946"</f>
        <v>.1058946</v>
      </c>
      <c r="F13" t="str">
        <f>"-213.9073"</f>
        <v>-213.9073</v>
      </c>
      <c r="H13">
        <f t="shared" si="9"/>
        <v>0.4958244</v>
      </c>
      <c r="I13">
        <f t="shared" si="5"/>
        <v>0.1144959</v>
      </c>
      <c r="J13">
        <f t="shared" si="6"/>
        <v>3.46507E-2</v>
      </c>
      <c r="K13">
        <f t="shared" si="7"/>
        <v>0.10589460000000001</v>
      </c>
      <c r="L13">
        <f t="shared" si="8"/>
        <v>-213.90729999999999</v>
      </c>
    </row>
    <row r="14" spans="1:12" x14ac:dyDescent="0.3">
      <c r="A14" t="str">
        <f>"_cons"</f>
        <v>_cons</v>
      </c>
      <c r="B14" t="str">
        <f>"-1017.683"</f>
        <v>-1017.683</v>
      </c>
      <c r="C14" t="str">
        <f>"-276.2079"</f>
        <v>-276.2079</v>
      </c>
      <c r="D14" t="str">
        <f>"-69.20375"</f>
        <v>-69.20375</v>
      </c>
      <c r="E14" t="str">
        <f>"-213.9073"</f>
        <v>-213.9073</v>
      </c>
      <c r="F14" t="str">
        <f>"432185.6"</f>
        <v>432185.6</v>
      </c>
      <c r="H14">
        <f t="shared" si="9"/>
        <v>-1017.683</v>
      </c>
      <c r="I14">
        <f t="shared" si="5"/>
        <v>-276.2079</v>
      </c>
      <c r="J14">
        <f t="shared" si="6"/>
        <v>-69.203749999999999</v>
      </c>
      <c r="K14">
        <f t="shared" si="7"/>
        <v>-213.90729999999999</v>
      </c>
      <c r="L14">
        <f t="shared" si="8"/>
        <v>432185.59999999998</v>
      </c>
    </row>
    <row r="15" spans="1:12" x14ac:dyDescent="0.3">
      <c r="A15" t="str">
        <f>""</f>
        <v/>
      </c>
      <c r="B15" t="str">
        <f>"e(V)"</f>
        <v>e(V)</v>
      </c>
      <c r="C15" t="str">
        <f>""</f>
        <v/>
      </c>
      <c r="D15" t="str">
        <f>""</f>
        <v/>
      </c>
      <c r="E15" t="str">
        <f>""</f>
        <v/>
      </c>
      <c r="F15" t="str">
        <f>""</f>
        <v/>
      </c>
    </row>
    <row r="16" spans="1:12" x14ac:dyDescent="0.3">
      <c r="A16" t="str">
        <f>""</f>
        <v/>
      </c>
      <c r="B16" t="str">
        <f>"puretime"</f>
        <v>puretime</v>
      </c>
      <c r="C16" t="str">
        <f>"intertemp"</f>
        <v>intertemp</v>
      </c>
      <c r="D16" t="str">
        <f>"levelimp"</f>
        <v>levelimp</v>
      </c>
      <c r="E16" t="str">
        <f>"year"</f>
        <v>year</v>
      </c>
      <c r="F16" t="str">
        <f>"_cons"</f>
        <v>_cons</v>
      </c>
    </row>
    <row r="17" spans="1:12" x14ac:dyDescent="0.3">
      <c r="A17" t="str">
        <f>"puretime"</f>
        <v>puretime</v>
      </c>
      <c r="B17" t="str">
        <f>"24.564"</f>
        <v>24.564</v>
      </c>
      <c r="C17" t="str">
        <f>"10.24832"</f>
        <v>10.24832</v>
      </c>
      <c r="D17" t="str">
        <f>".3015144"</f>
        <v>.3015144</v>
      </c>
      <c r="E17" t="str">
        <f>"1.269014"</f>
        <v>1.269014</v>
      </c>
      <c r="F17" t="str">
        <f>"-2604.66"</f>
        <v>-2604.66</v>
      </c>
      <c r="H17">
        <f>B17*1</f>
        <v>24.564</v>
      </c>
      <c r="I17">
        <f t="shared" ref="I17:I21" si="10">C17*1</f>
        <v>10.24832</v>
      </c>
      <c r="J17">
        <f t="shared" ref="J17:J21" si="11">D17*1</f>
        <v>0.30151440000000002</v>
      </c>
      <c r="K17">
        <f t="shared" ref="K17:K21" si="12">E17*1</f>
        <v>1.2690140000000001</v>
      </c>
      <c r="L17">
        <f t="shared" ref="L17:L21" si="13">F17*1</f>
        <v>-2604.66</v>
      </c>
    </row>
    <row r="18" spans="1:12" x14ac:dyDescent="0.3">
      <c r="A18" t="str">
        <f>"intertemp"</f>
        <v>intertemp</v>
      </c>
      <c r="B18" t="str">
        <f>"10.24832"</f>
        <v>10.24832</v>
      </c>
      <c r="C18" t="str">
        <f>"78.64054"</f>
        <v>78.64054</v>
      </c>
      <c r="D18" t="str">
        <f>".195475"</f>
        <v>.195475</v>
      </c>
      <c r="E18" t="str">
        <f>".2930411"</f>
        <v>.2930411</v>
      </c>
      <c r="F18" t="str">
        <f>"-706.9273"</f>
        <v>-706.9273</v>
      </c>
      <c r="H18">
        <f t="shared" ref="H18:H21" si="14">B18*1</f>
        <v>10.24832</v>
      </c>
      <c r="I18">
        <f t="shared" si="10"/>
        <v>78.640540000000001</v>
      </c>
      <c r="J18">
        <f t="shared" si="11"/>
        <v>0.19547500000000001</v>
      </c>
      <c r="K18">
        <f t="shared" si="12"/>
        <v>0.2930411</v>
      </c>
      <c r="L18">
        <f t="shared" si="13"/>
        <v>-706.92729999999995</v>
      </c>
    </row>
    <row r="19" spans="1:12" x14ac:dyDescent="0.3">
      <c r="A19" t="str">
        <f>"levelimp"</f>
        <v>levelimp</v>
      </c>
      <c r="B19" t="str">
        <f>".3015144"</f>
        <v>.3015144</v>
      </c>
      <c r="C19" t="str">
        <f>".195475"</f>
        <v>.195475</v>
      </c>
      <c r="D19" t="str">
        <f>".8629313"</f>
        <v>.8629313</v>
      </c>
      <c r="E19" t="str">
        <f>".0886852"</f>
        <v>.0886852</v>
      </c>
      <c r="F19" t="str">
        <f>"-177.1203"</f>
        <v>-177.1203</v>
      </c>
      <c r="H19">
        <f t="shared" si="14"/>
        <v>0.30151440000000002</v>
      </c>
      <c r="I19">
        <f t="shared" si="10"/>
        <v>0.19547500000000001</v>
      </c>
      <c r="J19">
        <f t="shared" si="11"/>
        <v>0.86293129999999996</v>
      </c>
      <c r="K19">
        <f t="shared" si="12"/>
        <v>8.8685200000000006E-2</v>
      </c>
      <c r="L19">
        <f t="shared" si="13"/>
        <v>-177.12029999999999</v>
      </c>
    </row>
    <row r="20" spans="1:12" x14ac:dyDescent="0.3">
      <c r="A20" t="str">
        <f>"year"</f>
        <v>year</v>
      </c>
      <c r="B20" t="str">
        <f>"1.269014"</f>
        <v>1.269014</v>
      </c>
      <c r="C20" t="str">
        <f>".2930411"</f>
        <v>.2930411</v>
      </c>
      <c r="D20" t="str">
        <f>".0886852"</f>
        <v>.0886852</v>
      </c>
      <c r="E20" t="str">
        <f>".271027"</f>
        <v>.271027</v>
      </c>
      <c r="F20" t="str">
        <f>"-547.4749"</f>
        <v>-547.4749</v>
      </c>
      <c r="H20">
        <f t="shared" si="14"/>
        <v>1.2690140000000001</v>
      </c>
      <c r="I20">
        <f t="shared" si="10"/>
        <v>0.2930411</v>
      </c>
      <c r="J20">
        <f t="shared" si="11"/>
        <v>8.8685200000000006E-2</v>
      </c>
      <c r="K20">
        <f t="shared" si="12"/>
        <v>0.27102700000000002</v>
      </c>
      <c r="L20">
        <f t="shared" si="13"/>
        <v>-547.47490000000005</v>
      </c>
    </row>
    <row r="21" spans="1:12" x14ac:dyDescent="0.3">
      <c r="A21" t="str">
        <f>"_cons"</f>
        <v>_cons</v>
      </c>
      <c r="B21" t="str">
        <f>"-2604.66"</f>
        <v>-2604.66</v>
      </c>
      <c r="C21" t="str">
        <f>"-706.9273"</f>
        <v>-706.9273</v>
      </c>
      <c r="D21" t="str">
        <f>"-177.1203"</f>
        <v>-177.1203</v>
      </c>
      <c r="E21" t="str">
        <f>"-547.4749"</f>
        <v>-547.4749</v>
      </c>
      <c r="F21" t="str">
        <f>"1106137"</f>
        <v>1106137</v>
      </c>
      <c r="H21">
        <f t="shared" si="14"/>
        <v>-2604.66</v>
      </c>
      <c r="I21">
        <f t="shared" si="10"/>
        <v>-706.92729999999995</v>
      </c>
      <c r="J21">
        <f t="shared" si="11"/>
        <v>-177.12029999999999</v>
      </c>
      <c r="K21">
        <f t="shared" si="12"/>
        <v>-547.47490000000005</v>
      </c>
      <c r="L21">
        <f t="shared" si="13"/>
        <v>1106137</v>
      </c>
    </row>
    <row r="22" spans="1:12" x14ac:dyDescent="0.3">
      <c r="A22" t="str">
        <f>""</f>
        <v/>
      </c>
      <c r="B22" t="str">
        <f>"e(V)"</f>
        <v>e(V)</v>
      </c>
      <c r="C22" t="str">
        <f>""</f>
        <v/>
      </c>
      <c r="D22" t="str">
        <f>""</f>
        <v/>
      </c>
      <c r="E22" t="str">
        <f>""</f>
        <v/>
      </c>
      <c r="F22" t="str">
        <f>""</f>
        <v/>
      </c>
    </row>
    <row r="23" spans="1:12" x14ac:dyDescent="0.3">
      <c r="A23" t="str">
        <f>""</f>
        <v/>
      </c>
      <c r="B23" t="str">
        <f>"puretime"</f>
        <v>puretime</v>
      </c>
      <c r="C23" t="str">
        <f>"intertemp"</f>
        <v>intertemp</v>
      </c>
      <c r="D23" t="str">
        <f>"levelimp"</f>
        <v>levelimp</v>
      </c>
      <c r="E23" t="str">
        <f>"year"</f>
        <v>year</v>
      </c>
      <c r="F23" t="str">
        <f>"_cons"</f>
        <v>_cons</v>
      </c>
    </row>
    <row r="24" spans="1:12" x14ac:dyDescent="0.3">
      <c r="A24" t="str">
        <f>"puretime"</f>
        <v>puretime</v>
      </c>
      <c r="B24" t="str">
        <f>"17.41919"</f>
        <v>17.41919</v>
      </c>
      <c r="C24" t="str">
        <f>"7.26744"</f>
        <v>7.26744</v>
      </c>
      <c r="D24" t="str">
        <f>".2138144"</f>
        <v>.2138144</v>
      </c>
      <c r="E24" t="str">
        <f>".8999022"</f>
        <v>.8999022</v>
      </c>
      <c r="F24" t="str">
        <f>"-1847.055"</f>
        <v>-1847.055</v>
      </c>
      <c r="H24">
        <f>B24*1</f>
        <v>17.41919</v>
      </c>
      <c r="I24">
        <f t="shared" ref="I24:I28" si="15">C24*1</f>
        <v>7.2674399999999997</v>
      </c>
      <c r="J24">
        <f t="shared" ref="J24:J28" si="16">D24*1</f>
        <v>0.21381439999999999</v>
      </c>
      <c r="K24">
        <f t="shared" ref="K24:K28" si="17">E24*1</f>
        <v>0.89990219999999999</v>
      </c>
      <c r="L24">
        <f t="shared" ref="L24:L28" si="18">F24*1</f>
        <v>-1847.0550000000001</v>
      </c>
    </row>
    <row r="25" spans="1:12" x14ac:dyDescent="0.3">
      <c r="A25" t="str">
        <f>"intertemp"</f>
        <v>intertemp</v>
      </c>
      <c r="B25" t="str">
        <f>"7.26744"</f>
        <v>7.26744</v>
      </c>
      <c r="C25" t="str">
        <f>"55.76675"</f>
        <v>55.76675</v>
      </c>
      <c r="D25" t="str">
        <f>".1386181"</f>
        <v>.1386181</v>
      </c>
      <c r="E25" t="str">
        <f>".2078056"</f>
        <v>.2078056</v>
      </c>
      <c r="F25" t="str">
        <f>"-501.3068"</f>
        <v>-501.3068</v>
      </c>
      <c r="H25">
        <f t="shared" ref="H25:H28" si="19">B25*1</f>
        <v>7.2674399999999997</v>
      </c>
      <c r="I25">
        <f t="shared" si="15"/>
        <v>55.766750000000002</v>
      </c>
      <c r="J25">
        <f t="shared" si="16"/>
        <v>0.13861809999999999</v>
      </c>
      <c r="K25">
        <f t="shared" si="17"/>
        <v>0.20780560000000001</v>
      </c>
      <c r="L25">
        <f t="shared" si="18"/>
        <v>-501.30680000000001</v>
      </c>
    </row>
    <row r="26" spans="1:12" x14ac:dyDescent="0.3">
      <c r="A26" t="str">
        <f>"levelimp"</f>
        <v>levelimp</v>
      </c>
      <c r="B26" t="str">
        <f>".2138144"</f>
        <v>.2138144</v>
      </c>
      <c r="C26" t="str">
        <f>".1386181"</f>
        <v>.1386181</v>
      </c>
      <c r="D26" t="str">
        <f>".6119346"</f>
        <v>.6119346</v>
      </c>
      <c r="E26" t="str">
        <f>".0628897"</f>
        <v>.0628897</v>
      </c>
      <c r="F26" t="str">
        <f>"-125.6021"</f>
        <v>-125.6021</v>
      </c>
      <c r="H26">
        <f t="shared" si="19"/>
        <v>0.21381439999999999</v>
      </c>
      <c r="I26">
        <f t="shared" si="15"/>
        <v>0.13861809999999999</v>
      </c>
      <c r="J26">
        <f t="shared" si="16"/>
        <v>0.6119346</v>
      </c>
      <c r="K26">
        <f t="shared" si="17"/>
        <v>6.2889700000000007E-2</v>
      </c>
      <c r="L26">
        <f t="shared" si="18"/>
        <v>-125.60209999999999</v>
      </c>
    </row>
    <row r="27" spans="1:12" x14ac:dyDescent="0.3">
      <c r="A27" t="str">
        <f>"year"</f>
        <v>year</v>
      </c>
      <c r="B27" t="str">
        <f>".8999022"</f>
        <v>.8999022</v>
      </c>
      <c r="C27" t="str">
        <f>".2078056"</f>
        <v>.2078056</v>
      </c>
      <c r="D27" t="str">
        <f>".0628897"</f>
        <v>.0628897</v>
      </c>
      <c r="E27" t="str">
        <f>".1921947"</f>
        <v>.1921947</v>
      </c>
      <c r="F27" t="str">
        <f>"-388.2335"</f>
        <v>-388.2335</v>
      </c>
      <c r="H27">
        <f t="shared" si="19"/>
        <v>0.89990219999999999</v>
      </c>
      <c r="I27">
        <f t="shared" si="15"/>
        <v>0.20780560000000001</v>
      </c>
      <c r="J27">
        <f t="shared" si="16"/>
        <v>6.2889700000000007E-2</v>
      </c>
      <c r="K27">
        <f t="shared" si="17"/>
        <v>0.1921947</v>
      </c>
      <c r="L27">
        <f t="shared" si="18"/>
        <v>-388.23349999999999</v>
      </c>
    </row>
    <row r="28" spans="1:12" x14ac:dyDescent="0.3">
      <c r="A28" t="str">
        <f>"_cons"</f>
        <v>_cons</v>
      </c>
      <c r="B28" t="str">
        <f>"-1847.055"</f>
        <v>-1847.055</v>
      </c>
      <c r="C28" t="str">
        <f>"-501.3068"</f>
        <v>-501.3068</v>
      </c>
      <c r="D28" t="str">
        <f>"-125.6021"</f>
        <v>-125.6021</v>
      </c>
      <c r="E28" t="str">
        <f>"-388.2335"</f>
        <v>-388.2335</v>
      </c>
      <c r="F28" t="str">
        <f>"784400.2"</f>
        <v>784400.2</v>
      </c>
      <c r="H28">
        <f t="shared" si="19"/>
        <v>-1847.0550000000001</v>
      </c>
      <c r="I28">
        <f t="shared" si="15"/>
        <v>-501.30680000000001</v>
      </c>
      <c r="J28">
        <f t="shared" si="16"/>
        <v>-125.60209999999999</v>
      </c>
      <c r="K28">
        <f t="shared" si="17"/>
        <v>-388.23349999999999</v>
      </c>
      <c r="L28">
        <f t="shared" si="18"/>
        <v>784400.2</v>
      </c>
    </row>
    <row r="29" spans="1:12" x14ac:dyDescent="0.3">
      <c r="A29" t="str">
        <f>""</f>
        <v/>
      </c>
      <c r="B29" t="str">
        <f>"e(V)"</f>
        <v>e(V)</v>
      </c>
      <c r="C29" t="str">
        <f>""</f>
        <v/>
      </c>
      <c r="D29" t="str">
        <f>""</f>
        <v/>
      </c>
      <c r="E29" t="str">
        <f>""</f>
        <v/>
      </c>
      <c r="F29" t="str">
        <f>""</f>
        <v/>
      </c>
    </row>
    <row r="30" spans="1:12" x14ac:dyDescent="0.3">
      <c r="A30" t="str">
        <f>""</f>
        <v/>
      </c>
      <c r="B30" t="str">
        <f>"puretime"</f>
        <v>puretime</v>
      </c>
      <c r="C30" t="str">
        <f>"intertemp"</f>
        <v>intertemp</v>
      </c>
      <c r="D30" t="str">
        <f>"levelimp"</f>
        <v>levelimp</v>
      </c>
      <c r="E30" t="str">
        <f>"year"</f>
        <v>year</v>
      </c>
      <c r="F30" t="str">
        <f>"_cons"</f>
        <v>_cons</v>
      </c>
    </row>
    <row r="31" spans="1:12" x14ac:dyDescent="0.3">
      <c r="A31" t="str">
        <f>"puretime"</f>
        <v>puretime</v>
      </c>
      <c r="B31" t="str">
        <f>"11.40262"</f>
        <v>11.40262</v>
      </c>
      <c r="C31" t="str">
        <f>"4.757273"</f>
        <v>4.757273</v>
      </c>
      <c r="D31" t="str">
        <f>".1399631"</f>
        <v>.1399631</v>
      </c>
      <c r="E31" t="str">
        <f>".5890769"</f>
        <v>.5890769</v>
      </c>
      <c r="F31" t="str">
        <f>"-1209.084"</f>
        <v>-1209.084</v>
      </c>
      <c r="H31">
        <f>B31*1</f>
        <v>11.402620000000001</v>
      </c>
      <c r="I31">
        <f t="shared" ref="I31:I35" si="20">C31*1</f>
        <v>4.7572729999999996</v>
      </c>
      <c r="J31">
        <f t="shared" ref="J31:J35" si="21">D31*1</f>
        <v>0.13996310000000001</v>
      </c>
      <c r="K31">
        <f t="shared" ref="K31:K35" si="22">E31*1</f>
        <v>0.58907690000000001</v>
      </c>
      <c r="L31">
        <f t="shared" ref="L31:L35" si="23">F31*1</f>
        <v>-1209.0840000000001</v>
      </c>
    </row>
    <row r="32" spans="1:12" x14ac:dyDescent="0.3">
      <c r="A32" t="str">
        <f>"intertemp"</f>
        <v>intertemp</v>
      </c>
      <c r="B32" t="str">
        <f>"4.757273"</f>
        <v>4.757273</v>
      </c>
      <c r="C32" t="str">
        <f>"36.50497"</f>
        <v>36.50497</v>
      </c>
      <c r="D32" t="str">
        <f>".0907395"</f>
        <v>.0907395</v>
      </c>
      <c r="E32" t="str">
        <f>".1360298"</f>
        <v>.1360298</v>
      </c>
      <c r="F32" t="str">
        <f>"-328.1559"</f>
        <v>-328.1559</v>
      </c>
      <c r="H32">
        <f t="shared" ref="H32:H35" si="24">B32*1</f>
        <v>4.7572729999999996</v>
      </c>
      <c r="I32">
        <f t="shared" si="20"/>
        <v>36.50497</v>
      </c>
      <c r="J32">
        <f t="shared" si="21"/>
        <v>9.0739500000000001E-2</v>
      </c>
      <c r="K32">
        <f t="shared" si="22"/>
        <v>0.13602980000000001</v>
      </c>
      <c r="L32">
        <f t="shared" si="23"/>
        <v>-328.15589999999997</v>
      </c>
    </row>
    <row r="33" spans="1:12" x14ac:dyDescent="0.3">
      <c r="A33" t="str">
        <f>"levelimp"</f>
        <v>levelimp</v>
      </c>
      <c r="B33" t="str">
        <f>".1399631"</f>
        <v>.1399631</v>
      </c>
      <c r="C33" t="str">
        <f>".0907395"</f>
        <v>.0907395</v>
      </c>
      <c r="D33" t="str">
        <f>".400573"</f>
        <v>.400573</v>
      </c>
      <c r="E33" t="str">
        <f>".0411677"</f>
        <v>.0411677</v>
      </c>
      <c r="F33" t="str">
        <f>"-82.21929"</f>
        <v>-82.21929</v>
      </c>
      <c r="H33">
        <f t="shared" si="24"/>
        <v>0.13996310000000001</v>
      </c>
      <c r="I33">
        <f t="shared" si="20"/>
        <v>9.0739500000000001E-2</v>
      </c>
      <c r="J33">
        <f t="shared" si="21"/>
        <v>0.40057300000000001</v>
      </c>
      <c r="K33">
        <f t="shared" si="22"/>
        <v>4.1167700000000002E-2</v>
      </c>
      <c r="L33">
        <f t="shared" si="23"/>
        <v>-82.219290000000001</v>
      </c>
    </row>
    <row r="34" spans="1:12" x14ac:dyDescent="0.3">
      <c r="A34" t="str">
        <f>"year"</f>
        <v>year</v>
      </c>
      <c r="B34" t="str">
        <f>".5890769"</f>
        <v>.5890769</v>
      </c>
      <c r="C34" t="str">
        <f>".1360298"</f>
        <v>.1360298</v>
      </c>
      <c r="D34" t="str">
        <f>".0411677"</f>
        <v>.0411677</v>
      </c>
      <c r="E34" t="str">
        <f>".1258108"</f>
        <v>.1258108</v>
      </c>
      <c r="F34" t="str">
        <f>"-254.138"</f>
        <v>-254.138</v>
      </c>
      <c r="H34">
        <f t="shared" si="24"/>
        <v>0.58907690000000001</v>
      </c>
      <c r="I34">
        <f t="shared" si="20"/>
        <v>0.13602980000000001</v>
      </c>
      <c r="J34">
        <f t="shared" si="21"/>
        <v>4.1167700000000002E-2</v>
      </c>
      <c r="K34">
        <f t="shared" si="22"/>
        <v>0.1258108</v>
      </c>
      <c r="L34">
        <f t="shared" si="23"/>
        <v>-254.13800000000001</v>
      </c>
    </row>
    <row r="35" spans="1:12" x14ac:dyDescent="0.3">
      <c r="A35" t="str">
        <f>"_cons"</f>
        <v>_cons</v>
      </c>
      <c r="B35" t="str">
        <f>"-1209.084"</f>
        <v>-1209.084</v>
      </c>
      <c r="C35" t="str">
        <f>"-328.1559"</f>
        <v>-328.1559</v>
      </c>
      <c r="D35" t="str">
        <f>"-82.21929"</f>
        <v>-82.21929</v>
      </c>
      <c r="E35" t="str">
        <f>"-254.138"</f>
        <v>-254.138</v>
      </c>
      <c r="F35" t="str">
        <f>"513469.1"</f>
        <v>513469.1</v>
      </c>
      <c r="H35">
        <f t="shared" si="24"/>
        <v>-1209.0840000000001</v>
      </c>
      <c r="I35">
        <f t="shared" si="20"/>
        <v>-328.15589999999997</v>
      </c>
      <c r="J35">
        <f t="shared" si="21"/>
        <v>-82.219290000000001</v>
      </c>
      <c r="K35">
        <f t="shared" si="22"/>
        <v>-254.13800000000001</v>
      </c>
      <c r="L35">
        <f t="shared" si="23"/>
        <v>513469.1</v>
      </c>
    </row>
    <row r="36" spans="1:12" x14ac:dyDescent="0.3">
      <c r="A36" t="str">
        <f>""</f>
        <v/>
      </c>
      <c r="B36" t="str">
        <f>"e(V)"</f>
        <v>e(V)</v>
      </c>
      <c r="C36" t="str">
        <f>""</f>
        <v/>
      </c>
      <c r="D36" t="str">
        <f>""</f>
        <v/>
      </c>
      <c r="E36" t="str">
        <f>""</f>
        <v/>
      </c>
      <c r="F36" t="str">
        <f>""</f>
        <v/>
      </c>
    </row>
    <row r="37" spans="1:12" x14ac:dyDescent="0.3">
      <c r="A37" t="str">
        <f>""</f>
        <v/>
      </c>
      <c r="B37" t="str">
        <f>"puretime"</f>
        <v>puretime</v>
      </c>
      <c r="C37" t="str">
        <f>"intertemp"</f>
        <v>intertemp</v>
      </c>
      <c r="D37" t="str">
        <f>"levelimp"</f>
        <v>levelimp</v>
      </c>
      <c r="E37" t="str">
        <f>"year"</f>
        <v>year</v>
      </c>
      <c r="F37" t="str">
        <f>"_cons"</f>
        <v>_cons</v>
      </c>
    </row>
    <row r="38" spans="1:12" x14ac:dyDescent="0.3">
      <c r="A38" t="str">
        <f>"puretime"</f>
        <v>puretime</v>
      </c>
      <c r="B38" t="str">
        <f>"15.77357"</f>
        <v>15.77357</v>
      </c>
      <c r="C38" t="str">
        <f>"6.580871"</f>
        <v>6.580871</v>
      </c>
      <c r="D38" t="str">
        <f>".1936149"</f>
        <v>.1936149</v>
      </c>
      <c r="E38" t="str">
        <f>".8148868"</f>
        <v>.8148868</v>
      </c>
      <c r="F38" t="str">
        <f>"-1672.56"</f>
        <v>-1672.56</v>
      </c>
      <c r="H38">
        <f>B38*1</f>
        <v>15.773569999999999</v>
      </c>
      <c r="I38">
        <f t="shared" ref="I38:I42" si="25">C38*1</f>
        <v>6.5808710000000001</v>
      </c>
      <c r="J38">
        <f t="shared" ref="J38:J42" si="26">D38*1</f>
        <v>0.19361490000000001</v>
      </c>
      <c r="K38">
        <f t="shared" ref="K38:K42" si="27">E38*1</f>
        <v>0.81488680000000002</v>
      </c>
      <c r="L38">
        <f t="shared" ref="L38:L42" si="28">F38*1</f>
        <v>-1672.56</v>
      </c>
    </row>
    <row r="39" spans="1:12" x14ac:dyDescent="0.3">
      <c r="A39" t="str">
        <f>"intertemp"</f>
        <v>intertemp</v>
      </c>
      <c r="B39" t="str">
        <f>"6.580871"</f>
        <v>6.580871</v>
      </c>
      <c r="C39" t="str">
        <f>"50.49836"</f>
        <v>50.49836</v>
      </c>
      <c r="D39" t="str">
        <f>".1255226"</f>
        <v>.1255226</v>
      </c>
      <c r="E39" t="str">
        <f>".1881738"</f>
        <v>.1881738</v>
      </c>
      <c r="F39" t="str">
        <f>"-453.9474"</f>
        <v>-453.9474</v>
      </c>
      <c r="H39">
        <f t="shared" ref="H39:H42" si="29">B39*1</f>
        <v>6.5808710000000001</v>
      </c>
      <c r="I39">
        <f t="shared" si="25"/>
        <v>50.498359999999998</v>
      </c>
      <c r="J39">
        <f t="shared" si="26"/>
        <v>0.12552260000000001</v>
      </c>
      <c r="K39">
        <f t="shared" si="27"/>
        <v>0.1881738</v>
      </c>
      <c r="L39">
        <f t="shared" si="28"/>
        <v>-453.94740000000002</v>
      </c>
    </row>
    <row r="40" spans="1:12" x14ac:dyDescent="0.3">
      <c r="A40" t="str">
        <f>"levelimp"</f>
        <v>levelimp</v>
      </c>
      <c r="B40" t="str">
        <f>".1936149"</f>
        <v>.1936149</v>
      </c>
      <c r="C40" t="str">
        <f>".1255226"</f>
        <v>.1255226</v>
      </c>
      <c r="D40" t="str">
        <f>".554124"</f>
        <v>.554124</v>
      </c>
      <c r="E40" t="str">
        <f>".0569484"</f>
        <v>.0569484</v>
      </c>
      <c r="F40" t="str">
        <f>"-113.7363"</f>
        <v>-113.7363</v>
      </c>
      <c r="H40">
        <f t="shared" si="29"/>
        <v>0.19361490000000001</v>
      </c>
      <c r="I40">
        <f t="shared" si="25"/>
        <v>0.12552260000000001</v>
      </c>
      <c r="J40">
        <f t="shared" si="26"/>
        <v>0.55412399999999995</v>
      </c>
      <c r="K40">
        <f t="shared" si="27"/>
        <v>5.6948400000000003E-2</v>
      </c>
      <c r="L40">
        <f t="shared" si="28"/>
        <v>-113.7363</v>
      </c>
    </row>
    <row r="41" spans="1:12" x14ac:dyDescent="0.3">
      <c r="A41" t="str">
        <f>"year"</f>
        <v>year</v>
      </c>
      <c r="B41" t="str">
        <f>".8148868"</f>
        <v>.8148868</v>
      </c>
      <c r="C41" t="str">
        <f>".1881738"</f>
        <v>.1881738</v>
      </c>
      <c r="D41" t="str">
        <f>".0569484"</f>
        <v>.0569484</v>
      </c>
      <c r="E41" t="str">
        <f>".1740377"</f>
        <v>.1740377</v>
      </c>
      <c r="F41" t="str">
        <f>"-351.5564"</f>
        <v>-351.5564</v>
      </c>
      <c r="H41">
        <f t="shared" si="29"/>
        <v>0.81488680000000002</v>
      </c>
      <c r="I41">
        <f t="shared" si="25"/>
        <v>0.1881738</v>
      </c>
      <c r="J41">
        <f t="shared" si="26"/>
        <v>5.6948400000000003E-2</v>
      </c>
      <c r="K41">
        <f t="shared" si="27"/>
        <v>0.17403769999999999</v>
      </c>
      <c r="L41">
        <f t="shared" si="28"/>
        <v>-351.5564</v>
      </c>
    </row>
    <row r="42" spans="1:12" x14ac:dyDescent="0.3">
      <c r="A42" t="str">
        <f>"_cons"</f>
        <v>_cons</v>
      </c>
      <c r="B42" t="str">
        <f>"-1672.56"</f>
        <v>-1672.56</v>
      </c>
      <c r="C42" t="str">
        <f>"-453.9474"</f>
        <v>-453.9474</v>
      </c>
      <c r="D42" t="str">
        <f>"-113.7363"</f>
        <v>-113.7363</v>
      </c>
      <c r="E42" t="str">
        <f>"-351.5564"</f>
        <v>-351.5564</v>
      </c>
      <c r="F42" t="str">
        <f>"710296.4"</f>
        <v>710296.4</v>
      </c>
      <c r="H42">
        <f t="shared" si="29"/>
        <v>-1672.56</v>
      </c>
      <c r="I42">
        <f t="shared" si="25"/>
        <v>-453.94740000000002</v>
      </c>
      <c r="J42">
        <f t="shared" si="26"/>
        <v>-113.7363</v>
      </c>
      <c r="K42">
        <f t="shared" si="27"/>
        <v>-351.5564</v>
      </c>
      <c r="L42">
        <f t="shared" si="28"/>
        <v>710296.4</v>
      </c>
    </row>
    <row r="43" spans="1:12" x14ac:dyDescent="0.3">
      <c r="A43" t="str">
        <f>""</f>
        <v/>
      </c>
      <c r="B43" t="str">
        <f>"e(V)"</f>
        <v>e(V)</v>
      </c>
      <c r="C43" t="str">
        <f>""</f>
        <v/>
      </c>
      <c r="D43" t="str">
        <f>""</f>
        <v/>
      </c>
      <c r="E43" t="str">
        <f>""</f>
        <v/>
      </c>
      <c r="F43" t="str">
        <f>""</f>
        <v/>
      </c>
    </row>
    <row r="44" spans="1:12" x14ac:dyDescent="0.3">
      <c r="A44" t="str">
        <f>""</f>
        <v/>
      </c>
      <c r="B44" t="str">
        <f>"puretime"</f>
        <v>puretime</v>
      </c>
      <c r="C44" t="str">
        <f>"intertemp"</f>
        <v>intertemp</v>
      </c>
      <c r="D44" t="str">
        <f>"levelimp"</f>
        <v>levelimp</v>
      </c>
      <c r="E44" t="str">
        <f>"year"</f>
        <v>year</v>
      </c>
      <c r="F44" t="str">
        <f>"_cons"</f>
        <v>_cons</v>
      </c>
    </row>
    <row r="45" spans="1:12" x14ac:dyDescent="0.3">
      <c r="A45" t="str">
        <f>"puretime"</f>
        <v>puretime</v>
      </c>
      <c r="B45" t="str">
        <f>"16.4353"</f>
        <v>16.4353</v>
      </c>
      <c r="C45" t="str">
        <f>"6.856953"</f>
        <v>6.856953</v>
      </c>
      <c r="D45" t="str">
        <f>".2017375"</f>
        <v>.2017375</v>
      </c>
      <c r="E45" t="str">
        <f>".8490731"</f>
        <v>.8490731</v>
      </c>
      <c r="F45" t="str">
        <f>"-1742.728"</f>
        <v>-1742.728</v>
      </c>
      <c r="H45">
        <f>B45*1</f>
        <v>16.435300000000002</v>
      </c>
      <c r="I45">
        <f t="shared" ref="I45:I49" si="30">C45*1</f>
        <v>6.8569529999999999</v>
      </c>
      <c r="J45">
        <f t="shared" ref="J45:J49" si="31">D45*1</f>
        <v>0.20173749999999999</v>
      </c>
      <c r="K45">
        <f t="shared" ref="K45:K49" si="32">E45*1</f>
        <v>0.84907310000000003</v>
      </c>
      <c r="L45">
        <f t="shared" ref="L45:L49" si="33">F45*1</f>
        <v>-1742.7280000000001</v>
      </c>
    </row>
    <row r="46" spans="1:12" x14ac:dyDescent="0.3">
      <c r="A46" t="str">
        <f>"intertemp"</f>
        <v>intertemp</v>
      </c>
      <c r="B46" t="str">
        <f>"6.856953"</f>
        <v>6.856953</v>
      </c>
      <c r="C46" t="str">
        <f>"52.61687"</f>
        <v>52.61687</v>
      </c>
      <c r="D46" t="str">
        <f>".1307885"</f>
        <v>.1307885</v>
      </c>
      <c r="E46" t="str">
        <f>".1960681"</f>
        <v>.1960681</v>
      </c>
      <c r="F46" t="str">
        <f>"-472.9915"</f>
        <v>-472.9915</v>
      </c>
      <c r="H46">
        <f t="shared" ref="H46:H49" si="34">B46*1</f>
        <v>6.8569529999999999</v>
      </c>
      <c r="I46">
        <f t="shared" si="30"/>
        <v>52.616869999999999</v>
      </c>
      <c r="J46">
        <f t="shared" si="31"/>
        <v>0.1307885</v>
      </c>
      <c r="K46">
        <f t="shared" si="32"/>
        <v>0.1960681</v>
      </c>
      <c r="L46">
        <f t="shared" si="33"/>
        <v>-472.99149999999997</v>
      </c>
    </row>
    <row r="47" spans="1:12" x14ac:dyDescent="0.3">
      <c r="A47" t="str">
        <f>"levelimp"</f>
        <v>levelimp</v>
      </c>
      <c r="B47" t="str">
        <f>".2017375"</f>
        <v>.2017375</v>
      </c>
      <c r="C47" t="str">
        <f>".1307885"</f>
        <v>.1307885</v>
      </c>
      <c r="D47" t="str">
        <f>".5773708"</f>
        <v>.5773708</v>
      </c>
      <c r="E47" t="str">
        <f>".0593375"</f>
        <v>.0593375</v>
      </c>
      <c r="F47" t="str">
        <f>"-118.5078"</f>
        <v>-118.5078</v>
      </c>
      <c r="H47">
        <f t="shared" si="34"/>
        <v>0.20173749999999999</v>
      </c>
      <c r="I47">
        <f t="shared" si="30"/>
        <v>0.1307885</v>
      </c>
      <c r="J47">
        <f t="shared" si="31"/>
        <v>0.57737079999999996</v>
      </c>
      <c r="K47">
        <f t="shared" si="32"/>
        <v>5.9337500000000001E-2</v>
      </c>
      <c r="L47">
        <f t="shared" si="33"/>
        <v>-118.5078</v>
      </c>
    </row>
    <row r="48" spans="1:12" x14ac:dyDescent="0.3">
      <c r="A48" t="str">
        <f>"year"</f>
        <v>year</v>
      </c>
      <c r="B48" t="str">
        <f>".8490731"</f>
        <v>.8490731</v>
      </c>
      <c r="C48" t="str">
        <f>".1960681"</f>
        <v>.1960681</v>
      </c>
      <c r="D48" t="str">
        <f>".0593375"</f>
        <v>.0593375</v>
      </c>
      <c r="E48" t="str">
        <f>".181339"</f>
        <v>.181339</v>
      </c>
      <c r="F48" t="str">
        <f>"-366.305"</f>
        <v>-366.305</v>
      </c>
      <c r="H48">
        <f t="shared" si="34"/>
        <v>0.84907310000000003</v>
      </c>
      <c r="I48">
        <f t="shared" si="30"/>
        <v>0.1960681</v>
      </c>
      <c r="J48">
        <f t="shared" si="31"/>
        <v>5.9337500000000001E-2</v>
      </c>
      <c r="K48">
        <f t="shared" si="32"/>
        <v>0.181339</v>
      </c>
      <c r="L48">
        <f t="shared" si="33"/>
        <v>-366.30500000000001</v>
      </c>
    </row>
    <row r="49" spans="1:12" x14ac:dyDescent="0.3">
      <c r="A49" t="str">
        <f>"_cons"</f>
        <v>_cons</v>
      </c>
      <c r="B49" t="str">
        <f>"-1742.728"</f>
        <v>-1742.728</v>
      </c>
      <c r="C49" t="str">
        <f>"-472.9915"</f>
        <v>-472.9915</v>
      </c>
      <c r="D49" t="str">
        <f>"-118.5078"</f>
        <v>-118.5078</v>
      </c>
      <c r="E49" t="str">
        <f>"-366.305"</f>
        <v>-366.305</v>
      </c>
      <c r="F49" t="str">
        <f>"740095"</f>
        <v>740095</v>
      </c>
      <c r="H49">
        <f t="shared" si="34"/>
        <v>-1742.7280000000001</v>
      </c>
      <c r="I49">
        <f t="shared" si="30"/>
        <v>-472.99149999999997</v>
      </c>
      <c r="J49">
        <f t="shared" si="31"/>
        <v>-118.5078</v>
      </c>
      <c r="K49">
        <f t="shared" si="32"/>
        <v>-366.30500000000001</v>
      </c>
      <c r="L49">
        <f t="shared" si="33"/>
        <v>740095</v>
      </c>
    </row>
    <row r="50" spans="1:12" x14ac:dyDescent="0.3">
      <c r="A50" t="str">
        <f>""</f>
        <v/>
      </c>
      <c r="B50" t="str">
        <f>"e(V)"</f>
        <v>e(V)</v>
      </c>
      <c r="C50" t="str">
        <f>""</f>
        <v/>
      </c>
      <c r="D50" t="str">
        <f>""</f>
        <v/>
      </c>
      <c r="E50" t="str">
        <f>""</f>
        <v/>
      </c>
      <c r="F50" t="str">
        <f>""</f>
        <v/>
      </c>
    </row>
    <row r="51" spans="1:12" x14ac:dyDescent="0.3">
      <c r="A51" t="str">
        <f>""</f>
        <v/>
      </c>
      <c r="B51" t="str">
        <f>"puretime"</f>
        <v>puretime</v>
      </c>
      <c r="C51" t="str">
        <f>"intertemp"</f>
        <v>intertemp</v>
      </c>
      <c r="D51" t="str">
        <f>"levelimp"</f>
        <v>levelimp</v>
      </c>
      <c r="E51" t="str">
        <f>"year"</f>
        <v>year</v>
      </c>
      <c r="F51" t="str">
        <f>"_cons"</f>
        <v>_cons</v>
      </c>
    </row>
    <row r="52" spans="1:12" x14ac:dyDescent="0.3">
      <c r="A52" t="str">
        <f>"puretime"</f>
        <v>puretime</v>
      </c>
      <c r="B52" t="str">
        <f>"30.13379"</f>
        <v>30.13379</v>
      </c>
      <c r="C52" t="str">
        <f>"12.57208"</f>
        <v>12.57208</v>
      </c>
      <c r="D52" t="str">
        <f>".3698816"</f>
        <v>.3698816</v>
      </c>
      <c r="E52" t="str">
        <f>"1.556758"</f>
        <v>1.556758</v>
      </c>
      <c r="F52" t="str">
        <f>"-3195.256"</f>
        <v>-3195.256</v>
      </c>
      <c r="H52">
        <f>B52*1</f>
        <v>30.133790000000001</v>
      </c>
      <c r="I52">
        <f t="shared" ref="I52:I56" si="35">C52*1</f>
        <v>12.57208</v>
      </c>
      <c r="J52">
        <f t="shared" ref="J52:J56" si="36">D52*1</f>
        <v>0.36988159999999998</v>
      </c>
      <c r="K52">
        <f t="shared" ref="K52:K56" si="37">E52*1</f>
        <v>1.5567580000000001</v>
      </c>
      <c r="L52">
        <f t="shared" ref="L52:L56" si="38">F52*1</f>
        <v>-3195.2559999999999</v>
      </c>
    </row>
    <row r="53" spans="1:12" x14ac:dyDescent="0.3">
      <c r="A53" t="str">
        <f>"intertemp"</f>
        <v>intertemp</v>
      </c>
      <c r="B53" t="str">
        <f>"12.57208"</f>
        <v>12.57208</v>
      </c>
      <c r="C53" t="str">
        <f>"96.47197"</f>
        <v>96.47197</v>
      </c>
      <c r="D53" t="str">
        <f>".2397981"</f>
        <v>.2397981</v>
      </c>
      <c r="E53" t="str">
        <f>".3594869"</f>
        <v>.3594869</v>
      </c>
      <c r="F53" t="str">
        <f>"-867.2202"</f>
        <v>-867.2202</v>
      </c>
      <c r="H53">
        <f t="shared" ref="H53:H56" si="39">B53*1</f>
        <v>12.57208</v>
      </c>
      <c r="I53">
        <f t="shared" si="35"/>
        <v>96.471969999999999</v>
      </c>
      <c r="J53">
        <f t="shared" si="36"/>
        <v>0.23979809999999999</v>
      </c>
      <c r="K53">
        <f t="shared" si="37"/>
        <v>0.3594869</v>
      </c>
      <c r="L53">
        <f t="shared" si="38"/>
        <v>-867.22019999999998</v>
      </c>
    </row>
    <row r="54" spans="1:12" x14ac:dyDescent="0.3">
      <c r="A54" t="str">
        <f>"levelimp"</f>
        <v>levelimp</v>
      </c>
      <c r="B54" t="str">
        <f>".3698816"</f>
        <v>.3698816</v>
      </c>
      <c r="C54" t="str">
        <f>".2397981"</f>
        <v>.2397981</v>
      </c>
      <c r="D54" t="str">
        <f>"1.058598"</f>
        <v>1.058598</v>
      </c>
      <c r="E54" t="str">
        <f>".1087942"</f>
        <v>.1087942</v>
      </c>
      <c r="F54" t="str">
        <f>"-217.2816"</f>
        <v>-217.2816</v>
      </c>
      <c r="H54">
        <f t="shared" si="39"/>
        <v>0.36988159999999998</v>
      </c>
      <c r="I54">
        <f t="shared" si="35"/>
        <v>0.23979809999999999</v>
      </c>
      <c r="J54">
        <f t="shared" si="36"/>
        <v>1.0585979999999999</v>
      </c>
      <c r="K54">
        <f t="shared" si="37"/>
        <v>0.10879419999999999</v>
      </c>
      <c r="L54">
        <f t="shared" si="38"/>
        <v>-217.2816</v>
      </c>
    </row>
    <row r="55" spans="1:12" x14ac:dyDescent="0.3">
      <c r="A55" t="str">
        <f>"year"</f>
        <v>year</v>
      </c>
      <c r="B55" t="str">
        <f>"1.556758"</f>
        <v>1.556758</v>
      </c>
      <c r="C55" t="str">
        <f>".3594869"</f>
        <v>.3594869</v>
      </c>
      <c r="D55" t="str">
        <f>".1087942"</f>
        <v>.1087942</v>
      </c>
      <c r="E55" t="str">
        <f>".3324813"</f>
        <v>.3324813</v>
      </c>
      <c r="F55" t="str">
        <f>"-671.6127"</f>
        <v>-671.6127</v>
      </c>
      <c r="H55">
        <f t="shared" si="39"/>
        <v>1.5567580000000001</v>
      </c>
      <c r="I55">
        <f t="shared" si="35"/>
        <v>0.3594869</v>
      </c>
      <c r="J55">
        <f t="shared" si="36"/>
        <v>0.10879419999999999</v>
      </c>
      <c r="K55">
        <f t="shared" si="37"/>
        <v>0.33248129999999998</v>
      </c>
      <c r="L55">
        <f t="shared" si="38"/>
        <v>-671.61270000000002</v>
      </c>
    </row>
    <row r="56" spans="1:12" x14ac:dyDescent="0.3">
      <c r="A56" t="str">
        <f>"_cons"</f>
        <v>_cons</v>
      </c>
      <c r="B56" t="str">
        <f>"-3195.256"</f>
        <v>-3195.256</v>
      </c>
      <c r="C56" t="str">
        <f>"-867.2202"</f>
        <v>-867.2202</v>
      </c>
      <c r="D56" t="str">
        <f>"-217.2816"</f>
        <v>-217.2816</v>
      </c>
      <c r="E56" t="str">
        <f>"-671.6127"</f>
        <v>-671.6127</v>
      </c>
      <c r="F56" t="str">
        <f>"1356949"</f>
        <v>1356949</v>
      </c>
      <c r="H56">
        <f t="shared" si="39"/>
        <v>-3195.2559999999999</v>
      </c>
      <c r="I56">
        <f t="shared" si="35"/>
        <v>-867.22019999999998</v>
      </c>
      <c r="J56">
        <f t="shared" si="36"/>
        <v>-217.2816</v>
      </c>
      <c r="K56">
        <f t="shared" si="37"/>
        <v>-671.61270000000002</v>
      </c>
      <c r="L56">
        <f t="shared" si="38"/>
        <v>1356949</v>
      </c>
    </row>
    <row r="57" spans="1:12" x14ac:dyDescent="0.3">
      <c r="A57" t="str">
        <f>""</f>
        <v/>
      </c>
      <c r="B57" t="str">
        <f>"e(V)"</f>
        <v>e(V)</v>
      </c>
      <c r="C57" t="str">
        <f>""</f>
        <v/>
      </c>
      <c r="D57" t="str">
        <f>""</f>
        <v/>
      </c>
      <c r="E57" t="str">
        <f>""</f>
        <v/>
      </c>
      <c r="F57" t="str">
        <f>""</f>
        <v/>
      </c>
    </row>
    <row r="58" spans="1:12" x14ac:dyDescent="0.3">
      <c r="A58" t="str">
        <f>""</f>
        <v/>
      </c>
      <c r="B58" t="str">
        <f>"puretime"</f>
        <v>puretime</v>
      </c>
      <c r="C58" t="str">
        <f>"intertemp"</f>
        <v>intertemp</v>
      </c>
      <c r="D58" t="str">
        <f>"levelimp"</f>
        <v>levelimp</v>
      </c>
      <c r="E58" t="str">
        <f>"year"</f>
        <v>year</v>
      </c>
      <c r="F58" t="str">
        <f>"_cons"</f>
        <v>_cons</v>
      </c>
    </row>
    <row r="59" spans="1:12" x14ac:dyDescent="0.3">
      <c r="A59" t="str">
        <f>"puretime"</f>
        <v>puretime</v>
      </c>
      <c r="B59" t="str">
        <f>"34.70374"</f>
        <v>34.70374</v>
      </c>
      <c r="C59" t="str">
        <f>"14.47871"</f>
        <v>14.47871</v>
      </c>
      <c r="D59" t="str">
        <f>".425976"</f>
        <v>.425976</v>
      </c>
      <c r="E59" t="str">
        <f>"1.792849"</f>
        <v>1.792849</v>
      </c>
      <c r="F59" t="str">
        <f>"-3679.833"</f>
        <v>-3679.833</v>
      </c>
      <c r="H59">
        <f>B59*1</f>
        <v>34.703740000000003</v>
      </c>
      <c r="I59">
        <f t="shared" ref="I59:I63" si="40">C59*1</f>
        <v>14.47871</v>
      </c>
      <c r="J59">
        <f t="shared" ref="J59:J63" si="41">D59*1</f>
        <v>0.42597600000000002</v>
      </c>
      <c r="K59">
        <f t="shared" ref="K59:K63" si="42">E59*1</f>
        <v>1.7928489999999999</v>
      </c>
      <c r="L59">
        <f t="shared" ref="L59:L63" si="43">F59*1</f>
        <v>-3679.8330000000001</v>
      </c>
    </row>
    <row r="60" spans="1:12" x14ac:dyDescent="0.3">
      <c r="A60" t="str">
        <f>"intertemp"</f>
        <v>intertemp</v>
      </c>
      <c r="B60" t="str">
        <f>"14.47871"</f>
        <v>14.47871</v>
      </c>
      <c r="C60" t="str">
        <f>"111.1024"</f>
        <v>111.1024</v>
      </c>
      <c r="D60" t="str">
        <f>".2761648"</f>
        <v>.2761648</v>
      </c>
      <c r="E60" t="str">
        <f>".414005"</f>
        <v>.414005</v>
      </c>
      <c r="F60" t="str">
        <f>"-998.7387"</f>
        <v>-998.7387</v>
      </c>
      <c r="H60">
        <f t="shared" ref="H60:H63" si="44">B60*1</f>
        <v>14.47871</v>
      </c>
      <c r="I60">
        <f t="shared" si="40"/>
        <v>111.1024</v>
      </c>
      <c r="J60">
        <f t="shared" si="41"/>
        <v>0.27616479999999999</v>
      </c>
      <c r="K60">
        <f t="shared" si="42"/>
        <v>0.41400500000000001</v>
      </c>
      <c r="L60">
        <f t="shared" si="43"/>
        <v>-998.73869999999999</v>
      </c>
    </row>
    <row r="61" spans="1:12" x14ac:dyDescent="0.3">
      <c r="A61" t="str">
        <f>"levelimp"</f>
        <v>levelimp</v>
      </c>
      <c r="B61" t="str">
        <f>".425976"</f>
        <v>.425976</v>
      </c>
      <c r="C61" t="str">
        <f>".2761648"</f>
        <v>.2761648</v>
      </c>
      <c r="D61" t="str">
        <f>"1.219139"</f>
        <v>1.219139</v>
      </c>
      <c r="E61" t="str">
        <f>".1252934"</f>
        <v>.1252934</v>
      </c>
      <c r="F61" t="str">
        <f>"-250.2335"</f>
        <v>-250.2335</v>
      </c>
      <c r="H61">
        <f t="shared" si="44"/>
        <v>0.42597600000000002</v>
      </c>
      <c r="I61">
        <f t="shared" si="40"/>
        <v>0.27616479999999999</v>
      </c>
      <c r="J61">
        <f t="shared" si="41"/>
        <v>1.219139</v>
      </c>
      <c r="K61">
        <f t="shared" si="42"/>
        <v>0.1252934</v>
      </c>
      <c r="L61">
        <f t="shared" si="43"/>
        <v>-250.23349999999999</v>
      </c>
    </row>
    <row r="62" spans="1:12" x14ac:dyDescent="0.3">
      <c r="A62" t="str">
        <f>"year"</f>
        <v>year</v>
      </c>
      <c r="B62" t="str">
        <f>"1.792849"</f>
        <v>1.792849</v>
      </c>
      <c r="C62" t="str">
        <f>".414005"</f>
        <v>.414005</v>
      </c>
      <c r="D62" t="str">
        <f>".1252934"</f>
        <v>.1252934</v>
      </c>
      <c r="E62" t="str">
        <f>".3829038"</f>
        <v>.3829038</v>
      </c>
      <c r="F62" t="str">
        <f>"-773.4662"</f>
        <v>-773.4662</v>
      </c>
      <c r="H62">
        <f t="shared" si="44"/>
        <v>1.7928489999999999</v>
      </c>
      <c r="I62">
        <f t="shared" si="40"/>
        <v>0.41400500000000001</v>
      </c>
      <c r="J62">
        <f t="shared" si="41"/>
        <v>0.1252934</v>
      </c>
      <c r="K62">
        <f t="shared" si="42"/>
        <v>0.38290380000000002</v>
      </c>
      <c r="L62">
        <f t="shared" si="43"/>
        <v>-773.46619999999996</v>
      </c>
    </row>
    <row r="63" spans="1:12" x14ac:dyDescent="0.3">
      <c r="A63" t="str">
        <f>"_cons"</f>
        <v>_cons</v>
      </c>
      <c r="B63" t="str">
        <f>"-3679.833"</f>
        <v>-3679.833</v>
      </c>
      <c r="C63" t="str">
        <f>"-998.7387"</f>
        <v>-998.7387</v>
      </c>
      <c r="D63" t="str">
        <f>"-250.2335"</f>
        <v>-250.2335</v>
      </c>
      <c r="E63" t="str">
        <f>"-773.4662"</f>
        <v>-773.4662</v>
      </c>
      <c r="F63" t="str">
        <f>"1562737"</f>
        <v>1562737</v>
      </c>
      <c r="H63">
        <f t="shared" si="44"/>
        <v>-3679.8330000000001</v>
      </c>
      <c r="I63">
        <f t="shared" si="40"/>
        <v>-998.73869999999999</v>
      </c>
      <c r="J63">
        <f t="shared" si="41"/>
        <v>-250.23349999999999</v>
      </c>
      <c r="K63">
        <f t="shared" si="42"/>
        <v>-773.46619999999996</v>
      </c>
      <c r="L63">
        <f t="shared" si="43"/>
        <v>1562737</v>
      </c>
    </row>
    <row r="64" spans="1:12" x14ac:dyDescent="0.3">
      <c r="A64" t="str">
        <f>""</f>
        <v/>
      </c>
      <c r="B64" t="str">
        <f>"e(V)"</f>
        <v>e(V)</v>
      </c>
      <c r="C64" t="str">
        <f>""</f>
        <v/>
      </c>
      <c r="D64" t="str">
        <f>""</f>
        <v/>
      </c>
      <c r="E64" t="str">
        <f>""</f>
        <v/>
      </c>
      <c r="F64" t="str">
        <f>""</f>
        <v/>
      </c>
    </row>
    <row r="65" spans="1:12" x14ac:dyDescent="0.3">
      <c r="A65" t="str">
        <f>""</f>
        <v/>
      </c>
      <c r="B65" t="str">
        <f>"puretime"</f>
        <v>puretime</v>
      </c>
      <c r="C65" t="str">
        <f>"intertemp"</f>
        <v>intertemp</v>
      </c>
      <c r="D65" t="str">
        <f>"levelimp"</f>
        <v>levelimp</v>
      </c>
      <c r="E65" t="str">
        <f>"year"</f>
        <v>year</v>
      </c>
      <c r="F65" t="str">
        <f>"_cons"</f>
        <v>_cons</v>
      </c>
    </row>
    <row r="66" spans="1:12" x14ac:dyDescent="0.3">
      <c r="A66" t="str">
        <f>"puretime"</f>
        <v>puretime</v>
      </c>
      <c r="B66" t="str">
        <f>"42.45217"</f>
        <v>42.45217</v>
      </c>
      <c r="C66" t="str">
        <f>"17.71142"</f>
        <v>17.71142</v>
      </c>
      <c r="D66" t="str">
        <f>".5210852"</f>
        <v>.5210852</v>
      </c>
      <c r="E66" t="str">
        <f>"2.193144"</f>
        <v>2.193144</v>
      </c>
      <c r="F66" t="str">
        <f>"-4501.442"</f>
        <v>-4501.442</v>
      </c>
      <c r="H66">
        <f>B66*1</f>
        <v>42.452170000000002</v>
      </c>
      <c r="I66">
        <f t="shared" ref="I66:I70" si="45">C66*1</f>
        <v>17.71142</v>
      </c>
      <c r="J66">
        <f t="shared" ref="J66:J70" si="46">D66*1</f>
        <v>0.52108520000000003</v>
      </c>
      <c r="K66">
        <f t="shared" ref="K66:K70" si="47">E66*1</f>
        <v>2.1931440000000002</v>
      </c>
      <c r="L66">
        <f t="shared" ref="L66:L70" si="48">F66*1</f>
        <v>-4501.442</v>
      </c>
    </row>
    <row r="67" spans="1:12" x14ac:dyDescent="0.3">
      <c r="A67" t="str">
        <f>"intertemp"</f>
        <v>intertemp</v>
      </c>
      <c r="B67" t="str">
        <f>"17.71142"</f>
        <v>17.71142</v>
      </c>
      <c r="C67" t="str">
        <f>"135.9087"</f>
        <v>135.9087</v>
      </c>
      <c r="D67" t="str">
        <f>".3378251"</f>
        <v>.3378251</v>
      </c>
      <c r="E67" t="str">
        <f>".5064414"</f>
        <v>.5064414</v>
      </c>
      <c r="F67" t="str">
        <f>"-1221.731"</f>
        <v>-1221.731</v>
      </c>
      <c r="H67">
        <f t="shared" ref="H67:H70" si="49">B67*1</f>
        <v>17.71142</v>
      </c>
      <c r="I67">
        <f t="shared" si="45"/>
        <v>135.90870000000001</v>
      </c>
      <c r="J67">
        <f t="shared" si="46"/>
        <v>0.33782509999999999</v>
      </c>
      <c r="K67">
        <f t="shared" si="47"/>
        <v>0.50644140000000004</v>
      </c>
      <c r="L67">
        <f t="shared" si="48"/>
        <v>-1221.731</v>
      </c>
    </row>
    <row r="68" spans="1:12" x14ac:dyDescent="0.3">
      <c r="A68" t="str">
        <f>"levelimp"</f>
        <v>levelimp</v>
      </c>
      <c r="B68" t="str">
        <f>".5210852"</f>
        <v>.5210852</v>
      </c>
      <c r="C68" t="str">
        <f>".3378251"</f>
        <v>.3378251</v>
      </c>
      <c r="D68" t="str">
        <f>"1.491341"</f>
        <v>1.491341</v>
      </c>
      <c r="E68" t="str">
        <f>".1532681"</f>
        <v>.1532681</v>
      </c>
      <c r="F68" t="str">
        <f>"-306.104"</f>
        <v>-306.104</v>
      </c>
      <c r="H68">
        <f t="shared" si="49"/>
        <v>0.52108520000000003</v>
      </c>
      <c r="I68">
        <f t="shared" si="45"/>
        <v>0.33782509999999999</v>
      </c>
      <c r="J68">
        <f t="shared" si="46"/>
        <v>1.491341</v>
      </c>
      <c r="K68">
        <f t="shared" si="47"/>
        <v>0.15326809999999999</v>
      </c>
      <c r="L68">
        <f t="shared" si="48"/>
        <v>-306.10399999999998</v>
      </c>
    </row>
    <row r="69" spans="1:12" x14ac:dyDescent="0.3">
      <c r="A69" t="str">
        <f>"year"</f>
        <v>year</v>
      </c>
      <c r="B69" t="str">
        <f>"2.193144"</f>
        <v>2.193144</v>
      </c>
      <c r="C69" t="str">
        <f>".5064414"</f>
        <v>.5064414</v>
      </c>
      <c r="D69" t="str">
        <f>".1532681"</f>
        <v>.1532681</v>
      </c>
      <c r="E69" t="str">
        <f>".4683961"</f>
        <v>.4683961</v>
      </c>
      <c r="F69" t="str">
        <f>"-946.1608"</f>
        <v>-946.1608</v>
      </c>
      <c r="H69">
        <f t="shared" si="49"/>
        <v>2.1931440000000002</v>
      </c>
      <c r="I69">
        <f t="shared" si="45"/>
        <v>0.50644140000000004</v>
      </c>
      <c r="J69">
        <f t="shared" si="46"/>
        <v>0.15326809999999999</v>
      </c>
      <c r="K69">
        <f t="shared" si="47"/>
        <v>0.46839609999999998</v>
      </c>
      <c r="L69">
        <f t="shared" si="48"/>
        <v>-946.16079999999999</v>
      </c>
    </row>
    <row r="70" spans="1:12" x14ac:dyDescent="0.3">
      <c r="A70" t="str">
        <f>"_cons"</f>
        <v>_cons</v>
      </c>
      <c r="B70" t="str">
        <f>"-4501.442"</f>
        <v>-4501.442</v>
      </c>
      <c r="C70" t="str">
        <f>"-1221.731"</f>
        <v>-1221.731</v>
      </c>
      <c r="D70" t="str">
        <f>"-306.104"</f>
        <v>-306.104</v>
      </c>
      <c r="E70" t="str">
        <f>"-946.1608"</f>
        <v>-946.1608</v>
      </c>
      <c r="F70" t="str">
        <f>"1911655"</f>
        <v>1911655</v>
      </c>
      <c r="H70">
        <f t="shared" si="49"/>
        <v>-4501.442</v>
      </c>
      <c r="I70">
        <f t="shared" si="45"/>
        <v>-1221.731</v>
      </c>
      <c r="J70">
        <f t="shared" si="46"/>
        <v>-306.10399999999998</v>
      </c>
      <c r="K70">
        <f t="shared" si="47"/>
        <v>-946.16079999999999</v>
      </c>
      <c r="L70">
        <f t="shared" si="48"/>
        <v>1911655</v>
      </c>
    </row>
    <row r="71" spans="1:12" x14ac:dyDescent="0.3">
      <c r="A71" t="str">
        <f>""</f>
        <v/>
      </c>
      <c r="B71" t="str">
        <f>"e(V)"</f>
        <v>e(V)</v>
      </c>
      <c r="C71" t="str">
        <f>""</f>
        <v/>
      </c>
      <c r="D71" t="str">
        <f>""</f>
        <v/>
      </c>
      <c r="E71" t="str">
        <f>""</f>
        <v/>
      </c>
      <c r="F71" t="str">
        <f>""</f>
        <v/>
      </c>
    </row>
    <row r="72" spans="1:12" x14ac:dyDescent="0.3">
      <c r="A72" t="str">
        <f>""</f>
        <v/>
      </c>
      <c r="B72" t="str">
        <f>"puretime"</f>
        <v>puretime</v>
      </c>
      <c r="C72" t="str">
        <f>"intertemp"</f>
        <v>intertemp</v>
      </c>
      <c r="D72" t="str">
        <f>"levelimp"</f>
        <v>levelimp</v>
      </c>
      <c r="E72" t="str">
        <f>"year"</f>
        <v>year</v>
      </c>
      <c r="F72" t="str">
        <f>"_cons"</f>
        <v>_cons</v>
      </c>
    </row>
    <row r="73" spans="1:12" x14ac:dyDescent="0.3">
      <c r="A73" t="str">
        <f>"puretime"</f>
        <v>puretime</v>
      </c>
      <c r="B73" t="str">
        <f>"58.76119"</f>
        <v>58.76119</v>
      </c>
      <c r="C73" t="str">
        <f>"24.51569"</f>
        <v>24.51569</v>
      </c>
      <c r="D73" t="str">
        <f>".7212727"</f>
        <v>.7212727</v>
      </c>
      <c r="E73" t="str">
        <f>"3.035694"</f>
        <v>3.035694</v>
      </c>
      <c r="F73" t="str">
        <f>"-6230.78"</f>
        <v>-6230.78</v>
      </c>
      <c r="H73">
        <f>B73*1</f>
        <v>58.761189999999999</v>
      </c>
      <c r="I73">
        <f t="shared" ref="I73:I77" si="50">C73*1</f>
        <v>24.515689999999999</v>
      </c>
      <c r="J73">
        <f t="shared" ref="J73:J77" si="51">D73*1</f>
        <v>0.72127269999999999</v>
      </c>
      <c r="K73">
        <f t="shared" ref="K73:K77" si="52">E73*1</f>
        <v>3.0356939999999999</v>
      </c>
      <c r="L73">
        <f t="shared" ref="L73:L77" si="53">F73*1</f>
        <v>-6230.78</v>
      </c>
    </row>
    <row r="74" spans="1:12" x14ac:dyDescent="0.3">
      <c r="A74" t="str">
        <f>"intertemp"</f>
        <v>intertemp</v>
      </c>
      <c r="B74" t="str">
        <f>"24.51569"</f>
        <v>24.51569</v>
      </c>
      <c r="C74" t="str">
        <f>"188.1213"</f>
        <v>188.1213</v>
      </c>
      <c r="D74" t="str">
        <f>".4676087"</f>
        <v>.4676087</v>
      </c>
      <c r="E74" t="str">
        <f>".7010031"</f>
        <v>.7010031</v>
      </c>
      <c r="F74" t="str">
        <f>"-1691.088"</f>
        <v>-1691.088</v>
      </c>
      <c r="H74">
        <f t="shared" ref="H74:H77" si="54">B74*1</f>
        <v>24.515689999999999</v>
      </c>
      <c r="I74">
        <f t="shared" si="50"/>
        <v>188.12129999999999</v>
      </c>
      <c r="J74">
        <f t="shared" si="51"/>
        <v>0.46760869999999999</v>
      </c>
      <c r="K74">
        <f t="shared" si="52"/>
        <v>0.70100309999999999</v>
      </c>
      <c r="L74">
        <f t="shared" si="53"/>
        <v>-1691.088</v>
      </c>
    </row>
    <row r="75" spans="1:12" x14ac:dyDescent="0.3">
      <c r="A75" t="str">
        <f>"levelimp"</f>
        <v>levelimp</v>
      </c>
      <c r="B75" t="str">
        <f>".7212727"</f>
        <v>.7212727</v>
      </c>
      <c r="C75" t="str">
        <f>".4676087"</f>
        <v>.4676087</v>
      </c>
      <c r="D75" t="str">
        <f>"2.064275"</f>
        <v>2.064275</v>
      </c>
      <c r="E75" t="str">
        <f>".2121497"</f>
        <v>.2121497</v>
      </c>
      <c r="F75" t="str">
        <f>"-423.7012"</f>
        <v>-423.7012</v>
      </c>
      <c r="H75">
        <f t="shared" si="54"/>
        <v>0.72127269999999999</v>
      </c>
      <c r="I75">
        <f t="shared" si="50"/>
        <v>0.46760869999999999</v>
      </c>
      <c r="J75">
        <f t="shared" si="51"/>
        <v>2.0642749999999999</v>
      </c>
      <c r="K75">
        <f t="shared" si="52"/>
        <v>0.2121497</v>
      </c>
      <c r="L75">
        <f t="shared" si="53"/>
        <v>-423.70119999999997</v>
      </c>
    </row>
    <row r="76" spans="1:12" x14ac:dyDescent="0.3">
      <c r="A76" t="str">
        <f>"year"</f>
        <v>year</v>
      </c>
      <c r="B76" t="str">
        <f>"3.035694"</f>
        <v>3.035694</v>
      </c>
      <c r="C76" t="str">
        <f>".7010031"</f>
        <v>.7010031</v>
      </c>
      <c r="D76" t="str">
        <f>".2121497"</f>
        <v>.2121497</v>
      </c>
      <c r="E76" t="str">
        <f>".6483418"</f>
        <v>.6483418</v>
      </c>
      <c r="F76" t="str">
        <f>"-1309.651"</f>
        <v>-1309.651</v>
      </c>
      <c r="H76">
        <f t="shared" si="54"/>
        <v>3.0356939999999999</v>
      </c>
      <c r="I76">
        <f t="shared" si="50"/>
        <v>0.70100309999999999</v>
      </c>
      <c r="J76">
        <f t="shared" si="51"/>
        <v>0.2121497</v>
      </c>
      <c r="K76">
        <f t="shared" si="52"/>
        <v>0.64834179999999997</v>
      </c>
      <c r="L76">
        <f t="shared" si="53"/>
        <v>-1309.6510000000001</v>
      </c>
    </row>
    <row r="77" spans="1:12" x14ac:dyDescent="0.3">
      <c r="A77" t="str">
        <f>"_cons"</f>
        <v>_cons</v>
      </c>
      <c r="B77" t="str">
        <f>"-6230.78"</f>
        <v>-6230.78</v>
      </c>
      <c r="C77" t="str">
        <f>"-1691.088"</f>
        <v>-1691.088</v>
      </c>
      <c r="D77" t="str">
        <f>"-423.7012"</f>
        <v>-423.7012</v>
      </c>
      <c r="E77" t="str">
        <f>"-1309.651"</f>
        <v>-1309.651</v>
      </c>
      <c r="F77" t="str">
        <f>"2646064"</f>
        <v>2646064</v>
      </c>
      <c r="H77">
        <f t="shared" si="54"/>
        <v>-6230.78</v>
      </c>
      <c r="I77">
        <f t="shared" si="50"/>
        <v>-1691.088</v>
      </c>
      <c r="J77">
        <f t="shared" si="51"/>
        <v>-423.70119999999997</v>
      </c>
      <c r="K77">
        <f t="shared" si="52"/>
        <v>-1309.6510000000001</v>
      </c>
      <c r="L77">
        <f t="shared" si="53"/>
        <v>2646064</v>
      </c>
    </row>
    <row r="78" spans="1:12" x14ac:dyDescent="0.3">
      <c r="A78" t="str">
        <f>""</f>
        <v/>
      </c>
      <c r="B78" t="str">
        <f>"e(V)"</f>
        <v>e(V)</v>
      </c>
      <c r="C78" t="str">
        <f>""</f>
        <v/>
      </c>
      <c r="D78" t="str">
        <f>""</f>
        <v/>
      </c>
      <c r="E78" t="str">
        <f>""</f>
        <v/>
      </c>
      <c r="F78" t="str">
        <f>""</f>
        <v/>
      </c>
    </row>
    <row r="79" spans="1:12" x14ac:dyDescent="0.3">
      <c r="A79" t="str">
        <f>""</f>
        <v/>
      </c>
      <c r="B79" t="str">
        <f>"puretime"</f>
        <v>puretime</v>
      </c>
      <c r="C79" t="str">
        <f>"intertemp"</f>
        <v>intertemp</v>
      </c>
      <c r="D79" t="str">
        <f>"levelimp"</f>
        <v>levelimp</v>
      </c>
      <c r="E79" t="str">
        <f>"year"</f>
        <v>year</v>
      </c>
      <c r="F79" t="str">
        <f>"_cons"</f>
        <v>_cons</v>
      </c>
    </row>
    <row r="80" spans="1:12" x14ac:dyDescent="0.3">
      <c r="A80" t="str">
        <f>"puretime"</f>
        <v>puretime</v>
      </c>
      <c r="B80" t="str">
        <f>"71.69192"</f>
        <v>71.69192</v>
      </c>
      <c r="C80" t="str">
        <f>"29.9105"</f>
        <v>29.9105</v>
      </c>
      <c r="D80" t="str">
        <f>".8799927"</f>
        <v>.8799927</v>
      </c>
      <c r="E80" t="str">
        <f>"3.703715"</f>
        <v>3.703715</v>
      </c>
      <c r="F80" t="str">
        <f>"-7601.898"</f>
        <v>-7601.898</v>
      </c>
      <c r="H80">
        <f>B80*1</f>
        <v>71.691919999999996</v>
      </c>
      <c r="I80">
        <f t="shared" ref="I80:I84" si="55">C80*1</f>
        <v>29.910499999999999</v>
      </c>
      <c r="J80">
        <f t="shared" ref="J80:J84" si="56">D80*1</f>
        <v>0.87999269999999996</v>
      </c>
      <c r="K80">
        <f t="shared" ref="K80:K84" si="57">E80*1</f>
        <v>3.7037149999999999</v>
      </c>
      <c r="L80">
        <f t="shared" ref="L80:L84" si="58">F80*1</f>
        <v>-7601.8980000000001</v>
      </c>
    </row>
    <row r="81" spans="1:12" x14ac:dyDescent="0.3">
      <c r="A81" t="str">
        <f>"intertemp"</f>
        <v>intertemp</v>
      </c>
      <c r="B81" t="str">
        <f>"29.9105"</f>
        <v>29.9105</v>
      </c>
      <c r="C81" t="str">
        <f>"229.5184"</f>
        <v>229.5184</v>
      </c>
      <c r="D81" t="str">
        <f>".5705086"</f>
        <v>.5705086</v>
      </c>
      <c r="E81" t="str">
        <f>".8552627"</f>
        <v>.8552627</v>
      </c>
      <c r="F81" t="str">
        <f>"-2063.221"</f>
        <v>-2063.221</v>
      </c>
      <c r="H81">
        <f t="shared" ref="H81:H84" si="59">B81*1</f>
        <v>29.910499999999999</v>
      </c>
      <c r="I81">
        <f t="shared" si="55"/>
        <v>229.51840000000001</v>
      </c>
      <c r="J81">
        <f t="shared" si="56"/>
        <v>0.57050860000000003</v>
      </c>
      <c r="K81">
        <f t="shared" si="57"/>
        <v>0.85526270000000004</v>
      </c>
      <c r="L81">
        <f t="shared" si="58"/>
        <v>-2063.221</v>
      </c>
    </row>
    <row r="82" spans="1:12" x14ac:dyDescent="0.3">
      <c r="A82" t="str">
        <f>"levelimp"</f>
        <v>levelimp</v>
      </c>
      <c r="B82" t="str">
        <f>".8799927"</f>
        <v>.8799927</v>
      </c>
      <c r="C82" t="str">
        <f>".5705086"</f>
        <v>.5705086</v>
      </c>
      <c r="D82" t="str">
        <f>"2.518531"</f>
        <v>2.518531</v>
      </c>
      <c r="E82" t="str">
        <f>".2588344"</f>
        <v>.2588344</v>
      </c>
      <c r="F82" t="str">
        <f>"-516.939"</f>
        <v>-516.939</v>
      </c>
      <c r="H82">
        <f t="shared" si="59"/>
        <v>0.87999269999999996</v>
      </c>
      <c r="I82">
        <f t="shared" si="55"/>
        <v>0.57050860000000003</v>
      </c>
      <c r="J82">
        <f t="shared" si="56"/>
        <v>2.5185309999999999</v>
      </c>
      <c r="K82">
        <f t="shared" si="57"/>
        <v>0.25883440000000002</v>
      </c>
      <c r="L82">
        <f t="shared" si="58"/>
        <v>-516.93899999999996</v>
      </c>
    </row>
    <row r="83" spans="1:12" x14ac:dyDescent="0.3">
      <c r="A83" t="str">
        <f>"year"</f>
        <v>year</v>
      </c>
      <c r="B83" t="str">
        <f>"3.703715"</f>
        <v>3.703715</v>
      </c>
      <c r="C83" t="str">
        <f>".8552627"</f>
        <v>.8552627</v>
      </c>
      <c r="D83" t="str">
        <f>".2588344"</f>
        <v>.2588344</v>
      </c>
      <c r="E83" t="str">
        <f>".791013"</f>
        <v>.791013</v>
      </c>
      <c r="F83" t="str">
        <f>"-1597.847"</f>
        <v>-1597.847</v>
      </c>
      <c r="H83">
        <f t="shared" si="59"/>
        <v>3.7037149999999999</v>
      </c>
      <c r="I83">
        <f t="shared" si="55"/>
        <v>0.85526270000000004</v>
      </c>
      <c r="J83">
        <f t="shared" si="56"/>
        <v>0.25883440000000002</v>
      </c>
      <c r="K83">
        <f t="shared" si="57"/>
        <v>0.79101299999999997</v>
      </c>
      <c r="L83">
        <f t="shared" si="58"/>
        <v>-1597.847</v>
      </c>
    </row>
    <row r="84" spans="1:12" x14ac:dyDescent="0.3">
      <c r="A84" t="str">
        <f>"_cons"</f>
        <v>_cons</v>
      </c>
      <c r="B84" t="str">
        <f>"-7601.898"</f>
        <v>-7601.898</v>
      </c>
      <c r="C84" t="str">
        <f>"-2063.221"</f>
        <v>-2063.221</v>
      </c>
      <c r="D84" t="str">
        <f>"-516.939"</f>
        <v>-516.939</v>
      </c>
      <c r="E84" t="str">
        <f>"-1597.847"</f>
        <v>-1597.847</v>
      </c>
      <c r="F84" t="str">
        <f>"3228345"</f>
        <v>3228345</v>
      </c>
      <c r="H84">
        <f t="shared" si="59"/>
        <v>-7601.8980000000001</v>
      </c>
      <c r="I84">
        <f t="shared" si="55"/>
        <v>-2063.221</v>
      </c>
      <c r="J84">
        <f t="shared" si="56"/>
        <v>-516.93899999999996</v>
      </c>
      <c r="K84">
        <f t="shared" si="57"/>
        <v>-1597.847</v>
      </c>
      <c r="L84">
        <f t="shared" si="58"/>
        <v>3228345</v>
      </c>
    </row>
    <row r="85" spans="1:12" x14ac:dyDescent="0.3">
      <c r="A85" t="str">
        <f>""</f>
        <v/>
      </c>
      <c r="B85" t="str">
        <f>"e(V)"</f>
        <v>e(V)</v>
      </c>
      <c r="C85" t="str">
        <f>""</f>
        <v/>
      </c>
      <c r="D85" t="str">
        <f>""</f>
        <v/>
      </c>
      <c r="E85" t="str">
        <f>""</f>
        <v/>
      </c>
      <c r="F85" t="str">
        <f>""</f>
        <v/>
      </c>
    </row>
    <row r="86" spans="1:12" x14ac:dyDescent="0.3">
      <c r="A86" t="str">
        <f>""</f>
        <v/>
      </c>
      <c r="B86" t="str">
        <f>"puretime"</f>
        <v>puretime</v>
      </c>
      <c r="C86" t="str">
        <f>"intertemp"</f>
        <v>intertemp</v>
      </c>
      <c r="D86" t="str">
        <f>"levelimp"</f>
        <v>levelimp</v>
      </c>
      <c r="E86" t="str">
        <f>"year"</f>
        <v>year</v>
      </c>
      <c r="F86" t="str">
        <f>"_cons"</f>
        <v>_cons</v>
      </c>
    </row>
    <row r="87" spans="1:12" x14ac:dyDescent="0.3">
      <c r="A87" t="str">
        <f>"puretime"</f>
        <v>puretime</v>
      </c>
      <c r="B87" t="str">
        <f>"91.58112"</f>
        <v>91.58112</v>
      </c>
      <c r="C87" t="str">
        <f>"38.20845"</f>
        <v>38.20845</v>
      </c>
      <c r="D87" t="str">
        <f>"1.124126"</f>
        <v>1.124126</v>
      </c>
      <c r="E87" t="str">
        <f>"4.731222"</f>
        <v>4.731222</v>
      </c>
      <c r="F87" t="str">
        <f>"-9710.862"</f>
        <v>-9710.862</v>
      </c>
      <c r="H87">
        <f>B87*1</f>
        <v>91.581119999999999</v>
      </c>
      <c r="I87">
        <f t="shared" ref="I87:I91" si="60">C87*1</f>
        <v>38.208449999999999</v>
      </c>
      <c r="J87">
        <f t="shared" ref="J87:J91" si="61">D87*1</f>
        <v>1.124126</v>
      </c>
      <c r="K87">
        <f t="shared" ref="K87:K91" si="62">E87*1</f>
        <v>4.7312219999999998</v>
      </c>
      <c r="L87">
        <f t="shared" ref="L87:L91" si="63">F87*1</f>
        <v>-9710.8619999999992</v>
      </c>
    </row>
    <row r="88" spans="1:12" x14ac:dyDescent="0.3">
      <c r="A88" t="str">
        <f>"intertemp"</f>
        <v>intertemp</v>
      </c>
      <c r="B88" t="str">
        <f>"38.20845"</f>
        <v>38.20845</v>
      </c>
      <c r="C88" t="str">
        <f>"293.1928"</f>
        <v>293.1928</v>
      </c>
      <c r="D88" t="str">
        <f>".7287825"</f>
        <v>.7287825</v>
      </c>
      <c r="E88" t="str">
        <f>"1.092535"</f>
        <v>1.092535</v>
      </c>
      <c r="F88" t="str">
        <f>"-2635.612"</f>
        <v>-2635.612</v>
      </c>
      <c r="H88">
        <f t="shared" ref="H88:H91" si="64">B88*1</f>
        <v>38.208449999999999</v>
      </c>
      <c r="I88">
        <f t="shared" si="60"/>
        <v>293.19279999999998</v>
      </c>
      <c r="J88">
        <f t="shared" si="61"/>
        <v>0.7287825</v>
      </c>
      <c r="K88">
        <f t="shared" si="62"/>
        <v>1.092535</v>
      </c>
      <c r="L88">
        <f t="shared" si="63"/>
        <v>-2635.6120000000001</v>
      </c>
    </row>
    <row r="89" spans="1:12" x14ac:dyDescent="0.3">
      <c r="A89" t="str">
        <f>"levelimp"</f>
        <v>levelimp</v>
      </c>
      <c r="B89" t="str">
        <f>"1.124126"</f>
        <v>1.124126</v>
      </c>
      <c r="C89" t="str">
        <f>".7287825"</f>
        <v>.7287825</v>
      </c>
      <c r="D89" t="str">
        <f>"3.217237"</f>
        <v>3.217237</v>
      </c>
      <c r="E89" t="str">
        <f>".3306418"</f>
        <v>.3306418</v>
      </c>
      <c r="F89" t="str">
        <f>"-660.3513"</f>
        <v>-660.3513</v>
      </c>
      <c r="H89">
        <f t="shared" si="64"/>
        <v>1.124126</v>
      </c>
      <c r="I89">
        <f t="shared" si="60"/>
        <v>0.7287825</v>
      </c>
      <c r="J89">
        <f t="shared" si="61"/>
        <v>3.2172369999999999</v>
      </c>
      <c r="K89">
        <f t="shared" si="62"/>
        <v>0.33064179999999999</v>
      </c>
      <c r="L89">
        <f t="shared" si="63"/>
        <v>-660.35130000000004</v>
      </c>
    </row>
    <row r="90" spans="1:12" x14ac:dyDescent="0.3">
      <c r="A90" t="str">
        <f>"year"</f>
        <v>year</v>
      </c>
      <c r="B90" t="str">
        <f>"4.731222"</f>
        <v>4.731222</v>
      </c>
      <c r="C90" t="str">
        <f>"1.092535"</f>
        <v>1.092535</v>
      </c>
      <c r="D90" t="str">
        <f>".3306418"</f>
        <v>.3306418</v>
      </c>
      <c r="E90" t="str">
        <f>"1.010461"</f>
        <v>1.010461</v>
      </c>
      <c r="F90" t="str">
        <f>"-2041.132"</f>
        <v>-2041.132</v>
      </c>
      <c r="H90">
        <f t="shared" si="64"/>
        <v>4.7312219999999998</v>
      </c>
      <c r="I90">
        <f t="shared" si="60"/>
        <v>1.092535</v>
      </c>
      <c r="J90">
        <f t="shared" si="61"/>
        <v>0.33064179999999999</v>
      </c>
      <c r="K90">
        <f t="shared" si="62"/>
        <v>1.0104610000000001</v>
      </c>
      <c r="L90">
        <f t="shared" si="63"/>
        <v>-2041.1320000000001</v>
      </c>
    </row>
    <row r="91" spans="1:12" x14ac:dyDescent="0.3">
      <c r="A91" t="str">
        <f>"_cons"</f>
        <v>_cons</v>
      </c>
      <c r="B91" t="str">
        <f>"-9710.862"</f>
        <v>-9710.862</v>
      </c>
      <c r="C91" t="str">
        <f>"-2635.612"</f>
        <v>-2635.612</v>
      </c>
      <c r="D91" t="str">
        <f>"-660.3513"</f>
        <v>-660.3513</v>
      </c>
      <c r="E91" t="str">
        <f>"-2041.132"</f>
        <v>-2041.132</v>
      </c>
      <c r="F91" t="str">
        <f>"4123972"</f>
        <v>4123972</v>
      </c>
      <c r="H91">
        <f t="shared" si="64"/>
        <v>-9710.8619999999992</v>
      </c>
      <c r="I91">
        <f t="shared" si="60"/>
        <v>-2635.6120000000001</v>
      </c>
      <c r="J91">
        <f t="shared" si="61"/>
        <v>-660.35130000000004</v>
      </c>
      <c r="K91">
        <f t="shared" si="62"/>
        <v>-2041.1320000000001</v>
      </c>
      <c r="L91">
        <f t="shared" si="63"/>
        <v>4123972</v>
      </c>
    </row>
    <row r="92" spans="1:12" x14ac:dyDescent="0.3">
      <c r="A92" t="str">
        <f>""</f>
        <v/>
      </c>
      <c r="B92" t="str">
        <f>"e(V)"</f>
        <v>e(V)</v>
      </c>
      <c r="C92" t="str">
        <f>""</f>
        <v/>
      </c>
      <c r="D92" t="str">
        <f>""</f>
        <v/>
      </c>
      <c r="E92" t="str">
        <f>""</f>
        <v/>
      </c>
      <c r="F92" t="str">
        <f>""</f>
        <v/>
      </c>
    </row>
    <row r="93" spans="1:12" x14ac:dyDescent="0.3">
      <c r="A93" t="str">
        <f>""</f>
        <v/>
      </c>
      <c r="B93" t="str">
        <f>"puretime"</f>
        <v>puretime</v>
      </c>
      <c r="C93" t="str">
        <f>"intertemp"</f>
        <v>intertemp</v>
      </c>
      <c r="D93" t="str">
        <f>"levelimp"</f>
        <v>levelimp</v>
      </c>
      <c r="E93" t="str">
        <f>"year"</f>
        <v>year</v>
      </c>
      <c r="F93" t="str">
        <f>"_cons"</f>
        <v>_cons</v>
      </c>
    </row>
    <row r="94" spans="1:12" x14ac:dyDescent="0.3">
      <c r="A94" t="str">
        <f>"puretime"</f>
        <v>puretime</v>
      </c>
      <c r="B94" t="str">
        <f>"285.556"</f>
        <v>285.556</v>
      </c>
      <c r="C94" t="str">
        <f>"119.1365"</f>
        <v>119.1365</v>
      </c>
      <c r="D94" t="str">
        <f>"3.505098"</f>
        <v>3.505098</v>
      </c>
      <c r="E94" t="str">
        <f>"14.75226"</f>
        <v>14.75226</v>
      </c>
      <c r="F94" t="str">
        <f>"-30279.11"</f>
        <v>-30279.11</v>
      </c>
      <c r="H94">
        <f>B94*1</f>
        <v>285.55599999999998</v>
      </c>
      <c r="I94">
        <f t="shared" ref="I94:I98" si="65">C94*1</f>
        <v>119.1365</v>
      </c>
      <c r="J94">
        <f t="shared" ref="J94:J98" si="66">D94*1</f>
        <v>3.5050979999999998</v>
      </c>
      <c r="K94">
        <f t="shared" ref="K94:K98" si="67">E94*1</f>
        <v>14.75226</v>
      </c>
      <c r="L94">
        <f t="shared" ref="L94:L98" si="68">F94*1</f>
        <v>-30279.11</v>
      </c>
    </row>
    <row r="95" spans="1:12" x14ac:dyDescent="0.3">
      <c r="A95" t="str">
        <f>"intertemp"</f>
        <v>intertemp</v>
      </c>
      <c r="B95" t="str">
        <f>"119.1365"</f>
        <v>119.1365</v>
      </c>
      <c r="C95" t="str">
        <f>"914.1946"</f>
        <v>914.1946</v>
      </c>
      <c r="D95" t="str">
        <f>"2.272392"</f>
        <v>2.272392</v>
      </c>
      <c r="E95" t="str">
        <f>"3.406596"</f>
        <v>3.406596</v>
      </c>
      <c r="F95" t="str">
        <f>"-8218.015"</f>
        <v>-8218.015</v>
      </c>
      <c r="H95">
        <f t="shared" ref="H95:H98" si="69">B95*1</f>
        <v>119.1365</v>
      </c>
      <c r="I95">
        <f t="shared" si="65"/>
        <v>914.19460000000004</v>
      </c>
      <c r="J95">
        <f t="shared" si="66"/>
        <v>2.272392</v>
      </c>
      <c r="K95">
        <f t="shared" si="67"/>
        <v>3.406596</v>
      </c>
      <c r="L95">
        <f t="shared" si="68"/>
        <v>-8218.0149999999994</v>
      </c>
    </row>
    <row r="96" spans="1:12" x14ac:dyDescent="0.3">
      <c r="A96" t="str">
        <f>"levelimp"</f>
        <v>levelimp</v>
      </c>
      <c r="B96" t="str">
        <f>"3.505098"</f>
        <v>3.505098</v>
      </c>
      <c r="C96" t="str">
        <f>"2.272392"</f>
        <v>2.272392</v>
      </c>
      <c r="D96" t="str">
        <f>"10.03156"</f>
        <v>10.03156</v>
      </c>
      <c r="E96" t="str">
        <f>"1.030963"</f>
        <v>1.030963</v>
      </c>
      <c r="F96" t="str">
        <f>"-2059.019"</f>
        <v>-2059.019</v>
      </c>
      <c r="H96">
        <f t="shared" si="69"/>
        <v>3.5050979999999998</v>
      </c>
      <c r="I96">
        <f t="shared" si="65"/>
        <v>2.272392</v>
      </c>
      <c r="J96">
        <f t="shared" si="66"/>
        <v>10.031560000000001</v>
      </c>
      <c r="K96">
        <f t="shared" si="67"/>
        <v>1.0309630000000001</v>
      </c>
      <c r="L96">
        <f t="shared" si="68"/>
        <v>-2059.0189999999998</v>
      </c>
    </row>
    <row r="97" spans="1:12" x14ac:dyDescent="0.3">
      <c r="A97" t="str">
        <f>"year"</f>
        <v>year</v>
      </c>
      <c r="B97" t="str">
        <f>"14.75226"</f>
        <v>14.75226</v>
      </c>
      <c r="C97" t="str">
        <f>"3.406596"</f>
        <v>3.406596</v>
      </c>
      <c r="D97" t="str">
        <f>"1.030963"</f>
        <v>1.030963</v>
      </c>
      <c r="E97" t="str">
        <f>"3.150683"</f>
        <v>3.150683</v>
      </c>
      <c r="F97" t="str">
        <f>"-6364.384"</f>
        <v>-6364.384</v>
      </c>
      <c r="H97">
        <f t="shared" si="69"/>
        <v>14.75226</v>
      </c>
      <c r="I97">
        <f t="shared" si="65"/>
        <v>3.406596</v>
      </c>
      <c r="J97">
        <f t="shared" si="66"/>
        <v>1.0309630000000001</v>
      </c>
      <c r="K97">
        <f t="shared" si="67"/>
        <v>3.1506829999999999</v>
      </c>
      <c r="L97">
        <f t="shared" si="68"/>
        <v>-6364.384</v>
      </c>
    </row>
    <row r="98" spans="1:12" x14ac:dyDescent="0.3">
      <c r="A98" t="str">
        <f>"_cons"</f>
        <v>_cons</v>
      </c>
      <c r="B98" t="str">
        <f>"-30279.11"</f>
        <v>-30279.11</v>
      </c>
      <c r="C98" t="str">
        <f>"-8218.015"</f>
        <v>-8218.015</v>
      </c>
      <c r="D98" t="str">
        <f>"-2059.019"</f>
        <v>-2059.019</v>
      </c>
      <c r="E98" t="str">
        <f>"-6364.384"</f>
        <v>-6364.384</v>
      </c>
      <c r="F98" t="str">
        <f>"1.29e+07"</f>
        <v>1.29e+07</v>
      </c>
      <c r="H98">
        <f t="shared" si="69"/>
        <v>-30279.11</v>
      </c>
      <c r="I98">
        <f t="shared" si="65"/>
        <v>-8218.0149999999994</v>
      </c>
      <c r="J98">
        <f t="shared" si="66"/>
        <v>-2059.0189999999998</v>
      </c>
      <c r="K98">
        <f t="shared" si="67"/>
        <v>-6364.384</v>
      </c>
      <c r="L98">
        <f t="shared" si="68"/>
        <v>12900000</v>
      </c>
    </row>
    <row r="99" spans="1:12" x14ac:dyDescent="0.3">
      <c r="A99" t="str">
        <f>""</f>
        <v/>
      </c>
      <c r="B99" t="str">
        <f>"e(V)"</f>
        <v>e(V)</v>
      </c>
      <c r="C99" t="str">
        <f>""</f>
        <v/>
      </c>
      <c r="D99" t="str">
        <f>""</f>
        <v/>
      </c>
      <c r="E99" t="str">
        <f>""</f>
        <v/>
      </c>
      <c r="F99" t="str">
        <f>""</f>
        <v/>
      </c>
    </row>
    <row r="100" spans="1:12" x14ac:dyDescent="0.3">
      <c r="A100" t="str">
        <f>""</f>
        <v/>
      </c>
      <c r="B100" t="str">
        <f>"puretime"</f>
        <v>puretime</v>
      </c>
      <c r="C100" t="str">
        <f>"intertemp"</f>
        <v>intertemp</v>
      </c>
      <c r="D100" t="str">
        <f>"levelimp"</f>
        <v>levelimp</v>
      </c>
      <c r="E100" t="str">
        <f>"year"</f>
        <v>year</v>
      </c>
      <c r="F100" t="str">
        <f>"_cons"</f>
        <v>_cons</v>
      </c>
    </row>
    <row r="101" spans="1:12" x14ac:dyDescent="0.3">
      <c r="A101" t="str">
        <f>"puretime"</f>
        <v>puretime</v>
      </c>
      <c r="B101" t="str">
        <f>"562.6"</f>
        <v>562.6</v>
      </c>
      <c r="C101" t="str">
        <f>"234.7217"</f>
        <v>234.7217</v>
      </c>
      <c r="D101" t="str">
        <f>"6.905714"</f>
        <v>6.905714</v>
      </c>
      <c r="E101" t="str">
        <f>"29.06478"</f>
        <v>29.06478</v>
      </c>
      <c r="F101" t="str">
        <f>"-59655.65"</f>
        <v>-59655.65</v>
      </c>
      <c r="H101">
        <f>B101*1</f>
        <v>562.6</v>
      </c>
      <c r="I101">
        <f t="shared" ref="I101:I105" si="70">C101*1</f>
        <v>234.7217</v>
      </c>
      <c r="J101">
        <f t="shared" ref="J101:J105" si="71">D101*1</f>
        <v>6.9057139999999997</v>
      </c>
      <c r="K101">
        <f t="shared" ref="K101:K105" si="72">E101*1</f>
        <v>29.064779999999999</v>
      </c>
      <c r="L101">
        <f t="shared" ref="L101:L105" si="73">F101*1</f>
        <v>-59655.65</v>
      </c>
    </row>
    <row r="102" spans="1:12" x14ac:dyDescent="0.3">
      <c r="A102" t="str">
        <f>"intertemp"</f>
        <v>intertemp</v>
      </c>
      <c r="B102" t="str">
        <f>"234.7217"</f>
        <v>234.7217</v>
      </c>
      <c r="C102" t="str">
        <f>"1801.138"</f>
        <v>1801.138</v>
      </c>
      <c r="D102" t="str">
        <f>"4.477048"</f>
        <v>4.477048</v>
      </c>
      <c r="E102" t="str">
        <f>"6.711646"</f>
        <v>6.711646</v>
      </c>
      <c r="F102" t="str">
        <f>"-16191.06"</f>
        <v>-16191.06</v>
      </c>
      <c r="H102">
        <f t="shared" ref="H102:H105" si="74">B102*1</f>
        <v>234.7217</v>
      </c>
      <c r="I102">
        <f t="shared" si="70"/>
        <v>1801.1379999999999</v>
      </c>
      <c r="J102">
        <f t="shared" si="71"/>
        <v>4.4770479999999999</v>
      </c>
      <c r="K102">
        <f t="shared" si="72"/>
        <v>6.711646</v>
      </c>
      <c r="L102">
        <f t="shared" si="73"/>
        <v>-16191.06</v>
      </c>
    </row>
    <row r="103" spans="1:12" x14ac:dyDescent="0.3">
      <c r="A103" t="str">
        <f>"levelimp"</f>
        <v>levelimp</v>
      </c>
      <c r="B103" t="str">
        <f>"6.905714"</f>
        <v>6.905714</v>
      </c>
      <c r="C103" t="str">
        <f>"4.477048"</f>
        <v>4.477048</v>
      </c>
      <c r="D103" t="str">
        <f>"19.76409"</f>
        <v>19.76409</v>
      </c>
      <c r="E103" t="str">
        <f>"2.031195"</f>
        <v>2.031195</v>
      </c>
      <c r="F103" t="str">
        <f>"-4056.662"</f>
        <v>-4056.662</v>
      </c>
      <c r="H103">
        <f t="shared" si="74"/>
        <v>6.9057139999999997</v>
      </c>
      <c r="I103">
        <f t="shared" si="70"/>
        <v>4.4770479999999999</v>
      </c>
      <c r="J103">
        <f t="shared" si="71"/>
        <v>19.764089999999999</v>
      </c>
      <c r="K103">
        <f t="shared" si="72"/>
        <v>2.0311949999999999</v>
      </c>
      <c r="L103">
        <f t="shared" si="73"/>
        <v>-4056.6619999999998</v>
      </c>
    </row>
    <row r="104" spans="1:12" x14ac:dyDescent="0.3">
      <c r="A104" t="str">
        <f>"year"</f>
        <v>year</v>
      </c>
      <c r="B104" t="str">
        <f>"29.06478"</f>
        <v>29.06478</v>
      </c>
      <c r="C104" t="str">
        <f>"6.711646"</f>
        <v>6.711646</v>
      </c>
      <c r="D104" t="str">
        <f>"2.031195"</f>
        <v>2.031195</v>
      </c>
      <c r="E104" t="str">
        <f>"6.207449"</f>
        <v>6.207449</v>
      </c>
      <c r="F104" t="str">
        <f>"-12539.06"</f>
        <v>-12539.06</v>
      </c>
      <c r="H104">
        <f t="shared" si="74"/>
        <v>29.064779999999999</v>
      </c>
      <c r="I104">
        <f t="shared" si="70"/>
        <v>6.711646</v>
      </c>
      <c r="J104">
        <f t="shared" si="71"/>
        <v>2.0311949999999999</v>
      </c>
      <c r="K104">
        <f t="shared" si="72"/>
        <v>6.2074490000000004</v>
      </c>
      <c r="L104">
        <f t="shared" si="73"/>
        <v>-12539.06</v>
      </c>
    </row>
    <row r="105" spans="1:12" x14ac:dyDescent="0.3">
      <c r="A105" t="str">
        <f>"_cons"</f>
        <v>_cons</v>
      </c>
      <c r="B105" t="str">
        <f>"-59655.65"</f>
        <v>-59655.65</v>
      </c>
      <c r="C105" t="str">
        <f>"-16191.06"</f>
        <v>-16191.06</v>
      </c>
      <c r="D105" t="str">
        <f>"-4056.662"</f>
        <v>-4056.662</v>
      </c>
      <c r="E105" t="str">
        <f>"-12539.06"</f>
        <v>-12539.06</v>
      </c>
      <c r="F105" t="str">
        <f>"2.53e+07"</f>
        <v>2.53e+07</v>
      </c>
      <c r="H105">
        <f t="shared" si="74"/>
        <v>-59655.65</v>
      </c>
      <c r="I105">
        <f t="shared" si="70"/>
        <v>-16191.06</v>
      </c>
      <c r="J105">
        <f t="shared" si="71"/>
        <v>-4056.6619999999998</v>
      </c>
      <c r="K105">
        <f t="shared" si="72"/>
        <v>-12539.06</v>
      </c>
      <c r="L105">
        <f t="shared" si="73"/>
        <v>25300000</v>
      </c>
    </row>
    <row r="106" spans="1:12" x14ac:dyDescent="0.3">
      <c r="A106" t="str">
        <f>""</f>
        <v/>
      </c>
      <c r="B106" t="str">
        <f>"e(V)"</f>
        <v>e(V)</v>
      </c>
      <c r="C106" t="str">
        <f>""</f>
        <v/>
      </c>
      <c r="D106" t="str">
        <f>""</f>
        <v/>
      </c>
      <c r="E106" t="str">
        <f>""</f>
        <v/>
      </c>
      <c r="F106" t="str">
        <f>""</f>
        <v/>
      </c>
    </row>
    <row r="107" spans="1:12" x14ac:dyDescent="0.3">
      <c r="A107" t="str">
        <f>""</f>
        <v/>
      </c>
      <c r="B107" t="str">
        <f>"puretime"</f>
        <v>puretime</v>
      </c>
      <c r="C107" t="str">
        <f>"intertemp"</f>
        <v>intertemp</v>
      </c>
      <c r="D107" t="str">
        <f>"levelimp"</f>
        <v>levelimp</v>
      </c>
      <c r="E107" t="str">
        <f>"year"</f>
        <v>year</v>
      </c>
      <c r="F107" t="str">
        <f>"_cons"</f>
        <v>_cons</v>
      </c>
    </row>
    <row r="108" spans="1:12" x14ac:dyDescent="0.3">
      <c r="A108" t="str">
        <f>"puretime"</f>
        <v>puretime</v>
      </c>
      <c r="B108" t="str">
        <f>"1064.621"</f>
        <v>1064.621</v>
      </c>
      <c r="C108" t="str">
        <f>"444.1694"</f>
        <v>444.1694</v>
      </c>
      <c r="D108" t="str">
        <f>"13.06785"</f>
        <v>13.06785</v>
      </c>
      <c r="E108" t="str">
        <f>"54.99998"</f>
        <v>54.99998</v>
      </c>
      <c r="F108" t="str">
        <f>"-112887.8"</f>
        <v>-112887.8</v>
      </c>
      <c r="H108">
        <f>B108*1</f>
        <v>1064.6210000000001</v>
      </c>
      <c r="I108">
        <f t="shared" ref="I108:I112" si="75">C108*1</f>
        <v>444.1694</v>
      </c>
      <c r="J108">
        <f t="shared" ref="J108:J112" si="76">D108*1</f>
        <v>13.06785</v>
      </c>
      <c r="K108">
        <f t="shared" ref="K108:K112" si="77">E108*1</f>
        <v>54.999980000000001</v>
      </c>
      <c r="L108">
        <f t="shared" ref="L108:L112" si="78">F108*1</f>
        <v>-112887.8</v>
      </c>
    </row>
    <row r="109" spans="1:12" x14ac:dyDescent="0.3">
      <c r="A109" t="str">
        <f>"intertemp"</f>
        <v>intertemp</v>
      </c>
      <c r="B109" t="str">
        <f>"444.1694"</f>
        <v>444.1694</v>
      </c>
      <c r="C109" t="str">
        <f>"3408.337"</f>
        <v>3408.337</v>
      </c>
      <c r="D109" t="str">
        <f>"8.472024"</f>
        <v>8.472024</v>
      </c>
      <c r="E109" t="str">
        <f>"12.70061"</f>
        <v>12.70061</v>
      </c>
      <c r="F109" t="str">
        <f>"-30638.73"</f>
        <v>-30638.73</v>
      </c>
      <c r="H109">
        <f t="shared" ref="H109:H112" si="79">B109*1</f>
        <v>444.1694</v>
      </c>
      <c r="I109">
        <f t="shared" si="75"/>
        <v>3408.337</v>
      </c>
      <c r="J109">
        <f t="shared" si="76"/>
        <v>8.4720239999999993</v>
      </c>
      <c r="K109">
        <f t="shared" si="77"/>
        <v>12.700609999999999</v>
      </c>
      <c r="L109">
        <f t="shared" si="78"/>
        <v>-30638.73</v>
      </c>
    </row>
    <row r="110" spans="1:12" x14ac:dyDescent="0.3">
      <c r="A110" t="str">
        <f>"levelimp"</f>
        <v>levelimp</v>
      </c>
      <c r="B110" t="str">
        <f>"13.06785"</f>
        <v>13.06785</v>
      </c>
      <c r="C110" t="str">
        <f>"8.472024"</f>
        <v>8.472024</v>
      </c>
      <c r="D110" t="str">
        <f>"37.40006"</f>
        <v>37.40006</v>
      </c>
      <c r="E110" t="str">
        <f>"3.843678"</f>
        <v>3.843678</v>
      </c>
      <c r="F110" t="str">
        <f>"-7676.518"</f>
        <v>-7676.518</v>
      </c>
      <c r="H110">
        <f t="shared" si="79"/>
        <v>13.06785</v>
      </c>
      <c r="I110">
        <f t="shared" si="75"/>
        <v>8.4720239999999993</v>
      </c>
      <c r="J110">
        <f t="shared" si="76"/>
        <v>37.400060000000003</v>
      </c>
      <c r="K110">
        <f t="shared" si="77"/>
        <v>3.8436780000000002</v>
      </c>
      <c r="L110">
        <f t="shared" si="78"/>
        <v>-7676.518</v>
      </c>
    </row>
    <row r="111" spans="1:12" x14ac:dyDescent="0.3">
      <c r="A111" t="str">
        <f>"year"</f>
        <v>year</v>
      </c>
      <c r="B111" t="str">
        <f>"54.99998"</f>
        <v>54.99998</v>
      </c>
      <c r="C111" t="str">
        <f>"12.70061"</f>
        <v>12.70061</v>
      </c>
      <c r="D111" t="str">
        <f>"3.843678"</f>
        <v>3.843678</v>
      </c>
      <c r="E111" t="str">
        <f>"11.7465"</f>
        <v>11.7465</v>
      </c>
      <c r="F111" t="str">
        <f>"-23727.95"</f>
        <v>-23727.95</v>
      </c>
      <c r="H111">
        <f t="shared" si="79"/>
        <v>54.999980000000001</v>
      </c>
      <c r="I111">
        <f t="shared" si="75"/>
        <v>12.700609999999999</v>
      </c>
      <c r="J111">
        <f t="shared" si="76"/>
        <v>3.8436780000000002</v>
      </c>
      <c r="K111">
        <f t="shared" si="77"/>
        <v>11.746499999999999</v>
      </c>
      <c r="L111">
        <f t="shared" si="78"/>
        <v>-23727.95</v>
      </c>
    </row>
    <row r="112" spans="1:12" x14ac:dyDescent="0.3">
      <c r="A112" t="str">
        <f>"_cons"</f>
        <v>_cons</v>
      </c>
      <c r="B112" t="str">
        <f>"-112887.8"</f>
        <v>-112887.8</v>
      </c>
      <c r="C112" t="str">
        <f>"-30638.73"</f>
        <v>-30638.73</v>
      </c>
      <c r="D112" t="str">
        <f>"-7676.518"</f>
        <v>-7676.518</v>
      </c>
      <c r="E112" t="str">
        <f>"-23727.95"</f>
        <v>-23727.95</v>
      </c>
      <c r="F112" t="str">
        <f>"4.79e+07"</f>
        <v>4.79e+07</v>
      </c>
      <c r="H112">
        <f t="shared" si="79"/>
        <v>-112887.8</v>
      </c>
      <c r="I112">
        <f t="shared" si="75"/>
        <v>-30638.73</v>
      </c>
      <c r="J112">
        <f t="shared" si="76"/>
        <v>-7676.518</v>
      </c>
      <c r="K112">
        <f t="shared" si="77"/>
        <v>-23727.95</v>
      </c>
      <c r="L112">
        <f t="shared" si="78"/>
        <v>47900000</v>
      </c>
    </row>
    <row r="113" spans="1:12" x14ac:dyDescent="0.3">
      <c r="A113" t="str">
        <f>""</f>
        <v/>
      </c>
      <c r="B113" t="str">
        <f>"e(V)"</f>
        <v>e(V)</v>
      </c>
      <c r="C113" t="str">
        <f>""</f>
        <v/>
      </c>
      <c r="D113" t="str">
        <f>""</f>
        <v/>
      </c>
      <c r="E113" t="str">
        <f>""</f>
        <v/>
      </c>
      <c r="F113" t="str">
        <f>""</f>
        <v/>
      </c>
    </row>
    <row r="114" spans="1:12" x14ac:dyDescent="0.3">
      <c r="A114" t="str">
        <f>""</f>
        <v/>
      </c>
      <c r="B114" t="str">
        <f>"puretime"</f>
        <v>puretime</v>
      </c>
      <c r="C114" t="str">
        <f>"intertemp"</f>
        <v>intertemp</v>
      </c>
      <c r="D114" t="str">
        <f>"levelimp"</f>
        <v>levelimp</v>
      </c>
      <c r="E114" t="str">
        <f>"year"</f>
        <v>year</v>
      </c>
      <c r="F114" t="str">
        <f>"_cons"</f>
        <v>_cons</v>
      </c>
    </row>
    <row r="115" spans="1:12" x14ac:dyDescent="0.3">
      <c r="A115" t="str">
        <f>"puretime"</f>
        <v>puretime</v>
      </c>
      <c r="B115" t="str">
        <f>"493.4561"</f>
        <v>493.4561</v>
      </c>
      <c r="C115" t="str">
        <f>"205.8742"</f>
        <v>205.8742</v>
      </c>
      <c r="D115" t="str">
        <f>"6.056997"</f>
        <v>6.056997</v>
      </c>
      <c r="E115" t="str">
        <f>"25.4927"</f>
        <v>25.4927</v>
      </c>
      <c r="F115" t="str">
        <f>"-52323.93"</f>
        <v>-52323.93</v>
      </c>
      <c r="H115">
        <f>B115*1</f>
        <v>493.45609999999999</v>
      </c>
      <c r="I115">
        <f t="shared" ref="I115:I119" si="80">C115*1</f>
        <v>205.8742</v>
      </c>
      <c r="J115">
        <f t="shared" ref="J115:J119" si="81">D115*1</f>
        <v>6.056997</v>
      </c>
      <c r="K115">
        <f t="shared" ref="K115:K119" si="82">E115*1</f>
        <v>25.492699999999999</v>
      </c>
      <c r="L115">
        <f t="shared" ref="L115:L119" si="83">F115*1</f>
        <v>-52323.93</v>
      </c>
    </row>
    <row r="116" spans="1:12" x14ac:dyDescent="0.3">
      <c r="A116" t="str">
        <f>"intertemp"</f>
        <v>intertemp</v>
      </c>
      <c r="B116" t="str">
        <f>"205.8742"</f>
        <v>205.8742</v>
      </c>
      <c r="C116" t="str">
        <f>"1579.777"</f>
        <v>1579.777</v>
      </c>
      <c r="D116" t="str">
        <f>"3.926816"</f>
        <v>3.926816</v>
      </c>
      <c r="E116" t="str">
        <f>"5.88678"</f>
        <v>5.88678</v>
      </c>
      <c r="F116" t="str">
        <f>"-14201.17"</f>
        <v>-14201.17</v>
      </c>
      <c r="H116">
        <f t="shared" ref="H116:H119" si="84">B116*1</f>
        <v>205.8742</v>
      </c>
      <c r="I116">
        <f t="shared" si="80"/>
        <v>1579.777</v>
      </c>
      <c r="J116">
        <f t="shared" si="81"/>
        <v>3.9268160000000001</v>
      </c>
      <c r="K116">
        <f t="shared" si="82"/>
        <v>5.8867799999999999</v>
      </c>
      <c r="L116">
        <f t="shared" si="83"/>
        <v>-14201.17</v>
      </c>
    </row>
    <row r="117" spans="1:12" x14ac:dyDescent="0.3">
      <c r="A117" t="str">
        <f>"levelimp"</f>
        <v>levelimp</v>
      </c>
      <c r="B117" t="str">
        <f>"6.056997"</f>
        <v>6.056997</v>
      </c>
      <c r="C117" t="str">
        <f>"3.926816"</f>
        <v>3.926816</v>
      </c>
      <c r="D117" t="str">
        <f>"17.33507"</f>
        <v>17.33507</v>
      </c>
      <c r="E117" t="str">
        <f>"1.78156"</f>
        <v>1.78156</v>
      </c>
      <c r="F117" t="str">
        <f>"-3558.095"</f>
        <v>-3558.095</v>
      </c>
      <c r="H117">
        <f t="shared" si="84"/>
        <v>6.056997</v>
      </c>
      <c r="I117">
        <f t="shared" si="80"/>
        <v>3.9268160000000001</v>
      </c>
      <c r="J117">
        <f t="shared" si="81"/>
        <v>17.335070000000002</v>
      </c>
      <c r="K117">
        <f t="shared" si="82"/>
        <v>1.78156</v>
      </c>
      <c r="L117">
        <f t="shared" si="83"/>
        <v>-3558.0949999999998</v>
      </c>
    </row>
    <row r="118" spans="1:12" x14ac:dyDescent="0.3">
      <c r="A118" t="str">
        <f>"year"</f>
        <v>year</v>
      </c>
      <c r="B118" t="str">
        <f>"25.4927"</f>
        <v>25.4927</v>
      </c>
      <c r="C118" t="str">
        <f>"5.88678"</f>
        <v>5.88678</v>
      </c>
      <c r="D118" t="str">
        <f>"1.78156"</f>
        <v>1.78156</v>
      </c>
      <c r="E118" t="str">
        <f>"5.444549"</f>
        <v>5.444549</v>
      </c>
      <c r="F118" t="str">
        <f>"-10998"</f>
        <v>-10998</v>
      </c>
      <c r="H118">
        <f t="shared" si="84"/>
        <v>25.492699999999999</v>
      </c>
      <c r="I118">
        <f t="shared" si="80"/>
        <v>5.8867799999999999</v>
      </c>
      <c r="J118">
        <f t="shared" si="81"/>
        <v>1.78156</v>
      </c>
      <c r="K118">
        <f t="shared" si="82"/>
        <v>5.4445490000000003</v>
      </c>
      <c r="L118">
        <f t="shared" si="83"/>
        <v>-10998</v>
      </c>
    </row>
    <row r="119" spans="1:12" x14ac:dyDescent="0.3">
      <c r="A119" t="str">
        <f>"_cons"</f>
        <v>_cons</v>
      </c>
      <c r="B119" t="str">
        <f>"-52323.93"</f>
        <v>-52323.93</v>
      </c>
      <c r="C119" t="str">
        <f>"-14201.17"</f>
        <v>-14201.17</v>
      </c>
      <c r="D119" t="str">
        <f>"-3558.095"</f>
        <v>-3558.095</v>
      </c>
      <c r="E119" t="str">
        <f>"-10998"</f>
        <v>-10998</v>
      </c>
      <c r="F119" t="str">
        <f>"2.22e+07"</f>
        <v>2.22e+07</v>
      </c>
      <c r="H119">
        <f t="shared" si="84"/>
        <v>-52323.93</v>
      </c>
      <c r="I119">
        <f t="shared" si="80"/>
        <v>-14201.17</v>
      </c>
      <c r="J119">
        <f t="shared" si="81"/>
        <v>-3558.0949999999998</v>
      </c>
      <c r="K119">
        <f t="shared" si="82"/>
        <v>-10998</v>
      </c>
      <c r="L119">
        <f t="shared" si="83"/>
        <v>22200000</v>
      </c>
    </row>
    <row r="120" spans="1:12" x14ac:dyDescent="0.3">
      <c r="A120" t="str">
        <f>""</f>
        <v/>
      </c>
      <c r="B120" t="str">
        <f>"e(V)"</f>
        <v>e(V)</v>
      </c>
      <c r="C120" t="str">
        <f>""</f>
        <v/>
      </c>
      <c r="D120" t="str">
        <f>""</f>
        <v/>
      </c>
      <c r="E120" t="str">
        <f>""</f>
        <v/>
      </c>
      <c r="F120" t="str">
        <f>""</f>
        <v/>
      </c>
    </row>
    <row r="121" spans="1:12" x14ac:dyDescent="0.3">
      <c r="A121" t="str">
        <f>""</f>
        <v/>
      </c>
      <c r="B121" t="str">
        <f>"puretime"</f>
        <v>puretime</v>
      </c>
      <c r="C121" t="str">
        <f>"intertemp"</f>
        <v>intertemp</v>
      </c>
      <c r="D121" t="str">
        <f>"levelimp"</f>
        <v>levelimp</v>
      </c>
      <c r="E121" t="str">
        <f>"year"</f>
        <v>year</v>
      </c>
      <c r="F121" t="str">
        <f>"_cons"</f>
        <v>_cons</v>
      </c>
    </row>
    <row r="122" spans="1:12" x14ac:dyDescent="0.3">
      <c r="A122" t="str">
        <f>"puretime"</f>
        <v>puretime</v>
      </c>
      <c r="B122" t="str">
        <f>"591.3429"</f>
        <v>591.3429</v>
      </c>
      <c r="C122" t="str">
        <f>"246.7135"</f>
        <v>246.7135</v>
      </c>
      <c r="D122" t="str">
        <f>"7.258524"</f>
        <v>7.258524</v>
      </c>
      <c r="E122" t="str">
        <f>"30.54969"</f>
        <v>30.54969</v>
      </c>
      <c r="F122" t="str">
        <f>"-62703.42"</f>
        <v>-62703.42</v>
      </c>
      <c r="H122">
        <f>B122*1</f>
        <v>591.34289999999999</v>
      </c>
      <c r="I122">
        <f t="shared" ref="I122:I126" si="85">C122*1</f>
        <v>246.71350000000001</v>
      </c>
      <c r="J122">
        <f t="shared" ref="J122:J126" si="86">D122*1</f>
        <v>7.2585240000000004</v>
      </c>
      <c r="K122">
        <f t="shared" ref="K122:K126" si="87">E122*1</f>
        <v>30.549689999999998</v>
      </c>
      <c r="L122">
        <f t="shared" ref="L122:L126" si="88">F122*1</f>
        <v>-62703.42</v>
      </c>
    </row>
    <row r="123" spans="1:12" x14ac:dyDescent="0.3">
      <c r="A123" t="str">
        <f>"intertemp"</f>
        <v>intertemp</v>
      </c>
      <c r="B123" t="str">
        <f>"246.7135"</f>
        <v>246.7135</v>
      </c>
      <c r="C123" t="str">
        <f>"1893.158"</f>
        <v>1893.158</v>
      </c>
      <c r="D123" t="str">
        <f>"4.705778"</f>
        <v>4.705778</v>
      </c>
      <c r="E123" t="str">
        <f>"7.054541"</f>
        <v>7.054541</v>
      </c>
      <c r="F123" t="str">
        <f>"-17018.26"</f>
        <v>-17018.26</v>
      </c>
      <c r="H123">
        <f t="shared" ref="H123:H126" si="89">B123*1</f>
        <v>246.71350000000001</v>
      </c>
      <c r="I123">
        <f t="shared" si="85"/>
        <v>1893.1579999999999</v>
      </c>
      <c r="J123">
        <f t="shared" si="86"/>
        <v>4.7057779999999996</v>
      </c>
      <c r="K123">
        <f t="shared" si="87"/>
        <v>7.0545410000000004</v>
      </c>
      <c r="L123">
        <f t="shared" si="88"/>
        <v>-17018.259999999998</v>
      </c>
    </row>
    <row r="124" spans="1:12" x14ac:dyDescent="0.3">
      <c r="A124" t="str">
        <f>"levelimp"</f>
        <v>levelimp</v>
      </c>
      <c r="B124" t="str">
        <f>"7.258524"</f>
        <v>7.258524</v>
      </c>
      <c r="C124" t="str">
        <f>"4.705778"</f>
        <v>4.705778</v>
      </c>
      <c r="D124" t="str">
        <f>"20.77383"</f>
        <v>20.77383</v>
      </c>
      <c r="E124" t="str">
        <f>"2.134968"</f>
        <v>2.134968</v>
      </c>
      <c r="F124" t="str">
        <f>"-4263.915"</f>
        <v>-4263.915</v>
      </c>
      <c r="H124">
        <f t="shared" si="89"/>
        <v>7.2585240000000004</v>
      </c>
      <c r="I124">
        <f t="shared" si="85"/>
        <v>4.7057779999999996</v>
      </c>
      <c r="J124">
        <f t="shared" si="86"/>
        <v>20.77383</v>
      </c>
      <c r="K124">
        <f t="shared" si="87"/>
        <v>2.1349680000000002</v>
      </c>
      <c r="L124">
        <f t="shared" si="88"/>
        <v>-4263.915</v>
      </c>
    </row>
    <row r="125" spans="1:12" x14ac:dyDescent="0.3">
      <c r="A125" t="str">
        <f>"year"</f>
        <v>year</v>
      </c>
      <c r="B125" t="str">
        <f>"30.54969"</f>
        <v>30.54969</v>
      </c>
      <c r="C125" t="str">
        <f>"7.054541"</f>
        <v>7.054541</v>
      </c>
      <c r="D125" t="str">
        <f>"2.134968"</f>
        <v>2.134968</v>
      </c>
      <c r="E125" t="str">
        <f>"6.524584"</f>
        <v>6.524584</v>
      </c>
      <c r="F125" t="str">
        <f>"-13179.67"</f>
        <v>-13179.67</v>
      </c>
      <c r="H125">
        <f t="shared" si="89"/>
        <v>30.549689999999998</v>
      </c>
      <c r="I125">
        <f t="shared" si="85"/>
        <v>7.0545410000000004</v>
      </c>
      <c r="J125">
        <f t="shared" si="86"/>
        <v>2.1349680000000002</v>
      </c>
      <c r="K125">
        <f t="shared" si="87"/>
        <v>6.5245839999999999</v>
      </c>
      <c r="L125">
        <f t="shared" si="88"/>
        <v>-13179.67</v>
      </c>
    </row>
    <row r="126" spans="1:12" x14ac:dyDescent="0.3">
      <c r="A126" t="str">
        <f>"_cons"</f>
        <v>_cons</v>
      </c>
      <c r="B126" t="str">
        <f>"-62703.42"</f>
        <v>-62703.42</v>
      </c>
      <c r="C126" t="str">
        <f>"-17018.26"</f>
        <v>-17018.26</v>
      </c>
      <c r="D126" t="str">
        <f>"-4263.915"</f>
        <v>-4263.915</v>
      </c>
      <c r="E126" t="str">
        <f>"-13179.67"</f>
        <v>-13179.67</v>
      </c>
      <c r="F126" t="str">
        <f>"2.66e+07"</f>
        <v>2.66e+07</v>
      </c>
      <c r="H126">
        <f t="shared" si="89"/>
        <v>-62703.42</v>
      </c>
      <c r="I126">
        <f t="shared" si="85"/>
        <v>-17018.259999999998</v>
      </c>
      <c r="J126">
        <f t="shared" si="86"/>
        <v>-4263.915</v>
      </c>
      <c r="K126">
        <f t="shared" si="87"/>
        <v>-13179.67</v>
      </c>
      <c r="L126">
        <f t="shared" si="88"/>
        <v>26600000</v>
      </c>
    </row>
    <row r="127" spans="1:12" x14ac:dyDescent="0.3">
      <c r="A127" t="str">
        <f>""</f>
        <v/>
      </c>
      <c r="B127" t="str">
        <f>"e(V)"</f>
        <v>e(V)</v>
      </c>
      <c r="C127" t="str">
        <f>""</f>
        <v/>
      </c>
      <c r="D127" t="str">
        <f>""</f>
        <v/>
      </c>
      <c r="E127" t="str">
        <f>""</f>
        <v/>
      </c>
      <c r="F127" t="str">
        <f>""</f>
        <v/>
      </c>
    </row>
    <row r="128" spans="1:12" x14ac:dyDescent="0.3">
      <c r="A128" t="str">
        <f>""</f>
        <v/>
      </c>
      <c r="B128" t="str">
        <f>"puretime"</f>
        <v>puretime</v>
      </c>
      <c r="C128" t="str">
        <f>"intertemp"</f>
        <v>intertemp</v>
      </c>
      <c r="D128" t="str">
        <f>"levelimp"</f>
        <v>levelimp</v>
      </c>
      <c r="E128" t="str">
        <f>"year"</f>
        <v>year</v>
      </c>
      <c r="F128" t="str">
        <f>"_cons"</f>
        <v>_cons</v>
      </c>
    </row>
    <row r="129" spans="1:12" x14ac:dyDescent="0.3">
      <c r="A129" t="str">
        <f>"puretime"</f>
        <v>puretime</v>
      </c>
      <c r="B129" t="str">
        <f>"3320.509"</f>
        <v>3320.509</v>
      </c>
      <c r="C129" t="str">
        <f>"1385.346"</f>
        <v>1385.346</v>
      </c>
      <c r="D129" t="str">
        <f>"40.75807"</f>
        <v>40.75807</v>
      </c>
      <c r="E129" t="str">
        <f>"171.5426"</f>
        <v>171.5426</v>
      </c>
      <c r="F129" t="str">
        <f>"-352092.3"</f>
        <v>-352092.3</v>
      </c>
      <c r="H129">
        <f>B129*1</f>
        <v>3320.509</v>
      </c>
      <c r="I129">
        <f t="shared" ref="I129:I133" si="90">C129*1</f>
        <v>1385.346</v>
      </c>
      <c r="J129">
        <f t="shared" ref="J129:J133" si="91">D129*1</f>
        <v>40.758069999999996</v>
      </c>
      <c r="K129">
        <f t="shared" ref="K129:K133" si="92">E129*1</f>
        <v>171.54259999999999</v>
      </c>
      <c r="L129">
        <f t="shared" ref="L129:L133" si="93">F129*1</f>
        <v>-352092.3</v>
      </c>
    </row>
    <row r="130" spans="1:12" x14ac:dyDescent="0.3">
      <c r="A130" t="str">
        <f>"intertemp"</f>
        <v>intertemp</v>
      </c>
      <c r="B130" t="str">
        <f>"1385.346"</f>
        <v>1385.346</v>
      </c>
      <c r="C130" t="str">
        <f>"10630.46"</f>
        <v>10630.46</v>
      </c>
      <c r="D130" t="str">
        <f>"26.42389"</f>
        <v>26.42389</v>
      </c>
      <c r="E130" t="str">
        <f>"39.61266"</f>
        <v>39.61266</v>
      </c>
      <c r="F130" t="str">
        <f>"-95560.92"</f>
        <v>-95560.92</v>
      </c>
      <c r="H130">
        <f t="shared" ref="H130:H133" si="94">B130*1</f>
        <v>1385.346</v>
      </c>
      <c r="I130">
        <f t="shared" si="90"/>
        <v>10630.46</v>
      </c>
      <c r="J130">
        <f t="shared" si="91"/>
        <v>26.42389</v>
      </c>
      <c r="K130">
        <f t="shared" si="92"/>
        <v>39.612659999999998</v>
      </c>
      <c r="L130">
        <f t="shared" si="93"/>
        <v>-95560.92</v>
      </c>
    </row>
    <row r="131" spans="1:12" x14ac:dyDescent="0.3">
      <c r="A131" t="str">
        <f>"levelimp"</f>
        <v>levelimp</v>
      </c>
      <c r="B131" t="str">
        <f>"40.75807"</f>
        <v>40.75807</v>
      </c>
      <c r="C131" t="str">
        <f>"26.42389"</f>
        <v>26.42389</v>
      </c>
      <c r="D131" t="str">
        <f>"116.6492"</f>
        <v>116.6492</v>
      </c>
      <c r="E131" t="str">
        <f>"11.98827"</f>
        <v>11.98827</v>
      </c>
      <c r="F131" t="str">
        <f>"-23942.74"</f>
        <v>-23942.74</v>
      </c>
      <c r="H131">
        <f t="shared" si="94"/>
        <v>40.758069999999996</v>
      </c>
      <c r="I131">
        <f t="shared" si="90"/>
        <v>26.42389</v>
      </c>
      <c r="J131">
        <f t="shared" si="91"/>
        <v>116.64919999999999</v>
      </c>
      <c r="K131">
        <f t="shared" si="92"/>
        <v>11.98827</v>
      </c>
      <c r="L131">
        <f t="shared" si="93"/>
        <v>-23942.74</v>
      </c>
    </row>
    <row r="132" spans="1:12" x14ac:dyDescent="0.3">
      <c r="A132" t="str">
        <f>"year"</f>
        <v>year</v>
      </c>
      <c r="B132" t="str">
        <f>"171.5426"</f>
        <v>171.5426</v>
      </c>
      <c r="C132" t="str">
        <f>"39.61266"</f>
        <v>39.61266</v>
      </c>
      <c r="D132" t="str">
        <f>"11.98827"</f>
        <v>11.98827</v>
      </c>
      <c r="E132" t="str">
        <f>"36.63685"</f>
        <v>36.63685</v>
      </c>
      <c r="F132" t="str">
        <f>"-74006.49"</f>
        <v>-74006.49</v>
      </c>
      <c r="H132">
        <f t="shared" si="94"/>
        <v>171.54259999999999</v>
      </c>
      <c r="I132">
        <f t="shared" si="90"/>
        <v>39.612659999999998</v>
      </c>
      <c r="J132">
        <f t="shared" si="91"/>
        <v>11.98827</v>
      </c>
      <c r="K132">
        <f t="shared" si="92"/>
        <v>36.636850000000003</v>
      </c>
      <c r="L132">
        <f t="shared" si="93"/>
        <v>-74006.490000000005</v>
      </c>
    </row>
    <row r="133" spans="1:12" x14ac:dyDescent="0.3">
      <c r="A133" t="str">
        <f>"_cons"</f>
        <v>_cons</v>
      </c>
      <c r="B133" t="str">
        <f>"-352092.3"</f>
        <v>-352092.3</v>
      </c>
      <c r="C133" t="str">
        <f>"-95560.92"</f>
        <v>-95560.92</v>
      </c>
      <c r="D133" t="str">
        <f>"-23942.74"</f>
        <v>-23942.74</v>
      </c>
      <c r="E133" t="str">
        <f>"-74006.49"</f>
        <v>-74006.49</v>
      </c>
      <c r="F133" t="str">
        <f>"1.50e+08"</f>
        <v>1.50e+08</v>
      </c>
      <c r="H133">
        <f t="shared" si="94"/>
        <v>-352092.3</v>
      </c>
      <c r="I133">
        <f t="shared" si="90"/>
        <v>-95560.92</v>
      </c>
      <c r="J133">
        <f t="shared" si="91"/>
        <v>-23942.74</v>
      </c>
      <c r="K133">
        <f t="shared" si="92"/>
        <v>-74006.490000000005</v>
      </c>
      <c r="L133">
        <f t="shared" si="93"/>
        <v>150000000</v>
      </c>
    </row>
    <row r="134" spans="1:12" x14ac:dyDescent="0.3">
      <c r="A134" t="str">
        <f>""</f>
        <v/>
      </c>
      <c r="B134" t="str">
        <f>"e(V)"</f>
        <v>e(V)</v>
      </c>
      <c r="C134" t="str">
        <f>""</f>
        <v/>
      </c>
      <c r="D134" t="str">
        <f>""</f>
        <v/>
      </c>
      <c r="E134" t="str">
        <f>""</f>
        <v/>
      </c>
      <c r="F134" t="str">
        <f>""</f>
        <v/>
      </c>
    </row>
    <row r="135" spans="1:12" x14ac:dyDescent="0.3">
      <c r="A135" t="str">
        <f>""</f>
        <v/>
      </c>
      <c r="B135" t="str">
        <f>"puretime"</f>
        <v>puretime</v>
      </c>
      <c r="C135" t="str">
        <f>"intertemp"</f>
        <v>intertemp</v>
      </c>
      <c r="D135" t="str">
        <f>"levelimp"</f>
        <v>levelimp</v>
      </c>
      <c r="E135" t="str">
        <f>"year"</f>
        <v>year</v>
      </c>
      <c r="F135" t="str">
        <f>"_cons"</f>
        <v>_cons</v>
      </c>
    </row>
    <row r="136" spans="1:12" x14ac:dyDescent="0.3">
      <c r="A136" t="str">
        <f>"puretime"</f>
        <v>puretime</v>
      </c>
      <c r="B136" t="str">
        <f>"23785.82"</f>
        <v>23785.82</v>
      </c>
      <c r="C136" t="str">
        <f>"9923.654"</f>
        <v>9923.654</v>
      </c>
      <c r="D136" t="str">
        <f>"291.9625"</f>
        <v>291.9625</v>
      </c>
      <c r="E136" t="str">
        <f>"1228.812"</f>
        <v>1228.812</v>
      </c>
      <c r="F136" t="str">
        <f>"-2522144"</f>
        <v>-2522144</v>
      </c>
      <c r="H136">
        <f>B136*1</f>
        <v>23785.82</v>
      </c>
      <c r="I136">
        <f t="shared" ref="I136:I140" si="95">C136*1</f>
        <v>9923.6540000000005</v>
      </c>
      <c r="J136">
        <f t="shared" ref="J136:J140" si="96">D136*1</f>
        <v>291.96249999999998</v>
      </c>
      <c r="K136">
        <f t="shared" ref="K136:K140" si="97">E136*1</f>
        <v>1228.8119999999999</v>
      </c>
      <c r="L136">
        <f t="shared" ref="L136:L140" si="98">F136*1</f>
        <v>-2522144</v>
      </c>
    </row>
    <row r="137" spans="1:12" x14ac:dyDescent="0.3">
      <c r="A137" t="str">
        <f>"intertemp"</f>
        <v>intertemp</v>
      </c>
      <c r="B137" t="str">
        <f>"9923.654"</f>
        <v>9923.654</v>
      </c>
      <c r="C137" t="str">
        <f>"76149.22"</f>
        <v>76149.22</v>
      </c>
      <c r="D137" t="str">
        <f>"189.2824"</f>
        <v>189.2824</v>
      </c>
      <c r="E137" t="str">
        <f>"283.7576"</f>
        <v>283.7576</v>
      </c>
      <c r="F137" t="str">
        <f>"-684532"</f>
        <v>-684532</v>
      </c>
      <c r="H137">
        <f t="shared" ref="H137:H140" si="99">B137*1</f>
        <v>9923.6540000000005</v>
      </c>
      <c r="I137">
        <f t="shared" si="95"/>
        <v>76149.22</v>
      </c>
      <c r="J137">
        <f t="shared" si="96"/>
        <v>189.2824</v>
      </c>
      <c r="K137">
        <f t="shared" si="97"/>
        <v>283.75760000000002</v>
      </c>
      <c r="L137">
        <f t="shared" si="98"/>
        <v>-684532</v>
      </c>
    </row>
    <row r="138" spans="1:12" x14ac:dyDescent="0.3">
      <c r="A138" t="str">
        <f>"levelimp"</f>
        <v>levelimp</v>
      </c>
      <c r="B138" t="str">
        <f>"291.9625"</f>
        <v>291.9625</v>
      </c>
      <c r="C138" t="str">
        <f>"189.2824"</f>
        <v>189.2824</v>
      </c>
      <c r="D138" t="str">
        <f>"835.5938"</f>
        <v>835.5938</v>
      </c>
      <c r="E138" t="str">
        <f>"85.87564"</f>
        <v>85.87564</v>
      </c>
      <c r="F138" t="str">
        <f>"-171509.1"</f>
        <v>-171509.1</v>
      </c>
      <c r="H138">
        <f t="shared" si="99"/>
        <v>291.96249999999998</v>
      </c>
      <c r="I138">
        <f t="shared" si="95"/>
        <v>189.2824</v>
      </c>
      <c r="J138">
        <f t="shared" si="96"/>
        <v>835.59379999999999</v>
      </c>
      <c r="K138">
        <f t="shared" si="97"/>
        <v>85.875640000000004</v>
      </c>
      <c r="L138">
        <f t="shared" si="98"/>
        <v>-171509.1</v>
      </c>
    </row>
    <row r="139" spans="1:12" x14ac:dyDescent="0.3">
      <c r="A139" t="str">
        <f>"year"</f>
        <v>year</v>
      </c>
      <c r="B139" t="str">
        <f>"1228.812"</f>
        <v>1228.812</v>
      </c>
      <c r="C139" t="str">
        <f>"283.7576"</f>
        <v>283.7576</v>
      </c>
      <c r="D139" t="str">
        <f>"85.87564"</f>
        <v>85.87564</v>
      </c>
      <c r="E139" t="str">
        <f>"262.4409"</f>
        <v>262.4409</v>
      </c>
      <c r="F139" t="str">
        <f>"-530131"</f>
        <v>-530131</v>
      </c>
      <c r="H139">
        <f t="shared" si="99"/>
        <v>1228.8119999999999</v>
      </c>
      <c r="I139">
        <f t="shared" si="95"/>
        <v>283.75760000000002</v>
      </c>
      <c r="J139">
        <f t="shared" si="96"/>
        <v>85.875640000000004</v>
      </c>
      <c r="K139">
        <f t="shared" si="97"/>
        <v>262.4409</v>
      </c>
      <c r="L139">
        <f t="shared" si="98"/>
        <v>-530131</v>
      </c>
    </row>
    <row r="140" spans="1:12" x14ac:dyDescent="0.3">
      <c r="A140" t="str">
        <f>"_cons"</f>
        <v>_cons</v>
      </c>
      <c r="B140" t="str">
        <f>"-2522144"</f>
        <v>-2522144</v>
      </c>
      <c r="C140" t="str">
        <f>"-684532"</f>
        <v>-684532</v>
      </c>
      <c r="D140" t="str">
        <f>"-171509.1"</f>
        <v>-171509.1</v>
      </c>
      <c r="E140" t="str">
        <f>"-530131"</f>
        <v>-530131</v>
      </c>
      <c r="F140" t="str">
        <f>"1.07e+09"</f>
        <v>1.07e+09</v>
      </c>
      <c r="H140">
        <f t="shared" si="99"/>
        <v>-2522144</v>
      </c>
      <c r="I140">
        <f t="shared" si="95"/>
        <v>-684532</v>
      </c>
      <c r="J140">
        <f t="shared" si="96"/>
        <v>-171509.1</v>
      </c>
      <c r="K140">
        <f t="shared" si="97"/>
        <v>-530131</v>
      </c>
      <c r="L140">
        <f t="shared" si="98"/>
        <v>1070000000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A8B2-E6D8-4F6F-A9CD-C99E241CA93B}">
  <dimension ref="A1:Z60"/>
  <sheetViews>
    <sheetView workbookViewId="0">
      <selection activeCell="A6" sqref="A6"/>
    </sheetView>
  </sheetViews>
  <sheetFormatPr defaultRowHeight="13" x14ac:dyDescent="0.3"/>
  <sheetData>
    <row r="1" spans="1:26" x14ac:dyDescent="0.3">
      <c r="A1" s="13">
        <f>emulator!B5</f>
        <v>-206</v>
      </c>
      <c r="B1">
        <f>Sheet1!H3</f>
        <v>454.89350000000002</v>
      </c>
      <c r="C1">
        <f>Sheet1!I3</f>
        <v>80.671930000000003</v>
      </c>
      <c r="D1">
        <f>Sheet1!J3</f>
        <v>5.4205040000000002</v>
      </c>
    </row>
    <row r="2" spans="1:26" x14ac:dyDescent="0.3">
      <c r="A2" s="13">
        <f>emulator!B7</f>
        <v>-139.19999999999999</v>
      </c>
      <c r="B2">
        <f>Sheet1!H4</f>
        <v>80.671930000000003</v>
      </c>
      <c r="C2">
        <f>Sheet1!I4</f>
        <v>1303.865</v>
      </c>
      <c r="D2">
        <f>Sheet1!J4</f>
        <v>3.8548650000000002</v>
      </c>
      <c r="Z2" s="13"/>
    </row>
    <row r="3" spans="1:26" x14ac:dyDescent="0.3">
      <c r="A3" s="13">
        <f>emulator!B9</f>
        <v>-13.52</v>
      </c>
      <c r="B3">
        <f>Sheet1!H5</f>
        <v>5.4205040000000002</v>
      </c>
      <c r="C3">
        <f>Sheet1!I5</f>
        <v>3.8548650000000002</v>
      </c>
      <c r="D3">
        <f>Sheet1!J5</f>
        <v>27.48668</v>
      </c>
      <c r="Z3" s="13"/>
    </row>
    <row r="4" spans="1:26" x14ac:dyDescent="0.3">
      <c r="A4" s="13">
        <f>emulator!C5</f>
        <v>-10.91</v>
      </c>
      <c r="B4">
        <f>Sheet1!H10</f>
        <v>9.5975529999999996</v>
      </c>
      <c r="C4">
        <f>Sheet1!I10</f>
        <v>4.0041840000000004</v>
      </c>
      <c r="D4">
        <f>Sheet1!J10</f>
        <v>0.11780649999999999</v>
      </c>
      <c r="Z4" s="13"/>
    </row>
    <row r="5" spans="1:26" x14ac:dyDescent="0.3">
      <c r="A5" s="13">
        <f>emulator!C7</f>
        <v>-14.87</v>
      </c>
      <c r="B5">
        <f>Sheet1!H11</f>
        <v>4.0041840000000004</v>
      </c>
      <c r="C5">
        <f>Sheet1!I11</f>
        <v>30.726130000000001</v>
      </c>
      <c r="D5">
        <f>Sheet1!J11</f>
        <v>7.6375200000000004E-2</v>
      </c>
    </row>
    <row r="6" spans="1:26" x14ac:dyDescent="0.3">
      <c r="A6" s="13">
        <f>emulator!C9</f>
        <v>-1.264</v>
      </c>
      <c r="B6">
        <f>Sheet1!H12</f>
        <v>0.11780649999999999</v>
      </c>
      <c r="C6">
        <f>Sheet1!I12</f>
        <v>7.6375200000000004E-2</v>
      </c>
      <c r="D6">
        <f>Sheet1!J12</f>
        <v>0.33716119999999999</v>
      </c>
    </row>
    <row r="7" spans="1:26" x14ac:dyDescent="0.3">
      <c r="A7" s="13">
        <f>emulator!D5</f>
        <v>-16.54</v>
      </c>
      <c r="B7">
        <f>Sheet1!H17</f>
        <v>24.564</v>
      </c>
      <c r="C7">
        <f>Sheet1!I17</f>
        <v>10.24832</v>
      </c>
      <c r="D7">
        <f>Sheet1!J17</f>
        <v>0.30151440000000002</v>
      </c>
    </row>
    <row r="8" spans="1:26" x14ac:dyDescent="0.3">
      <c r="A8" s="13">
        <f>emulator!D7</f>
        <v>-7.2009999999999996</v>
      </c>
      <c r="B8">
        <f>Sheet1!H18</f>
        <v>10.24832</v>
      </c>
      <c r="C8">
        <f>Sheet1!I18</f>
        <v>78.640540000000001</v>
      </c>
      <c r="D8">
        <f>Sheet1!J18</f>
        <v>0.19547500000000001</v>
      </c>
    </row>
    <row r="9" spans="1:26" x14ac:dyDescent="0.3">
      <c r="A9" s="13">
        <f>emulator!D9</f>
        <v>-2.77</v>
      </c>
      <c r="B9">
        <f>Sheet1!H19</f>
        <v>0.30151440000000002</v>
      </c>
      <c r="C9">
        <f>Sheet1!I19</f>
        <v>0.19547500000000001</v>
      </c>
      <c r="D9">
        <f>Sheet1!J19</f>
        <v>0.86293129999999996</v>
      </c>
    </row>
    <row r="10" spans="1:26" x14ac:dyDescent="0.3">
      <c r="A10" s="13">
        <f>emulator!E5</f>
        <v>-21.47</v>
      </c>
      <c r="B10">
        <f>Sheet1!H24</f>
        <v>17.41919</v>
      </c>
      <c r="C10">
        <f>Sheet1!I24</f>
        <v>7.2674399999999997</v>
      </c>
      <c r="D10">
        <f>Sheet1!J24</f>
        <v>0.21381439999999999</v>
      </c>
    </row>
    <row r="11" spans="1:26" x14ac:dyDescent="0.3">
      <c r="A11" s="13">
        <f>emulator!E7</f>
        <v>-7.2480000000000002</v>
      </c>
      <c r="B11">
        <f>Sheet1!H25</f>
        <v>7.2674399999999997</v>
      </c>
      <c r="C11">
        <f>Sheet1!I25</f>
        <v>55.766750000000002</v>
      </c>
      <c r="D11">
        <f>Sheet1!J25</f>
        <v>0.13861809999999999</v>
      </c>
    </row>
    <row r="12" spans="1:26" x14ac:dyDescent="0.3">
      <c r="A12" s="13">
        <f>emulator!E9</f>
        <v>-3.6589999999999998</v>
      </c>
      <c r="B12">
        <f>Sheet1!H26</f>
        <v>0.21381439999999999</v>
      </c>
      <c r="C12">
        <f>Sheet1!I26</f>
        <v>0.13861809999999999</v>
      </c>
      <c r="D12">
        <f>Sheet1!J26</f>
        <v>0.6119346</v>
      </c>
    </row>
    <row r="13" spans="1:26" x14ac:dyDescent="0.3">
      <c r="A13" s="13">
        <f>emulator!F5</f>
        <v>-23.14</v>
      </c>
      <c r="B13">
        <f>Sheet1!H31</f>
        <v>11.402620000000001</v>
      </c>
      <c r="C13">
        <f>Sheet1!I31</f>
        <v>4.7572729999999996</v>
      </c>
      <c r="D13">
        <f>Sheet1!J31</f>
        <v>0.13996310000000001</v>
      </c>
    </row>
    <row r="14" spans="1:26" x14ac:dyDescent="0.3">
      <c r="A14" s="13">
        <f>emulator!F7</f>
        <v>-20.02</v>
      </c>
      <c r="B14">
        <f>Sheet1!H32</f>
        <v>4.7572729999999996</v>
      </c>
      <c r="C14">
        <f>Sheet1!I32</f>
        <v>36.50497</v>
      </c>
      <c r="D14">
        <f>Sheet1!J32</f>
        <v>9.0739500000000001E-2</v>
      </c>
    </row>
    <row r="15" spans="1:26" x14ac:dyDescent="0.3">
      <c r="A15" s="13">
        <f>emulator!F9</f>
        <v>-6.032</v>
      </c>
      <c r="B15">
        <f>Sheet1!H33</f>
        <v>0.13996310000000001</v>
      </c>
      <c r="C15">
        <f>Sheet1!I33</f>
        <v>9.0739500000000001E-2</v>
      </c>
      <c r="D15">
        <f>Sheet1!J33</f>
        <v>0.40057300000000001</v>
      </c>
    </row>
    <row r="16" spans="1:26" x14ac:dyDescent="0.3">
      <c r="A16" s="13">
        <f>emulator!G5</f>
        <v>-29.54</v>
      </c>
      <c r="B16">
        <f>Sheet1!H38</f>
        <v>15.773569999999999</v>
      </c>
      <c r="C16">
        <f>Sheet1!I38</f>
        <v>6.5808710000000001</v>
      </c>
      <c r="D16">
        <f>Sheet1!J38</f>
        <v>0.19361490000000001</v>
      </c>
    </row>
    <row r="17" spans="1:4" x14ac:dyDescent="0.3">
      <c r="A17" s="13">
        <f>emulator!G7</f>
        <v>-27.28</v>
      </c>
      <c r="B17">
        <f>Sheet1!H39</f>
        <v>6.5808710000000001</v>
      </c>
      <c r="C17">
        <f>Sheet1!I39</f>
        <v>50.498359999999998</v>
      </c>
      <c r="D17">
        <f>Sheet1!J39</f>
        <v>0.12552260000000001</v>
      </c>
    </row>
    <row r="18" spans="1:4" x14ac:dyDescent="0.3">
      <c r="A18" s="13">
        <f>emulator!G9</f>
        <v>-5.7030000000000003</v>
      </c>
      <c r="B18">
        <f>Sheet1!H40</f>
        <v>0.19361490000000001</v>
      </c>
      <c r="C18">
        <f>Sheet1!I40</f>
        <v>0.12552260000000001</v>
      </c>
      <c r="D18">
        <f>Sheet1!J40</f>
        <v>0.55412399999999995</v>
      </c>
    </row>
    <row r="19" spans="1:4" x14ac:dyDescent="0.3">
      <c r="A19" s="13">
        <f>emulator!H5</f>
        <v>-39.29</v>
      </c>
      <c r="B19">
        <f>Sheet1!H45</f>
        <v>16.435300000000002</v>
      </c>
      <c r="C19">
        <f>Sheet1!I45</f>
        <v>6.8569529999999999</v>
      </c>
      <c r="D19">
        <f>Sheet1!J45</f>
        <v>0.20173749999999999</v>
      </c>
    </row>
    <row r="20" spans="1:4" x14ac:dyDescent="0.3">
      <c r="A20" s="13">
        <f>emulator!H7</f>
        <v>-33.659999999999997</v>
      </c>
      <c r="B20">
        <f>Sheet1!H46</f>
        <v>6.8569529999999999</v>
      </c>
      <c r="C20">
        <f>Sheet1!I46</f>
        <v>52.616869999999999</v>
      </c>
      <c r="D20">
        <f>Sheet1!J46</f>
        <v>0.1307885</v>
      </c>
    </row>
    <row r="21" spans="1:4" x14ac:dyDescent="0.3">
      <c r="A21" s="13">
        <f>emulator!H9</f>
        <v>-5.444</v>
      </c>
      <c r="B21">
        <f>Sheet1!H47</f>
        <v>0.20173749999999999</v>
      </c>
      <c r="C21">
        <f>Sheet1!I47</f>
        <v>0.1307885</v>
      </c>
      <c r="D21">
        <f>Sheet1!J47</f>
        <v>0.57737079999999996</v>
      </c>
    </row>
    <row r="22" spans="1:4" x14ac:dyDescent="0.3">
      <c r="A22" s="13">
        <f>emulator!I5</f>
        <v>-47.96</v>
      </c>
      <c r="B22">
        <f>Sheet1!H52</f>
        <v>30.133790000000001</v>
      </c>
      <c r="C22">
        <f>Sheet1!I52</f>
        <v>12.57208</v>
      </c>
      <c r="D22">
        <f>Sheet1!J52</f>
        <v>0.36988159999999998</v>
      </c>
    </row>
    <row r="23" spans="1:4" x14ac:dyDescent="0.3">
      <c r="A23" s="13">
        <f>emulator!I7</f>
        <v>-41.27</v>
      </c>
      <c r="B23">
        <f>Sheet1!H53</f>
        <v>12.57208</v>
      </c>
      <c r="C23">
        <f>Sheet1!I53</f>
        <v>96.471969999999999</v>
      </c>
      <c r="D23">
        <f>Sheet1!J53</f>
        <v>0.23979809999999999</v>
      </c>
    </row>
    <row r="24" spans="1:4" x14ac:dyDescent="0.3">
      <c r="A24" s="13">
        <f>emulator!I9</f>
        <v>-5.2039999999999997</v>
      </c>
      <c r="B24">
        <f>Sheet1!H54</f>
        <v>0.36988159999999998</v>
      </c>
      <c r="C24">
        <f>Sheet1!I54</f>
        <v>0.23979809999999999</v>
      </c>
      <c r="D24">
        <f>Sheet1!J54</f>
        <v>1.0585979999999999</v>
      </c>
    </row>
    <row r="25" spans="1:4" x14ac:dyDescent="0.3">
      <c r="A25" s="13">
        <f>emulator!J5</f>
        <v>-54.92</v>
      </c>
      <c r="B25">
        <f>Sheet1!H59</f>
        <v>34.703740000000003</v>
      </c>
      <c r="C25">
        <f>Sheet1!I59</f>
        <v>14.47871</v>
      </c>
      <c r="D25">
        <f>Sheet1!J59</f>
        <v>0.42597600000000002</v>
      </c>
    </row>
    <row r="26" spans="1:4" x14ac:dyDescent="0.3">
      <c r="A26" s="13">
        <f>emulator!J7</f>
        <v>-56.93</v>
      </c>
      <c r="B26">
        <f>Sheet1!H60</f>
        <v>14.47871</v>
      </c>
      <c r="C26">
        <f>Sheet1!I60</f>
        <v>111.1024</v>
      </c>
      <c r="D26">
        <f>Sheet1!J60</f>
        <v>0.27616479999999999</v>
      </c>
    </row>
    <row r="27" spans="1:4" x14ac:dyDescent="0.3">
      <c r="A27" s="13">
        <f>emulator!J9</f>
        <v>-9.3460000000000001</v>
      </c>
      <c r="B27">
        <f>Sheet1!H61</f>
        <v>0.42597600000000002</v>
      </c>
      <c r="C27">
        <f>Sheet1!I61</f>
        <v>0.27616479999999999</v>
      </c>
      <c r="D27">
        <f>Sheet1!J61</f>
        <v>1.219139</v>
      </c>
    </row>
    <row r="28" spans="1:4" x14ac:dyDescent="0.3">
      <c r="A28" s="13">
        <f>emulator!K5</f>
        <v>-56.6</v>
      </c>
      <c r="B28">
        <f>Sheet1!H66</f>
        <v>42.452170000000002</v>
      </c>
      <c r="C28">
        <f>Sheet1!I66</f>
        <v>17.71142</v>
      </c>
      <c r="D28">
        <f>Sheet1!J66</f>
        <v>0.52108520000000003</v>
      </c>
    </row>
    <row r="29" spans="1:4" x14ac:dyDescent="0.3">
      <c r="A29" s="13">
        <f>emulator!K7</f>
        <v>-70.31</v>
      </c>
      <c r="B29">
        <f>Sheet1!H67</f>
        <v>17.71142</v>
      </c>
      <c r="C29">
        <f>Sheet1!I67</f>
        <v>135.90870000000001</v>
      </c>
      <c r="D29">
        <f>Sheet1!J67</f>
        <v>0.33782509999999999</v>
      </c>
    </row>
    <row r="30" spans="1:4" x14ac:dyDescent="0.3">
      <c r="A30" s="13">
        <f>emulator!K9</f>
        <v>-12.5</v>
      </c>
      <c r="B30">
        <f>Sheet1!H68</f>
        <v>0.52108520000000003</v>
      </c>
      <c r="C30">
        <f>Sheet1!I68</f>
        <v>0.33782509999999999</v>
      </c>
      <c r="D30">
        <f>Sheet1!J68</f>
        <v>1.491341</v>
      </c>
    </row>
    <row r="31" spans="1:4" x14ac:dyDescent="0.3">
      <c r="A31" s="13">
        <f>emulator!L5</f>
        <v>-65.709999999999994</v>
      </c>
      <c r="B31">
        <f>Sheet1!H73</f>
        <v>58.761189999999999</v>
      </c>
      <c r="C31">
        <f>Sheet1!I73</f>
        <v>24.515689999999999</v>
      </c>
      <c r="D31">
        <f>Sheet1!J73</f>
        <v>0.72127269999999999</v>
      </c>
    </row>
    <row r="32" spans="1:4" x14ac:dyDescent="0.3">
      <c r="A32" s="13">
        <f>emulator!L7</f>
        <v>-75.64</v>
      </c>
      <c r="B32">
        <f>Sheet1!H74</f>
        <v>24.515689999999999</v>
      </c>
      <c r="C32">
        <f>Sheet1!I74</f>
        <v>188.12129999999999</v>
      </c>
      <c r="D32">
        <f>Sheet1!J74</f>
        <v>0.46760869999999999</v>
      </c>
    </row>
    <row r="33" spans="1:4" x14ac:dyDescent="0.3">
      <c r="A33" s="13">
        <f>emulator!L9</f>
        <v>-19.62</v>
      </c>
      <c r="B33">
        <f>Sheet1!H75</f>
        <v>0.72127269999999999</v>
      </c>
      <c r="C33">
        <f>Sheet1!I75</f>
        <v>0.46760869999999999</v>
      </c>
      <c r="D33">
        <f>Sheet1!J75</f>
        <v>2.0642749999999999</v>
      </c>
    </row>
    <row r="34" spans="1:4" x14ac:dyDescent="0.3">
      <c r="A34" s="13">
        <f>emulator!M5</f>
        <v>-77.48</v>
      </c>
      <c r="B34">
        <f>Sheet1!H80</f>
        <v>71.691919999999996</v>
      </c>
      <c r="C34">
        <f>Sheet1!I80</f>
        <v>29.910499999999999</v>
      </c>
      <c r="D34">
        <f>Sheet1!J80</f>
        <v>0.87999269999999996</v>
      </c>
    </row>
    <row r="35" spans="1:4" x14ac:dyDescent="0.3">
      <c r="A35" s="13">
        <f>emulator!M7</f>
        <v>-84.77</v>
      </c>
      <c r="B35">
        <f>Sheet1!H81</f>
        <v>29.910499999999999</v>
      </c>
      <c r="C35">
        <f>Sheet1!I81</f>
        <v>229.51840000000001</v>
      </c>
      <c r="D35">
        <f>Sheet1!J81</f>
        <v>0.57050860000000003</v>
      </c>
    </row>
    <row r="36" spans="1:4" x14ac:dyDescent="0.3">
      <c r="A36" s="13">
        <f>emulator!M9</f>
        <v>-20.8</v>
      </c>
      <c r="B36">
        <f>Sheet1!H82</f>
        <v>0.87999269999999996</v>
      </c>
      <c r="C36">
        <f>Sheet1!I82</f>
        <v>0.57050860000000003</v>
      </c>
      <c r="D36">
        <f>Sheet1!J82</f>
        <v>2.5185309999999999</v>
      </c>
    </row>
    <row r="37" spans="1:4" x14ac:dyDescent="0.3">
      <c r="A37" s="13">
        <f>emulator!N5</f>
        <v>-82.88</v>
      </c>
      <c r="B37">
        <f>Sheet1!H87</f>
        <v>91.581119999999999</v>
      </c>
      <c r="C37">
        <f>Sheet1!I87</f>
        <v>38.208449999999999</v>
      </c>
      <c r="D37">
        <f>Sheet1!J87</f>
        <v>1.124126</v>
      </c>
    </row>
    <row r="38" spans="1:4" x14ac:dyDescent="0.3">
      <c r="A38" s="13">
        <f>emulator!N7</f>
        <v>-88.42</v>
      </c>
      <c r="B38">
        <f>Sheet1!H88</f>
        <v>38.208449999999999</v>
      </c>
      <c r="C38">
        <f>Sheet1!I88</f>
        <v>293.19279999999998</v>
      </c>
      <c r="D38">
        <f>Sheet1!J88</f>
        <v>0.7287825</v>
      </c>
    </row>
    <row r="39" spans="1:4" x14ac:dyDescent="0.3">
      <c r="A39" s="13">
        <f>emulator!N9</f>
        <v>-23.41</v>
      </c>
      <c r="B39">
        <f>Sheet1!H89</f>
        <v>1.124126</v>
      </c>
      <c r="C39">
        <f>Sheet1!I89</f>
        <v>0.7287825</v>
      </c>
      <c r="D39">
        <f>Sheet1!J89</f>
        <v>3.2172369999999999</v>
      </c>
    </row>
    <row r="40" spans="1:4" x14ac:dyDescent="0.3">
      <c r="A40" s="13">
        <f>emulator!O5</f>
        <v>-91.82</v>
      </c>
      <c r="B40">
        <f>Sheet1!H94</f>
        <v>285.55599999999998</v>
      </c>
      <c r="C40">
        <f>Sheet1!I94</f>
        <v>119.1365</v>
      </c>
      <c r="D40">
        <f>Sheet1!J94</f>
        <v>3.5050979999999998</v>
      </c>
    </row>
    <row r="41" spans="1:4" x14ac:dyDescent="0.3">
      <c r="A41" s="13">
        <f>emulator!O7</f>
        <v>-91.3</v>
      </c>
      <c r="B41">
        <f>Sheet1!H95</f>
        <v>119.1365</v>
      </c>
      <c r="C41">
        <f>Sheet1!I95</f>
        <v>914.19460000000004</v>
      </c>
      <c r="D41">
        <f>Sheet1!J95</f>
        <v>2.272392</v>
      </c>
    </row>
    <row r="42" spans="1:4" x14ac:dyDescent="0.3">
      <c r="A42" s="13">
        <f>emulator!O9</f>
        <v>-31.51</v>
      </c>
      <c r="B42">
        <f>Sheet1!H96</f>
        <v>3.5050979999999998</v>
      </c>
      <c r="C42">
        <f>Sheet1!I96</f>
        <v>2.272392</v>
      </c>
      <c r="D42">
        <f>Sheet1!J96</f>
        <v>10.031560000000001</v>
      </c>
    </row>
    <row r="43" spans="1:4" x14ac:dyDescent="0.3">
      <c r="A43" s="13">
        <f>emulator!P5</f>
        <v>-125.7</v>
      </c>
      <c r="B43">
        <f>Sheet1!H101</f>
        <v>562.6</v>
      </c>
      <c r="C43">
        <f>Sheet1!I101</f>
        <v>234.7217</v>
      </c>
      <c r="D43">
        <f>Sheet1!J101</f>
        <v>6.9057139999999997</v>
      </c>
    </row>
    <row r="44" spans="1:4" x14ac:dyDescent="0.3">
      <c r="A44" s="13">
        <f>emulator!P7</f>
        <v>-95.4</v>
      </c>
      <c r="B44">
        <f>Sheet1!H102</f>
        <v>234.7217</v>
      </c>
      <c r="C44">
        <f>Sheet1!I102</f>
        <v>1801.1379999999999</v>
      </c>
      <c r="D44">
        <f>Sheet1!J102</f>
        <v>4.4770479999999999</v>
      </c>
    </row>
    <row r="45" spans="1:4" x14ac:dyDescent="0.3">
      <c r="A45" s="13">
        <f>emulator!P9</f>
        <v>-38.07</v>
      </c>
      <c r="B45">
        <f>Sheet1!H103</f>
        <v>6.9057139999999997</v>
      </c>
      <c r="C45">
        <f>Sheet1!I103</f>
        <v>4.4770479999999999</v>
      </c>
      <c r="D45">
        <f>Sheet1!J103</f>
        <v>19.764089999999999</v>
      </c>
    </row>
    <row r="46" spans="1:4" x14ac:dyDescent="0.3">
      <c r="A46" s="13">
        <f>emulator!Q5</f>
        <v>-170</v>
      </c>
      <c r="B46">
        <f>Sheet1!H108</f>
        <v>1064.6210000000001</v>
      </c>
      <c r="C46">
        <f>Sheet1!I108</f>
        <v>444.1694</v>
      </c>
      <c r="D46">
        <f>Sheet1!J108</f>
        <v>13.06785</v>
      </c>
    </row>
    <row r="47" spans="1:4" x14ac:dyDescent="0.3">
      <c r="A47" s="13">
        <f>emulator!Q7</f>
        <v>-123.7</v>
      </c>
      <c r="B47">
        <f>Sheet1!H109</f>
        <v>444.1694</v>
      </c>
      <c r="C47">
        <f>Sheet1!I109</f>
        <v>3408.337</v>
      </c>
      <c r="D47">
        <f>Sheet1!J109</f>
        <v>8.4720239999999993</v>
      </c>
    </row>
    <row r="48" spans="1:4" x14ac:dyDescent="0.3">
      <c r="A48" s="13">
        <f>emulator!Q9</f>
        <v>-51.28</v>
      </c>
      <c r="B48">
        <f>Sheet1!H110</f>
        <v>13.06785</v>
      </c>
      <c r="C48">
        <f>Sheet1!I110</f>
        <v>8.4720239999999993</v>
      </c>
      <c r="D48">
        <f>Sheet1!J110</f>
        <v>37.400060000000003</v>
      </c>
    </row>
    <row r="49" spans="1:4" x14ac:dyDescent="0.3">
      <c r="A49" s="13">
        <f>emulator!R5</f>
        <v>-215.3</v>
      </c>
      <c r="B49">
        <f>Sheet1!H115</f>
        <v>493.45609999999999</v>
      </c>
      <c r="C49">
        <f>Sheet1!I115</f>
        <v>205.8742</v>
      </c>
      <c r="D49">
        <f>Sheet1!J115</f>
        <v>6.056997</v>
      </c>
    </row>
    <row r="50" spans="1:4" x14ac:dyDescent="0.3">
      <c r="A50" s="13">
        <f>emulator!R7</f>
        <v>-146</v>
      </c>
      <c r="B50">
        <f>Sheet1!H116</f>
        <v>205.8742</v>
      </c>
      <c r="C50">
        <f>Sheet1!I116</f>
        <v>1579.777</v>
      </c>
      <c r="D50">
        <f>Sheet1!J116</f>
        <v>3.9268160000000001</v>
      </c>
    </row>
    <row r="51" spans="1:4" x14ac:dyDescent="0.3">
      <c r="A51" s="13">
        <f>emulator!R9</f>
        <v>-55.6</v>
      </c>
      <c r="B51">
        <f>Sheet1!H117</f>
        <v>6.056997</v>
      </c>
      <c r="C51">
        <f>Sheet1!I117</f>
        <v>3.9268160000000001</v>
      </c>
      <c r="D51">
        <f>Sheet1!J117</f>
        <v>17.335070000000002</v>
      </c>
    </row>
    <row r="52" spans="1:4" x14ac:dyDescent="0.3">
      <c r="A52" s="13">
        <f>emulator!S5</f>
        <v>-193.4</v>
      </c>
      <c r="B52">
        <f>Sheet1!H122</f>
        <v>591.34289999999999</v>
      </c>
      <c r="C52">
        <f>Sheet1!I122</f>
        <v>246.71350000000001</v>
      </c>
      <c r="D52">
        <f>Sheet1!J122</f>
        <v>7.2585240000000004</v>
      </c>
    </row>
    <row r="53" spans="1:4" x14ac:dyDescent="0.3">
      <c r="A53" s="13">
        <f>emulator!S7</f>
        <v>-109.4</v>
      </c>
      <c r="B53">
        <f>Sheet1!H123</f>
        <v>246.71350000000001</v>
      </c>
      <c r="C53">
        <f>Sheet1!I123</f>
        <v>1893.1579999999999</v>
      </c>
      <c r="D53">
        <f>Sheet1!J123</f>
        <v>4.7057779999999996</v>
      </c>
    </row>
    <row r="54" spans="1:4" x14ac:dyDescent="0.3">
      <c r="A54" s="13">
        <f>emulator!S9</f>
        <v>-53.24</v>
      </c>
      <c r="B54">
        <f>Sheet1!H124</f>
        <v>7.2585240000000004</v>
      </c>
      <c r="C54">
        <f>Sheet1!I124</f>
        <v>4.7057779999999996</v>
      </c>
      <c r="D54">
        <f>Sheet1!J124</f>
        <v>20.77383</v>
      </c>
    </row>
    <row r="55" spans="1:4" x14ac:dyDescent="0.3">
      <c r="A55" s="13">
        <f>emulator!T5</f>
        <v>-227.5</v>
      </c>
      <c r="B55">
        <f>Sheet1!H129</f>
        <v>3320.509</v>
      </c>
      <c r="C55">
        <f>Sheet1!I129</f>
        <v>1385.346</v>
      </c>
      <c r="D55">
        <f>Sheet1!J129</f>
        <v>40.758069999999996</v>
      </c>
    </row>
    <row r="56" spans="1:4" x14ac:dyDescent="0.3">
      <c r="A56" s="13">
        <f>emulator!T7</f>
        <v>-135.69999999999999</v>
      </c>
      <c r="B56">
        <f>Sheet1!H130</f>
        <v>1385.346</v>
      </c>
      <c r="C56">
        <f>Sheet1!I130</f>
        <v>10630.46</v>
      </c>
      <c r="D56">
        <f>Sheet1!J130</f>
        <v>26.42389</v>
      </c>
    </row>
    <row r="57" spans="1:4" x14ac:dyDescent="0.3">
      <c r="A57" s="13">
        <f>emulator!T9</f>
        <v>-40.36</v>
      </c>
      <c r="B57">
        <f>Sheet1!H131</f>
        <v>40.758069999999996</v>
      </c>
      <c r="C57">
        <f>Sheet1!I131</f>
        <v>26.42389</v>
      </c>
      <c r="D57">
        <f>Sheet1!J131</f>
        <v>116.64919999999999</v>
      </c>
    </row>
    <row r="58" spans="1:4" x14ac:dyDescent="0.3">
      <c r="A58" s="13">
        <f>emulator!U5</f>
        <v>-328.8</v>
      </c>
      <c r="B58">
        <f>Sheet1!H136</f>
        <v>23785.82</v>
      </c>
      <c r="C58">
        <f>Sheet1!I136</f>
        <v>9923.6540000000005</v>
      </c>
      <c r="D58">
        <f>Sheet1!J136</f>
        <v>291.96249999999998</v>
      </c>
    </row>
    <row r="59" spans="1:4" x14ac:dyDescent="0.3">
      <c r="A59" s="13">
        <f>emulator!U7</f>
        <v>-115.7</v>
      </c>
      <c r="B59">
        <f>Sheet1!H137</f>
        <v>9923.6540000000005</v>
      </c>
      <c r="C59">
        <f>Sheet1!I137</f>
        <v>76149.22</v>
      </c>
      <c r="D59">
        <f>Sheet1!J137</f>
        <v>189.2824</v>
      </c>
    </row>
    <row r="60" spans="1:4" x14ac:dyDescent="0.3">
      <c r="A60" s="13">
        <f>emulator!U9</f>
        <v>-122</v>
      </c>
      <c r="B60">
        <f>Sheet1!H138</f>
        <v>291.96249999999998</v>
      </c>
      <c r="C60">
        <f>Sheet1!I138</f>
        <v>189.2824</v>
      </c>
      <c r="D60">
        <f>Sheet1!J138</f>
        <v>835.59379999999999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3C97-2891-49A8-A41D-5A076AAE8447}">
  <dimension ref="A1:AR39"/>
  <sheetViews>
    <sheetView topLeftCell="A19" workbookViewId="0">
      <selection activeCell="A38" sqref="A38"/>
    </sheetView>
  </sheetViews>
  <sheetFormatPr defaultRowHeight="13" x14ac:dyDescent="0.3"/>
  <cols>
    <col min="24" max="24" width="12.5" bestFit="1" customWidth="1"/>
    <col min="26" max="26" width="11.8984375" bestFit="1" customWidth="1"/>
  </cols>
  <sheetData>
    <row r="1" spans="1:44" x14ac:dyDescent="0.3">
      <c r="A1" t="s">
        <v>31</v>
      </c>
      <c r="V1" t="s">
        <v>33</v>
      </c>
      <c r="W1" t="s">
        <v>32</v>
      </c>
      <c r="X1" t="s">
        <v>35</v>
      </c>
    </row>
    <row r="2" spans="1:44" x14ac:dyDescent="0.3">
      <c r="B2" s="5">
        <v>0.05</v>
      </c>
      <c r="C2" s="6">
        <f>5%+B2</f>
        <v>0.1</v>
      </c>
      <c r="D2" s="6">
        <f>5%+C2</f>
        <v>0.15000000000000002</v>
      </c>
      <c r="E2" s="6">
        <f t="shared" ref="E2:T2" si="0">5%+D2</f>
        <v>0.2</v>
      </c>
      <c r="F2" s="6">
        <f t="shared" si="0"/>
        <v>0.25</v>
      </c>
      <c r="G2" s="6">
        <f t="shared" si="0"/>
        <v>0.3</v>
      </c>
      <c r="H2" s="6">
        <f t="shared" si="0"/>
        <v>0.35</v>
      </c>
      <c r="I2" s="6">
        <f t="shared" si="0"/>
        <v>0.39999999999999997</v>
      </c>
      <c r="J2" s="6">
        <f t="shared" si="0"/>
        <v>0.44999999999999996</v>
      </c>
      <c r="K2" s="6">
        <f t="shared" si="0"/>
        <v>0.49999999999999994</v>
      </c>
      <c r="L2" s="6">
        <f t="shared" si="0"/>
        <v>0.54999999999999993</v>
      </c>
      <c r="M2" s="6">
        <f t="shared" si="0"/>
        <v>0.6</v>
      </c>
      <c r="N2" s="6">
        <f t="shared" si="0"/>
        <v>0.65</v>
      </c>
      <c r="O2" s="6">
        <f t="shared" si="0"/>
        <v>0.70000000000000007</v>
      </c>
      <c r="P2" s="6">
        <f t="shared" si="0"/>
        <v>0.75000000000000011</v>
      </c>
      <c r="Q2" s="6">
        <f t="shared" si="0"/>
        <v>0.80000000000000016</v>
      </c>
      <c r="R2" s="6">
        <f t="shared" si="0"/>
        <v>0.8500000000000002</v>
      </c>
      <c r="S2" s="6">
        <f t="shared" si="0"/>
        <v>0.90000000000000024</v>
      </c>
      <c r="T2" s="6">
        <f t="shared" si="0"/>
        <v>0.95000000000000029</v>
      </c>
    </row>
    <row r="3" spans="1:44" x14ac:dyDescent="0.3">
      <c r="A3">
        <f>-15</f>
        <v>-15</v>
      </c>
      <c r="B3">
        <f>emulator!C$9*$A3</f>
        <v>18.96</v>
      </c>
      <c r="C3">
        <f>emulator!D$9*$A3</f>
        <v>41.55</v>
      </c>
      <c r="D3">
        <f>emulator!E$9*$A3</f>
        <v>54.884999999999998</v>
      </c>
      <c r="E3">
        <f>emulator!F$9*$A3</f>
        <v>90.48</v>
      </c>
      <c r="F3">
        <f>emulator!G$9*$A3</f>
        <v>85.545000000000002</v>
      </c>
      <c r="G3">
        <f>emulator!H$9*$A3</f>
        <v>81.66</v>
      </c>
      <c r="H3">
        <f>emulator!I$9*$A3</f>
        <v>78.06</v>
      </c>
      <c r="I3">
        <f>emulator!J$9*$A3</f>
        <v>140.19</v>
      </c>
      <c r="J3">
        <f>emulator!K$9*$A3</f>
        <v>187.5</v>
      </c>
      <c r="K3">
        <f>emulator!L$9*$A3</f>
        <v>294.3</v>
      </c>
      <c r="L3">
        <f>emulator!M$9*$A3</f>
        <v>312</v>
      </c>
      <c r="M3">
        <f>emulator!N$9*$A3</f>
        <v>351.15</v>
      </c>
      <c r="N3">
        <f>emulator!O$9*$A3</f>
        <v>472.65000000000003</v>
      </c>
      <c r="O3">
        <f>emulator!P$9*$A3</f>
        <v>571.04999999999995</v>
      </c>
      <c r="P3">
        <f>emulator!Q$9*$A3</f>
        <v>769.2</v>
      </c>
      <c r="Q3">
        <f>emulator!R$9*$A3</f>
        <v>834</v>
      </c>
      <c r="R3">
        <f>emulator!S$9*$A3</f>
        <v>798.6</v>
      </c>
      <c r="S3">
        <f>emulator!T$9*$A3</f>
        <v>605.4</v>
      </c>
      <c r="T3">
        <f>emulator!U$9*$A3</f>
        <v>1830</v>
      </c>
      <c r="V3">
        <f>[1]regressions!L101</f>
        <v>0</v>
      </c>
      <c r="W3">
        <f>[1]regressions!M101</f>
        <v>0</v>
      </c>
      <c r="X3">
        <f>V3-W3</f>
        <v>0</v>
      </c>
      <c r="Z3">
        <f>emulator!C$10^2*$A3^2</f>
        <v>75.951224999999994</v>
      </c>
      <c r="AA3">
        <f>emulator!D$10^2*$A3^2</f>
        <v>194.18422500000003</v>
      </c>
      <c r="AB3">
        <f>emulator!E$10^2*$A3^2</f>
        <v>137.59290000000001</v>
      </c>
      <c r="AC3">
        <f>emulator!F$10^2*$A3^2</f>
        <v>90.155025000000009</v>
      </c>
      <c r="AD3">
        <f>emulator!G$10^2*$A3^2</f>
        <v>124.54560000000001</v>
      </c>
      <c r="AE3">
        <f>emulator!H$10^2*$A3^2</f>
        <v>129.96</v>
      </c>
      <c r="AF3">
        <f>emulator!I$10^2*$A3^2</f>
        <v>238.23922499999998</v>
      </c>
      <c r="AG3">
        <f>emulator!J$10^2*$A3^2</f>
        <v>274.23360000000002</v>
      </c>
      <c r="AH3">
        <f>emulator!K$10^2*$A3^2</f>
        <v>335.43922500000008</v>
      </c>
      <c r="AI3">
        <f>emulator!L$10^2*$A3^2</f>
        <v>464.61802499999999</v>
      </c>
      <c r="AJ3">
        <f>emulator!M$10^2*$A3^2</f>
        <v>566.67802499999993</v>
      </c>
      <c r="AK3">
        <f>emulator!N$10^2*$A3^2</f>
        <v>724.1481</v>
      </c>
      <c r="AL3">
        <f>emulator!O$10^2*$A3^2</f>
        <v>2256.7250249999997</v>
      </c>
      <c r="AM3">
        <f>emulator!P$10^2*$A3^2</f>
        <v>4447.5560999999998</v>
      </c>
      <c r="AN3">
        <f>emulator!Q$10^2*$A3^2</f>
        <v>8416.2275999999983</v>
      </c>
      <c r="AO3">
        <f>emulator!R$10^2*$A3^2</f>
        <v>3901.2515999999996</v>
      </c>
      <c r="AP3">
        <f>emulator!S$10^2*$A3^2</f>
        <v>4674.4569000000001</v>
      </c>
      <c r="AQ3">
        <f>emulator!T$10^2*$A3^2</f>
        <v>26244.000000000004</v>
      </c>
      <c r="AR3">
        <f>emulator!U$10^2*$A3^2</f>
        <v>188052.32250000001</v>
      </c>
    </row>
    <row r="4" spans="1:44" x14ac:dyDescent="0.3">
      <c r="A4">
        <f t="shared" ref="A4:A28" si="1">1+A3</f>
        <v>-14</v>
      </c>
      <c r="B4">
        <f>emulator!C$9*$A4</f>
        <v>17.696000000000002</v>
      </c>
      <c r="C4">
        <f>emulator!D$9*$A4</f>
        <v>38.78</v>
      </c>
      <c r="D4">
        <f>emulator!E$9*$A4</f>
        <v>51.225999999999999</v>
      </c>
      <c r="E4">
        <f>emulator!F$9*$A4</f>
        <v>84.448000000000008</v>
      </c>
      <c r="F4">
        <f>emulator!G$9*$A4</f>
        <v>79.841999999999999</v>
      </c>
      <c r="G4">
        <f>emulator!H$9*$A4</f>
        <v>76.215999999999994</v>
      </c>
      <c r="H4">
        <f>emulator!I$9*$A4</f>
        <v>72.855999999999995</v>
      </c>
      <c r="I4">
        <f>emulator!J$9*$A4</f>
        <v>130.84399999999999</v>
      </c>
      <c r="J4">
        <f>emulator!K$9*$A4</f>
        <v>175</v>
      </c>
      <c r="K4">
        <f>emulator!L$9*$A4</f>
        <v>274.68</v>
      </c>
      <c r="L4">
        <f>emulator!M$9*$A4</f>
        <v>291.2</v>
      </c>
      <c r="M4">
        <f>emulator!N$9*$A4</f>
        <v>327.74</v>
      </c>
      <c r="N4">
        <f>emulator!O$9*$A4</f>
        <v>441.14000000000004</v>
      </c>
      <c r="O4">
        <f>emulator!P$9*$A4</f>
        <v>532.98</v>
      </c>
      <c r="P4">
        <f>emulator!Q$9*$A4</f>
        <v>717.92000000000007</v>
      </c>
      <c r="Q4">
        <f>emulator!R$9*$A4</f>
        <v>778.4</v>
      </c>
      <c r="R4">
        <f>emulator!S$9*$A4</f>
        <v>745.36</v>
      </c>
      <c r="S4">
        <f>emulator!T$9*$A4</f>
        <v>565.04</v>
      </c>
      <c r="T4">
        <f>emulator!U$9*$A4</f>
        <v>1708</v>
      </c>
      <c r="V4">
        <f>[1]regressions!L102</f>
        <v>0</v>
      </c>
      <c r="W4">
        <f>[1]regressions!M102</f>
        <v>2.0283409340940908E-4</v>
      </c>
      <c r="X4">
        <f t="shared" ref="X4:X28" si="2">V4-W4</f>
        <v>-2.0283409340940908E-4</v>
      </c>
      <c r="Z4">
        <f>emulator!C$10^2*$A4^2</f>
        <v>66.161955999999989</v>
      </c>
      <c r="AA4">
        <f>emulator!D$10^2*$A4^2</f>
        <v>169.156036</v>
      </c>
      <c r="AB4">
        <f>emulator!E$10^2*$A4^2</f>
        <v>119.85870400000002</v>
      </c>
      <c r="AC4">
        <f>emulator!F$10^2*$A4^2</f>
        <v>78.535043999999999</v>
      </c>
      <c r="AD4">
        <f>emulator!G$10^2*$A4^2</f>
        <v>108.49305600000001</v>
      </c>
      <c r="AE4">
        <f>emulator!H$10^2*$A4^2</f>
        <v>113.20959999999999</v>
      </c>
      <c r="AF4">
        <f>emulator!I$10^2*$A4^2</f>
        <v>207.53283599999997</v>
      </c>
      <c r="AG4">
        <f>emulator!J$10^2*$A4^2</f>
        <v>238.88793600000002</v>
      </c>
      <c r="AH4">
        <f>emulator!K$10^2*$A4^2</f>
        <v>292.20483600000006</v>
      </c>
      <c r="AI4">
        <f>emulator!L$10^2*$A4^2</f>
        <v>404.733924</v>
      </c>
      <c r="AJ4">
        <f>emulator!M$10^2*$A4^2</f>
        <v>493.63952399999999</v>
      </c>
      <c r="AK4">
        <f>emulator!N$10^2*$A4^2</f>
        <v>630.81345599999997</v>
      </c>
      <c r="AL4">
        <f>emulator!O$10^2*$A4^2</f>
        <v>1965.8582439999998</v>
      </c>
      <c r="AM4">
        <f>emulator!P$10^2*$A4^2</f>
        <v>3874.3155359999996</v>
      </c>
      <c r="AN4">
        <f>emulator!Q$10^2*$A4^2</f>
        <v>7331.4693759999991</v>
      </c>
      <c r="AO4">
        <f>emulator!R$10^2*$A4^2</f>
        <v>3398.4236159999996</v>
      </c>
      <c r="AP4">
        <f>emulator!S$10^2*$A4^2</f>
        <v>4071.971344</v>
      </c>
      <c r="AQ4">
        <f>emulator!T$10^2*$A4^2</f>
        <v>22861.440000000002</v>
      </c>
      <c r="AR4">
        <f>emulator!U$10^2*$A4^2</f>
        <v>163814.4676</v>
      </c>
    </row>
    <row r="5" spans="1:44" x14ac:dyDescent="0.3">
      <c r="A5">
        <f t="shared" si="1"/>
        <v>-13</v>
      </c>
      <c r="B5">
        <f>emulator!C$9*$A5</f>
        <v>16.431999999999999</v>
      </c>
      <c r="C5">
        <f>emulator!D$9*$A5</f>
        <v>36.01</v>
      </c>
      <c r="D5">
        <f>emulator!E$9*$A5</f>
        <v>47.567</v>
      </c>
      <c r="E5">
        <f>emulator!F$9*$A5</f>
        <v>78.415999999999997</v>
      </c>
      <c r="F5">
        <f>emulator!G$9*$A5</f>
        <v>74.13900000000001</v>
      </c>
      <c r="G5">
        <f>emulator!H$9*$A5</f>
        <v>70.772000000000006</v>
      </c>
      <c r="H5">
        <f>emulator!I$9*$A5</f>
        <v>67.652000000000001</v>
      </c>
      <c r="I5">
        <f>emulator!J$9*$A5</f>
        <v>121.498</v>
      </c>
      <c r="J5">
        <f>emulator!K$9*$A5</f>
        <v>162.5</v>
      </c>
      <c r="K5">
        <f>emulator!L$9*$A5</f>
        <v>255.06</v>
      </c>
      <c r="L5">
        <f>emulator!M$9*$A5</f>
        <v>270.40000000000003</v>
      </c>
      <c r="M5">
        <f>emulator!N$9*$A5</f>
        <v>304.33</v>
      </c>
      <c r="N5">
        <f>emulator!O$9*$A5</f>
        <v>409.63</v>
      </c>
      <c r="O5">
        <f>emulator!P$9*$A5</f>
        <v>494.91</v>
      </c>
      <c r="P5">
        <f>emulator!Q$9*$A5</f>
        <v>666.64</v>
      </c>
      <c r="Q5">
        <f>emulator!R$9*$A5</f>
        <v>722.80000000000007</v>
      </c>
      <c r="R5">
        <f>emulator!S$9*$A5</f>
        <v>692.12</v>
      </c>
      <c r="S5">
        <f>emulator!T$9*$A5</f>
        <v>524.67999999999995</v>
      </c>
      <c r="T5">
        <f>emulator!U$9*$A5</f>
        <v>1586</v>
      </c>
      <c r="V5">
        <f>[1]regressions!L103</f>
        <v>0</v>
      </c>
      <c r="W5">
        <f>[1]regressions!M103</f>
        <v>2.1624243051262949E-3</v>
      </c>
      <c r="X5">
        <f t="shared" si="2"/>
        <v>-2.1624243051262949E-3</v>
      </c>
      <c r="Z5">
        <f>emulator!C$10^2*$A5^2</f>
        <v>57.047808999999994</v>
      </c>
      <c r="AA5">
        <f>emulator!D$10^2*$A5^2</f>
        <v>145.85392900000002</v>
      </c>
      <c r="AB5">
        <f>emulator!E$10^2*$A5^2</f>
        <v>103.34755600000001</v>
      </c>
      <c r="AC5">
        <f>emulator!F$10^2*$A5^2</f>
        <v>67.716441000000003</v>
      </c>
      <c r="AD5">
        <f>emulator!G$10^2*$A5^2</f>
        <v>93.547584000000001</v>
      </c>
      <c r="AE5">
        <f>emulator!H$10^2*$A5^2</f>
        <v>97.614400000000003</v>
      </c>
      <c r="AF5">
        <f>emulator!I$10^2*$A5^2</f>
        <v>178.94412899999998</v>
      </c>
      <c r="AG5">
        <f>emulator!J$10^2*$A5^2</f>
        <v>205.97990400000003</v>
      </c>
      <c r="AH5">
        <f>emulator!K$10^2*$A5^2</f>
        <v>251.95212900000004</v>
      </c>
      <c r="AI5">
        <f>emulator!L$10^2*$A5^2</f>
        <v>348.979761</v>
      </c>
      <c r="AJ5">
        <f>emulator!M$10^2*$A5^2</f>
        <v>425.63816099999997</v>
      </c>
      <c r="AK5">
        <f>emulator!N$10^2*$A5^2</f>
        <v>543.91568400000006</v>
      </c>
      <c r="AL5">
        <f>emulator!O$10^2*$A5^2</f>
        <v>1695.0512409999999</v>
      </c>
      <c r="AM5">
        <f>emulator!P$10^2*$A5^2</f>
        <v>3340.6088039999995</v>
      </c>
      <c r="AN5">
        <f>emulator!Q$10^2*$A5^2</f>
        <v>6321.5220639999989</v>
      </c>
      <c r="AO5">
        <f>emulator!R$10^2*$A5^2</f>
        <v>2930.2734239999995</v>
      </c>
      <c r="AP5">
        <f>emulator!S$10^2*$A5^2</f>
        <v>3511.0365160000001</v>
      </c>
      <c r="AQ5">
        <f>emulator!T$10^2*$A5^2</f>
        <v>19712.160000000003</v>
      </c>
      <c r="AR5">
        <f>emulator!U$10^2*$A5^2</f>
        <v>141248.18890000001</v>
      </c>
    </row>
    <row r="6" spans="1:44" x14ac:dyDescent="0.3">
      <c r="A6">
        <f t="shared" si="1"/>
        <v>-12</v>
      </c>
      <c r="B6">
        <f>emulator!C$9*$A6</f>
        <v>15.167999999999999</v>
      </c>
      <c r="C6">
        <f>emulator!D$9*$A6</f>
        <v>33.24</v>
      </c>
      <c r="D6">
        <f>emulator!E$9*$A6</f>
        <v>43.908000000000001</v>
      </c>
      <c r="E6">
        <f>emulator!F$9*$A6</f>
        <v>72.384</v>
      </c>
      <c r="F6">
        <f>emulator!G$9*$A6</f>
        <v>68.436000000000007</v>
      </c>
      <c r="G6">
        <f>emulator!H$9*$A6</f>
        <v>65.328000000000003</v>
      </c>
      <c r="H6">
        <f>emulator!I$9*$A6</f>
        <v>62.447999999999993</v>
      </c>
      <c r="I6">
        <f>emulator!J$9*$A6</f>
        <v>112.152</v>
      </c>
      <c r="J6">
        <f>emulator!K$9*$A6</f>
        <v>150</v>
      </c>
      <c r="K6">
        <f>emulator!L$9*$A6</f>
        <v>235.44</v>
      </c>
      <c r="L6">
        <f>emulator!M$9*$A6</f>
        <v>249.60000000000002</v>
      </c>
      <c r="M6">
        <f>emulator!N$9*$A6</f>
        <v>280.92</v>
      </c>
      <c r="N6">
        <f>emulator!O$9*$A6</f>
        <v>378.12</v>
      </c>
      <c r="O6">
        <f>emulator!P$9*$A6</f>
        <v>456.84000000000003</v>
      </c>
      <c r="P6">
        <f>emulator!Q$9*$A6</f>
        <v>615.36</v>
      </c>
      <c r="Q6">
        <f>emulator!R$9*$A6</f>
        <v>667.2</v>
      </c>
      <c r="R6">
        <f>emulator!S$9*$A6</f>
        <v>638.88</v>
      </c>
      <c r="S6">
        <f>emulator!T$9*$A6</f>
        <v>484.32</v>
      </c>
      <c r="T6">
        <f>emulator!U$9*$A6</f>
        <v>1464</v>
      </c>
      <c r="V6">
        <f>[1]regressions!L104</f>
        <v>2.4390243902439011E-2</v>
      </c>
      <c r="W6">
        <f>[1]regressions!M104</f>
        <v>1.0311817913690592E-4</v>
      </c>
      <c r="X6">
        <f t="shared" si="2"/>
        <v>2.4287125723302105E-2</v>
      </c>
      <c r="Z6">
        <f>emulator!C$10^2*$A6^2</f>
        <v>48.608783999999993</v>
      </c>
      <c r="AA6">
        <f>emulator!D$10^2*$A6^2</f>
        <v>124.27790400000001</v>
      </c>
      <c r="AB6">
        <f>emulator!E$10^2*$A6^2</f>
        <v>88.059456000000011</v>
      </c>
      <c r="AC6">
        <f>emulator!F$10^2*$A6^2</f>
        <v>57.699216</v>
      </c>
      <c r="AD6">
        <f>emulator!G$10^2*$A6^2</f>
        <v>79.709184000000008</v>
      </c>
      <c r="AE6">
        <f>emulator!H$10^2*$A6^2</f>
        <v>83.174400000000006</v>
      </c>
      <c r="AF6">
        <f>emulator!I$10^2*$A6^2</f>
        <v>152.47310399999998</v>
      </c>
      <c r="AG6">
        <f>emulator!J$10^2*$A6^2</f>
        <v>175.50950400000002</v>
      </c>
      <c r="AH6">
        <f>emulator!K$10^2*$A6^2</f>
        <v>214.68110400000003</v>
      </c>
      <c r="AI6">
        <f>emulator!L$10^2*$A6^2</f>
        <v>297.35553600000003</v>
      </c>
      <c r="AJ6">
        <f>emulator!M$10^2*$A6^2</f>
        <v>362.67393599999997</v>
      </c>
      <c r="AK6">
        <f>emulator!N$10^2*$A6^2</f>
        <v>463.45478400000002</v>
      </c>
      <c r="AL6">
        <f>emulator!O$10^2*$A6^2</f>
        <v>1444.3040159999998</v>
      </c>
      <c r="AM6">
        <f>emulator!P$10^2*$A6^2</f>
        <v>2846.4359039999999</v>
      </c>
      <c r="AN6">
        <f>emulator!Q$10^2*$A6^2</f>
        <v>5386.3856639999995</v>
      </c>
      <c r="AO6">
        <f>emulator!R$10^2*$A6^2</f>
        <v>2496.8010239999999</v>
      </c>
      <c r="AP6">
        <f>emulator!S$10^2*$A6^2</f>
        <v>2991.6524159999999</v>
      </c>
      <c r="AQ6">
        <f>emulator!T$10^2*$A6^2</f>
        <v>16796.160000000003</v>
      </c>
      <c r="AR6">
        <f>emulator!U$10^2*$A6^2</f>
        <v>120353.48639999999</v>
      </c>
    </row>
    <row r="7" spans="1:44" x14ac:dyDescent="0.3">
      <c r="A7">
        <f t="shared" si="1"/>
        <v>-11</v>
      </c>
      <c r="B7">
        <f>emulator!C$9*$A7</f>
        <v>13.904</v>
      </c>
      <c r="C7">
        <f>emulator!D$9*$A7</f>
        <v>30.47</v>
      </c>
      <c r="D7">
        <f>emulator!E$9*$A7</f>
        <v>40.248999999999995</v>
      </c>
      <c r="E7">
        <f>emulator!F$9*$A7</f>
        <v>66.352000000000004</v>
      </c>
      <c r="F7">
        <f>emulator!G$9*$A7</f>
        <v>62.733000000000004</v>
      </c>
      <c r="G7">
        <f>emulator!H$9*$A7</f>
        <v>59.884</v>
      </c>
      <c r="H7">
        <f>emulator!I$9*$A7</f>
        <v>57.244</v>
      </c>
      <c r="I7">
        <f>emulator!J$9*$A7</f>
        <v>102.806</v>
      </c>
      <c r="J7">
        <f>emulator!K$9*$A7</f>
        <v>137.5</v>
      </c>
      <c r="K7">
        <f>emulator!L$9*$A7</f>
        <v>215.82000000000002</v>
      </c>
      <c r="L7">
        <f>emulator!M$9*$A7</f>
        <v>228.8</v>
      </c>
      <c r="M7">
        <f>emulator!N$9*$A7</f>
        <v>257.51</v>
      </c>
      <c r="N7">
        <f>emulator!O$9*$A7</f>
        <v>346.61</v>
      </c>
      <c r="O7">
        <f>emulator!P$9*$A7</f>
        <v>418.77</v>
      </c>
      <c r="P7">
        <f>emulator!Q$9*$A7</f>
        <v>564.08000000000004</v>
      </c>
      <c r="Q7">
        <f>emulator!R$9*$A7</f>
        <v>611.6</v>
      </c>
      <c r="R7">
        <f>emulator!S$9*$A7</f>
        <v>585.64</v>
      </c>
      <c r="S7">
        <f>emulator!T$9*$A7</f>
        <v>443.96</v>
      </c>
      <c r="T7">
        <f>emulator!U$9*$A7</f>
        <v>1342</v>
      </c>
      <c r="V7">
        <f>[1]regressions!L105</f>
        <v>0</v>
      </c>
      <c r="W7">
        <f>[1]regressions!M105</f>
        <v>0</v>
      </c>
      <c r="X7">
        <f t="shared" si="2"/>
        <v>0</v>
      </c>
      <c r="Z7">
        <f>emulator!C$10^2*$A7^2</f>
        <v>40.844880999999994</v>
      </c>
      <c r="AA7">
        <f>emulator!D$10^2*$A7^2</f>
        <v>104.42796100000001</v>
      </c>
      <c r="AB7">
        <f>emulator!E$10^2*$A7^2</f>
        <v>73.994404000000003</v>
      </c>
      <c r="AC7">
        <f>emulator!F$10^2*$A7^2</f>
        <v>48.483369000000003</v>
      </c>
      <c r="AD7">
        <f>emulator!G$10^2*$A7^2</f>
        <v>66.977856000000003</v>
      </c>
      <c r="AE7">
        <f>emulator!H$10^2*$A7^2</f>
        <v>69.889600000000002</v>
      </c>
      <c r="AF7">
        <f>emulator!I$10^2*$A7^2</f>
        <v>128.11976099999998</v>
      </c>
      <c r="AG7">
        <f>emulator!J$10^2*$A7^2</f>
        <v>147.47673600000002</v>
      </c>
      <c r="AH7">
        <f>emulator!K$10^2*$A7^2</f>
        <v>180.39176100000003</v>
      </c>
      <c r="AI7">
        <f>emulator!L$10^2*$A7^2</f>
        <v>249.86124900000002</v>
      </c>
      <c r="AJ7">
        <f>emulator!M$10^2*$A7^2</f>
        <v>304.746849</v>
      </c>
      <c r="AK7">
        <f>emulator!N$10^2*$A7^2</f>
        <v>389.43075600000003</v>
      </c>
      <c r="AL7">
        <f>emulator!O$10^2*$A7^2</f>
        <v>1213.6165689999998</v>
      </c>
      <c r="AM7">
        <f>emulator!P$10^2*$A7^2</f>
        <v>2391.796836</v>
      </c>
      <c r="AN7">
        <f>emulator!Q$10^2*$A7^2</f>
        <v>4526.060175999999</v>
      </c>
      <c r="AO7">
        <f>emulator!R$10^2*$A7^2</f>
        <v>2098.0064159999997</v>
      </c>
      <c r="AP7">
        <f>emulator!S$10^2*$A7^2</f>
        <v>2513.8190439999998</v>
      </c>
      <c r="AQ7">
        <f>emulator!T$10^2*$A7^2</f>
        <v>14113.440000000002</v>
      </c>
      <c r="AR7">
        <f>emulator!U$10^2*$A7^2</f>
        <v>101130.36010000001</v>
      </c>
    </row>
    <row r="8" spans="1:44" x14ac:dyDescent="0.3">
      <c r="A8">
        <f t="shared" si="1"/>
        <v>-10</v>
      </c>
      <c r="B8">
        <f>emulator!C$9*$A8</f>
        <v>12.64</v>
      </c>
      <c r="C8">
        <f>emulator!D$9*$A8</f>
        <v>27.7</v>
      </c>
      <c r="D8">
        <f>emulator!E$9*$A8</f>
        <v>36.589999999999996</v>
      </c>
      <c r="E8">
        <f>emulator!F$9*$A8</f>
        <v>60.32</v>
      </c>
      <c r="F8">
        <f>emulator!G$9*$A8</f>
        <v>57.03</v>
      </c>
      <c r="G8">
        <f>emulator!H$9*$A8</f>
        <v>54.44</v>
      </c>
      <c r="H8">
        <f>emulator!I$9*$A8</f>
        <v>52.04</v>
      </c>
      <c r="I8">
        <f>emulator!J$9*$A8</f>
        <v>93.460000000000008</v>
      </c>
      <c r="J8">
        <f>emulator!K$9*$A8</f>
        <v>125</v>
      </c>
      <c r="K8">
        <f>emulator!L$9*$A8</f>
        <v>196.20000000000002</v>
      </c>
      <c r="L8">
        <f>emulator!M$9*$A8</f>
        <v>208</v>
      </c>
      <c r="M8">
        <f>emulator!N$9*$A8</f>
        <v>234.1</v>
      </c>
      <c r="N8">
        <f>emulator!O$9*$A8</f>
        <v>315.10000000000002</v>
      </c>
      <c r="O8">
        <f>emulator!P$9*$A8</f>
        <v>380.7</v>
      </c>
      <c r="P8">
        <f>emulator!Q$9*$A8</f>
        <v>512.79999999999995</v>
      </c>
      <c r="Q8">
        <f>emulator!R$9*$A8</f>
        <v>556</v>
      </c>
      <c r="R8">
        <f>emulator!S$9*$A8</f>
        <v>532.4</v>
      </c>
      <c r="S8">
        <f>emulator!T$9*$A8</f>
        <v>403.6</v>
      </c>
      <c r="T8">
        <f>emulator!U$9*$A8</f>
        <v>1220</v>
      </c>
      <c r="V8">
        <f>[1]regressions!L106</f>
        <v>0</v>
      </c>
      <c r="W8">
        <f>[1]regressions!M106</f>
        <v>2.0745030647295135E-3</v>
      </c>
      <c r="X8">
        <f t="shared" si="2"/>
        <v>-2.0745030647295135E-3</v>
      </c>
      <c r="Z8">
        <f>emulator!C$10^2*$A8^2</f>
        <v>33.756099999999996</v>
      </c>
      <c r="AA8">
        <f>emulator!D$10^2*$A8^2</f>
        <v>86.304100000000005</v>
      </c>
      <c r="AB8">
        <f>emulator!E$10^2*$A8^2</f>
        <v>61.152400000000007</v>
      </c>
      <c r="AC8">
        <f>emulator!F$10^2*$A8^2</f>
        <v>40.068899999999999</v>
      </c>
      <c r="AD8">
        <f>emulator!G$10^2*$A8^2</f>
        <v>55.3536</v>
      </c>
      <c r="AE8">
        <f>emulator!H$10^2*$A8^2</f>
        <v>57.76</v>
      </c>
      <c r="AF8">
        <f>emulator!I$10^2*$A8^2</f>
        <v>105.88409999999999</v>
      </c>
      <c r="AG8">
        <f>emulator!J$10^2*$A8^2</f>
        <v>121.88160000000001</v>
      </c>
      <c r="AH8">
        <f>emulator!K$10^2*$A8^2</f>
        <v>149.08410000000003</v>
      </c>
      <c r="AI8">
        <f>emulator!L$10^2*$A8^2</f>
        <v>206.49690000000001</v>
      </c>
      <c r="AJ8">
        <f>emulator!M$10^2*$A8^2</f>
        <v>251.8569</v>
      </c>
      <c r="AK8">
        <f>emulator!N$10^2*$A8^2</f>
        <v>321.84359999999998</v>
      </c>
      <c r="AL8">
        <f>emulator!O$10^2*$A8^2</f>
        <v>1002.9888999999999</v>
      </c>
      <c r="AM8">
        <f>emulator!P$10^2*$A8^2</f>
        <v>1976.6915999999999</v>
      </c>
      <c r="AN8">
        <f>emulator!Q$10^2*$A8^2</f>
        <v>3740.5455999999995</v>
      </c>
      <c r="AO8">
        <f>emulator!R$10^2*$A8^2</f>
        <v>1733.8895999999997</v>
      </c>
      <c r="AP8">
        <f>emulator!S$10^2*$A8^2</f>
        <v>2077.5364</v>
      </c>
      <c r="AQ8">
        <f>emulator!T$10^2*$A8^2</f>
        <v>11664.000000000002</v>
      </c>
      <c r="AR8">
        <f>emulator!U$10^2*$A8^2</f>
        <v>83578.81</v>
      </c>
    </row>
    <row r="9" spans="1:44" x14ac:dyDescent="0.3">
      <c r="A9">
        <f t="shared" si="1"/>
        <v>-9</v>
      </c>
      <c r="B9">
        <f>emulator!C$9*$A9</f>
        <v>11.375999999999999</v>
      </c>
      <c r="C9">
        <f>emulator!D$9*$A9</f>
        <v>24.93</v>
      </c>
      <c r="D9">
        <f>emulator!E$9*$A9</f>
        <v>32.930999999999997</v>
      </c>
      <c r="E9">
        <f>emulator!F$9*$A9</f>
        <v>54.287999999999997</v>
      </c>
      <c r="F9">
        <f>emulator!G$9*$A9</f>
        <v>51.327000000000005</v>
      </c>
      <c r="G9">
        <f>emulator!H$9*$A9</f>
        <v>48.996000000000002</v>
      </c>
      <c r="H9">
        <f>emulator!I$9*$A9</f>
        <v>46.835999999999999</v>
      </c>
      <c r="I9">
        <f>emulator!J$9*$A9</f>
        <v>84.114000000000004</v>
      </c>
      <c r="J9">
        <f>emulator!K$9*$A9</f>
        <v>112.5</v>
      </c>
      <c r="K9">
        <f>emulator!L$9*$A9</f>
        <v>176.58</v>
      </c>
      <c r="L9">
        <f>emulator!M$9*$A9</f>
        <v>187.20000000000002</v>
      </c>
      <c r="M9">
        <f>emulator!N$9*$A9</f>
        <v>210.69</v>
      </c>
      <c r="N9">
        <f>emulator!O$9*$A9</f>
        <v>283.59000000000003</v>
      </c>
      <c r="O9">
        <f>emulator!P$9*$A9</f>
        <v>342.63</v>
      </c>
      <c r="P9">
        <f>emulator!Q$9*$A9</f>
        <v>461.52</v>
      </c>
      <c r="Q9">
        <f>emulator!R$9*$A9</f>
        <v>500.40000000000003</v>
      </c>
      <c r="R9">
        <f>emulator!S$9*$A9</f>
        <v>479.16</v>
      </c>
      <c r="S9">
        <f>emulator!T$9*$A9</f>
        <v>363.24</v>
      </c>
      <c r="T9">
        <f>emulator!U$9*$A9</f>
        <v>1098</v>
      </c>
      <c r="V9">
        <f>[1]regressions!L107</f>
        <v>0</v>
      </c>
      <c r="W9">
        <f>[1]regressions!M107</f>
        <v>4.3840768131694595E-3</v>
      </c>
      <c r="X9">
        <f t="shared" si="2"/>
        <v>-4.3840768131694595E-3</v>
      </c>
      <c r="Z9">
        <f>emulator!C$10^2*$A9^2</f>
        <v>27.342440999999994</v>
      </c>
      <c r="AA9">
        <f>emulator!D$10^2*$A9^2</f>
        <v>69.906321000000005</v>
      </c>
      <c r="AB9">
        <f>emulator!E$10^2*$A9^2</f>
        <v>49.533444000000003</v>
      </c>
      <c r="AC9">
        <f>emulator!F$10^2*$A9^2</f>
        <v>32.455809000000002</v>
      </c>
      <c r="AD9">
        <f>emulator!G$10^2*$A9^2</f>
        <v>44.836416</v>
      </c>
      <c r="AE9">
        <f>emulator!H$10^2*$A9^2</f>
        <v>46.785600000000002</v>
      </c>
      <c r="AF9">
        <f>emulator!I$10^2*$A9^2</f>
        <v>85.766120999999998</v>
      </c>
      <c r="AG9">
        <f>emulator!J$10^2*$A9^2</f>
        <v>98.724096000000003</v>
      </c>
      <c r="AH9">
        <f>emulator!K$10^2*$A9^2</f>
        <v>120.75812100000003</v>
      </c>
      <c r="AI9">
        <f>emulator!L$10^2*$A9^2</f>
        <v>167.26248900000002</v>
      </c>
      <c r="AJ9">
        <f>emulator!M$10^2*$A9^2</f>
        <v>204.00408899999999</v>
      </c>
      <c r="AK9">
        <f>emulator!N$10^2*$A9^2</f>
        <v>260.69331599999998</v>
      </c>
      <c r="AL9">
        <f>emulator!O$10^2*$A9^2</f>
        <v>812.42100899999991</v>
      </c>
      <c r="AM9">
        <f>emulator!P$10^2*$A9^2</f>
        <v>1601.1201959999999</v>
      </c>
      <c r="AN9">
        <f>emulator!Q$10^2*$A9^2</f>
        <v>3029.8419359999994</v>
      </c>
      <c r="AO9">
        <f>emulator!R$10^2*$A9^2</f>
        <v>1404.450576</v>
      </c>
      <c r="AP9">
        <f>emulator!S$10^2*$A9^2</f>
        <v>1682.804484</v>
      </c>
      <c r="AQ9">
        <f>emulator!T$10^2*$A9^2</f>
        <v>9447.840000000002</v>
      </c>
      <c r="AR9">
        <f>emulator!U$10^2*$A9^2</f>
        <v>67698.8361</v>
      </c>
    </row>
    <row r="10" spans="1:44" x14ac:dyDescent="0.3">
      <c r="A10">
        <f t="shared" si="1"/>
        <v>-8</v>
      </c>
      <c r="B10">
        <f>emulator!C$9*$A10</f>
        <v>10.112</v>
      </c>
      <c r="C10">
        <f>emulator!D$9*$A10</f>
        <v>22.16</v>
      </c>
      <c r="D10">
        <f>emulator!E$9*$A10</f>
        <v>29.271999999999998</v>
      </c>
      <c r="E10">
        <f>emulator!F$9*$A10</f>
        <v>48.256</v>
      </c>
      <c r="F10">
        <f>emulator!G$9*$A10</f>
        <v>45.624000000000002</v>
      </c>
      <c r="G10">
        <f>emulator!H$9*$A10</f>
        <v>43.552</v>
      </c>
      <c r="H10">
        <f>emulator!I$9*$A10</f>
        <v>41.631999999999998</v>
      </c>
      <c r="I10">
        <f>emulator!J$9*$A10</f>
        <v>74.768000000000001</v>
      </c>
      <c r="J10">
        <f>emulator!K$9*$A10</f>
        <v>100</v>
      </c>
      <c r="K10">
        <f>emulator!L$9*$A10</f>
        <v>156.96</v>
      </c>
      <c r="L10">
        <f>emulator!M$9*$A10</f>
        <v>166.4</v>
      </c>
      <c r="M10">
        <f>emulator!N$9*$A10</f>
        <v>187.28</v>
      </c>
      <c r="N10">
        <f>emulator!O$9*$A10</f>
        <v>252.08</v>
      </c>
      <c r="O10">
        <f>emulator!P$9*$A10</f>
        <v>304.56</v>
      </c>
      <c r="P10">
        <f>emulator!Q$9*$A10</f>
        <v>410.24</v>
      </c>
      <c r="Q10">
        <f>emulator!R$9*$A10</f>
        <v>444.8</v>
      </c>
      <c r="R10">
        <f>emulator!S$9*$A10</f>
        <v>425.92</v>
      </c>
      <c r="S10">
        <f>emulator!T$9*$A10</f>
        <v>322.88</v>
      </c>
      <c r="T10">
        <f>emulator!U$9*$A10</f>
        <v>976</v>
      </c>
      <c r="V10">
        <f>[1]regressions!L108</f>
        <v>0</v>
      </c>
      <c r="W10">
        <f>[1]regressions!M108</f>
        <v>2.9820322591846099E-3</v>
      </c>
      <c r="X10">
        <f t="shared" si="2"/>
        <v>-2.9820322591846099E-3</v>
      </c>
      <c r="Z10">
        <f>emulator!C$10^2*$A10^2</f>
        <v>21.603903999999996</v>
      </c>
      <c r="AA10">
        <f>emulator!D$10^2*$A10^2</f>
        <v>55.234624000000004</v>
      </c>
      <c r="AB10">
        <f>emulator!E$10^2*$A10^2</f>
        <v>39.137536000000004</v>
      </c>
      <c r="AC10">
        <f>emulator!F$10^2*$A10^2</f>
        <v>25.644096000000001</v>
      </c>
      <c r="AD10">
        <f>emulator!G$10^2*$A10^2</f>
        <v>35.426304000000002</v>
      </c>
      <c r="AE10">
        <f>emulator!H$10^2*$A10^2</f>
        <v>36.9664</v>
      </c>
      <c r="AF10">
        <f>emulator!I$10^2*$A10^2</f>
        <v>67.765823999999995</v>
      </c>
      <c r="AG10">
        <f>emulator!J$10^2*$A10^2</f>
        <v>78.004224000000008</v>
      </c>
      <c r="AH10">
        <f>emulator!K$10^2*$A10^2</f>
        <v>95.41382400000002</v>
      </c>
      <c r="AI10">
        <f>emulator!L$10^2*$A10^2</f>
        <v>132.158016</v>
      </c>
      <c r="AJ10">
        <f>emulator!M$10^2*$A10^2</f>
        <v>161.18841599999999</v>
      </c>
      <c r="AK10">
        <f>emulator!N$10^2*$A10^2</f>
        <v>205.979904</v>
      </c>
      <c r="AL10">
        <f>emulator!O$10^2*$A10^2</f>
        <v>641.91289599999993</v>
      </c>
      <c r="AM10">
        <f>emulator!P$10^2*$A10^2</f>
        <v>1265.0826239999999</v>
      </c>
      <c r="AN10">
        <f>emulator!Q$10^2*$A10^2</f>
        <v>2393.9491839999996</v>
      </c>
      <c r="AO10">
        <f>emulator!R$10^2*$A10^2</f>
        <v>1109.6893439999999</v>
      </c>
      <c r="AP10">
        <f>emulator!S$10^2*$A10^2</f>
        <v>1329.623296</v>
      </c>
      <c r="AQ10">
        <f>emulator!T$10^2*$A10^2</f>
        <v>7464.9600000000009</v>
      </c>
      <c r="AR10">
        <f>emulator!U$10^2*$A10^2</f>
        <v>53490.438399999999</v>
      </c>
    </row>
    <row r="11" spans="1:44" x14ac:dyDescent="0.3">
      <c r="A11">
        <f t="shared" si="1"/>
        <v>-7</v>
      </c>
      <c r="B11">
        <f>emulator!C$9*$A11</f>
        <v>8.8480000000000008</v>
      </c>
      <c r="C11">
        <f>emulator!D$9*$A11</f>
        <v>19.39</v>
      </c>
      <c r="D11">
        <f>emulator!E$9*$A11</f>
        <v>25.613</v>
      </c>
      <c r="E11">
        <f>emulator!F$9*$A11</f>
        <v>42.224000000000004</v>
      </c>
      <c r="F11">
        <f>emulator!G$9*$A11</f>
        <v>39.920999999999999</v>
      </c>
      <c r="G11">
        <f>emulator!H$9*$A11</f>
        <v>38.107999999999997</v>
      </c>
      <c r="H11">
        <f>emulator!I$9*$A11</f>
        <v>36.427999999999997</v>
      </c>
      <c r="I11">
        <f>emulator!J$9*$A11</f>
        <v>65.421999999999997</v>
      </c>
      <c r="J11">
        <f>emulator!K$9*$A11</f>
        <v>87.5</v>
      </c>
      <c r="K11">
        <f>emulator!L$9*$A11</f>
        <v>137.34</v>
      </c>
      <c r="L11">
        <f>emulator!M$9*$A11</f>
        <v>145.6</v>
      </c>
      <c r="M11">
        <f>emulator!N$9*$A11</f>
        <v>163.87</v>
      </c>
      <c r="N11">
        <f>emulator!O$9*$A11</f>
        <v>220.57000000000002</v>
      </c>
      <c r="O11">
        <f>emulator!P$9*$A11</f>
        <v>266.49</v>
      </c>
      <c r="P11">
        <f>emulator!Q$9*$A11</f>
        <v>358.96000000000004</v>
      </c>
      <c r="Q11">
        <f>emulator!R$9*$A11</f>
        <v>389.2</v>
      </c>
      <c r="R11">
        <f>emulator!S$9*$A11</f>
        <v>372.68</v>
      </c>
      <c r="S11">
        <f>emulator!T$9*$A11</f>
        <v>282.52</v>
      </c>
      <c r="T11">
        <f>emulator!U$9*$A11</f>
        <v>854</v>
      </c>
      <c r="V11">
        <f>[1]regressions!L109</f>
        <v>5.4878048780487777E-2</v>
      </c>
      <c r="W11">
        <f>[1]regressions!M109</f>
        <v>7.5450705925890465E-3</v>
      </c>
      <c r="X11">
        <f t="shared" si="2"/>
        <v>4.7332978187898729E-2</v>
      </c>
      <c r="Z11">
        <f>emulator!C$10^2*$A11^2</f>
        <v>16.540488999999997</v>
      </c>
      <c r="AA11">
        <f>emulator!D$10^2*$A11^2</f>
        <v>42.289009</v>
      </c>
      <c r="AB11">
        <f>emulator!E$10^2*$A11^2</f>
        <v>29.964676000000004</v>
      </c>
      <c r="AC11">
        <f>emulator!F$10^2*$A11^2</f>
        <v>19.633761</v>
      </c>
      <c r="AD11">
        <f>emulator!G$10^2*$A11^2</f>
        <v>27.123264000000002</v>
      </c>
      <c r="AE11">
        <f>emulator!H$10^2*$A11^2</f>
        <v>28.302399999999999</v>
      </c>
      <c r="AF11">
        <f>emulator!I$10^2*$A11^2</f>
        <v>51.883208999999994</v>
      </c>
      <c r="AG11">
        <f>emulator!J$10^2*$A11^2</f>
        <v>59.721984000000006</v>
      </c>
      <c r="AH11">
        <f>emulator!K$10^2*$A11^2</f>
        <v>73.051209000000014</v>
      </c>
      <c r="AI11">
        <f>emulator!L$10^2*$A11^2</f>
        <v>101.183481</v>
      </c>
      <c r="AJ11">
        <f>emulator!M$10^2*$A11^2</f>
        <v>123.409881</v>
      </c>
      <c r="AK11">
        <f>emulator!N$10^2*$A11^2</f>
        <v>157.70336399999999</v>
      </c>
      <c r="AL11">
        <f>emulator!O$10^2*$A11^2</f>
        <v>491.46456099999995</v>
      </c>
      <c r="AM11">
        <f>emulator!P$10^2*$A11^2</f>
        <v>968.5788839999999</v>
      </c>
      <c r="AN11">
        <f>emulator!Q$10^2*$A11^2</f>
        <v>1832.8673439999998</v>
      </c>
      <c r="AO11">
        <f>emulator!R$10^2*$A11^2</f>
        <v>849.6059039999999</v>
      </c>
      <c r="AP11">
        <f>emulator!S$10^2*$A11^2</f>
        <v>1017.992836</v>
      </c>
      <c r="AQ11">
        <f>emulator!T$10^2*$A11^2</f>
        <v>5715.3600000000006</v>
      </c>
      <c r="AR11">
        <f>emulator!U$10^2*$A11^2</f>
        <v>40953.616900000001</v>
      </c>
    </row>
    <row r="12" spans="1:44" x14ac:dyDescent="0.3">
      <c r="A12">
        <f t="shared" si="1"/>
        <v>-6</v>
      </c>
      <c r="B12">
        <f>emulator!C$9*$A12</f>
        <v>7.5839999999999996</v>
      </c>
      <c r="C12">
        <f>emulator!D$9*$A12</f>
        <v>16.62</v>
      </c>
      <c r="D12">
        <f>emulator!E$9*$A12</f>
        <v>21.954000000000001</v>
      </c>
      <c r="E12">
        <f>emulator!F$9*$A12</f>
        <v>36.192</v>
      </c>
      <c r="F12">
        <f>emulator!G$9*$A12</f>
        <v>34.218000000000004</v>
      </c>
      <c r="G12">
        <f>emulator!H$9*$A12</f>
        <v>32.664000000000001</v>
      </c>
      <c r="H12">
        <f>emulator!I$9*$A12</f>
        <v>31.223999999999997</v>
      </c>
      <c r="I12">
        <f>emulator!J$9*$A12</f>
        <v>56.076000000000001</v>
      </c>
      <c r="J12">
        <f>emulator!K$9*$A12</f>
        <v>75</v>
      </c>
      <c r="K12">
        <f>emulator!L$9*$A12</f>
        <v>117.72</v>
      </c>
      <c r="L12">
        <f>emulator!M$9*$A12</f>
        <v>124.80000000000001</v>
      </c>
      <c r="M12">
        <f>emulator!N$9*$A12</f>
        <v>140.46</v>
      </c>
      <c r="N12">
        <f>emulator!O$9*$A12</f>
        <v>189.06</v>
      </c>
      <c r="O12">
        <f>emulator!P$9*$A12</f>
        <v>228.42000000000002</v>
      </c>
      <c r="P12">
        <f>emulator!Q$9*$A12</f>
        <v>307.68</v>
      </c>
      <c r="Q12">
        <f>emulator!R$9*$A12</f>
        <v>333.6</v>
      </c>
      <c r="R12">
        <f>emulator!S$9*$A12</f>
        <v>319.44</v>
      </c>
      <c r="S12">
        <f>emulator!T$9*$A12</f>
        <v>242.16</v>
      </c>
      <c r="T12">
        <f>emulator!U$9*$A12</f>
        <v>732</v>
      </c>
      <c r="V12">
        <f>[1]regressions!L110</f>
        <v>6.0975609756097528E-3</v>
      </c>
      <c r="W12">
        <f>[1]regressions!M110</f>
        <v>9.3313264363675208E-2</v>
      </c>
      <c r="X12">
        <f t="shared" si="2"/>
        <v>-8.721570338806546E-2</v>
      </c>
      <c r="Z12">
        <f>emulator!C$10^2*$A12^2</f>
        <v>12.152195999999998</v>
      </c>
      <c r="AA12">
        <f>emulator!D$10^2*$A12^2</f>
        <v>31.069476000000002</v>
      </c>
      <c r="AB12">
        <f>emulator!E$10^2*$A12^2</f>
        <v>22.014864000000003</v>
      </c>
      <c r="AC12">
        <f>emulator!F$10^2*$A12^2</f>
        <v>14.424804</v>
      </c>
      <c r="AD12">
        <f>emulator!G$10^2*$A12^2</f>
        <v>19.927296000000002</v>
      </c>
      <c r="AE12">
        <f>emulator!H$10^2*$A12^2</f>
        <v>20.793600000000001</v>
      </c>
      <c r="AF12">
        <f>emulator!I$10^2*$A12^2</f>
        <v>38.118275999999994</v>
      </c>
      <c r="AG12">
        <f>emulator!J$10^2*$A12^2</f>
        <v>43.877376000000005</v>
      </c>
      <c r="AH12">
        <f>emulator!K$10^2*$A12^2</f>
        <v>53.670276000000008</v>
      </c>
      <c r="AI12">
        <f>emulator!L$10^2*$A12^2</f>
        <v>74.338884000000007</v>
      </c>
      <c r="AJ12">
        <f>emulator!M$10^2*$A12^2</f>
        <v>90.668483999999992</v>
      </c>
      <c r="AK12">
        <f>emulator!N$10^2*$A12^2</f>
        <v>115.863696</v>
      </c>
      <c r="AL12">
        <f>emulator!O$10^2*$A12^2</f>
        <v>361.07600399999995</v>
      </c>
      <c r="AM12">
        <f>emulator!P$10^2*$A12^2</f>
        <v>711.60897599999998</v>
      </c>
      <c r="AN12">
        <f>emulator!Q$10^2*$A12^2</f>
        <v>1346.5964159999999</v>
      </c>
      <c r="AO12">
        <f>emulator!R$10^2*$A12^2</f>
        <v>624.20025599999997</v>
      </c>
      <c r="AP12">
        <f>emulator!S$10^2*$A12^2</f>
        <v>747.91310399999998</v>
      </c>
      <c r="AQ12">
        <f>emulator!T$10^2*$A12^2</f>
        <v>4199.0400000000009</v>
      </c>
      <c r="AR12">
        <f>emulator!U$10^2*$A12^2</f>
        <v>30088.371599999999</v>
      </c>
    </row>
    <row r="13" spans="1:44" x14ac:dyDescent="0.3">
      <c r="A13">
        <f t="shared" si="1"/>
        <v>-5</v>
      </c>
      <c r="B13">
        <f>emulator!C$9*$A13</f>
        <v>6.32</v>
      </c>
      <c r="C13">
        <f>emulator!D$9*$A13</f>
        <v>13.85</v>
      </c>
      <c r="D13">
        <f>emulator!E$9*$A13</f>
        <v>18.294999999999998</v>
      </c>
      <c r="E13">
        <f>emulator!F$9*$A13</f>
        <v>30.16</v>
      </c>
      <c r="F13">
        <f>emulator!G$9*$A13</f>
        <v>28.515000000000001</v>
      </c>
      <c r="G13">
        <f>emulator!H$9*$A13</f>
        <v>27.22</v>
      </c>
      <c r="H13">
        <f>emulator!I$9*$A13</f>
        <v>26.02</v>
      </c>
      <c r="I13">
        <f>emulator!J$9*$A13</f>
        <v>46.730000000000004</v>
      </c>
      <c r="J13">
        <f>emulator!K$9*$A13</f>
        <v>62.5</v>
      </c>
      <c r="K13">
        <f>emulator!L$9*$A13</f>
        <v>98.100000000000009</v>
      </c>
      <c r="L13">
        <f>emulator!M$9*$A13</f>
        <v>104</v>
      </c>
      <c r="M13">
        <f>emulator!N$9*$A13</f>
        <v>117.05</v>
      </c>
      <c r="N13">
        <f>emulator!O$9*$A13</f>
        <v>157.55000000000001</v>
      </c>
      <c r="O13">
        <f>emulator!P$9*$A13</f>
        <v>190.35</v>
      </c>
      <c r="P13">
        <f>emulator!Q$9*$A13</f>
        <v>256.39999999999998</v>
      </c>
      <c r="Q13">
        <f>emulator!R$9*$A13</f>
        <v>278</v>
      </c>
      <c r="R13">
        <f>emulator!S$9*$A13</f>
        <v>266.2</v>
      </c>
      <c r="S13">
        <f>emulator!T$9*$A13</f>
        <v>201.8</v>
      </c>
      <c r="T13">
        <f>emulator!U$9*$A13</f>
        <v>610</v>
      </c>
      <c r="V13">
        <f>[1]regressions!L111</f>
        <v>4.8780487804878023E-2</v>
      </c>
      <c r="W13">
        <f>[1]regressions!M111</f>
        <v>3.9852001180634568E-2</v>
      </c>
      <c r="X13">
        <f t="shared" si="2"/>
        <v>8.9284866242434549E-3</v>
      </c>
      <c r="Z13">
        <f>emulator!C$10^2*$A13^2</f>
        <v>8.4390249999999991</v>
      </c>
      <c r="AA13">
        <f>emulator!D$10^2*$A13^2</f>
        <v>21.576025000000001</v>
      </c>
      <c r="AB13">
        <f>emulator!E$10^2*$A13^2</f>
        <v>15.288100000000002</v>
      </c>
      <c r="AC13">
        <f>emulator!F$10^2*$A13^2</f>
        <v>10.017225</v>
      </c>
      <c r="AD13">
        <f>emulator!G$10^2*$A13^2</f>
        <v>13.8384</v>
      </c>
      <c r="AE13">
        <f>emulator!H$10^2*$A13^2</f>
        <v>14.44</v>
      </c>
      <c r="AF13">
        <f>emulator!I$10^2*$A13^2</f>
        <v>26.471024999999997</v>
      </c>
      <c r="AG13">
        <f>emulator!J$10^2*$A13^2</f>
        <v>30.470400000000001</v>
      </c>
      <c r="AH13">
        <f>emulator!K$10^2*$A13^2</f>
        <v>37.271025000000009</v>
      </c>
      <c r="AI13">
        <f>emulator!L$10^2*$A13^2</f>
        <v>51.624225000000003</v>
      </c>
      <c r="AJ13">
        <f>emulator!M$10^2*$A13^2</f>
        <v>62.964224999999999</v>
      </c>
      <c r="AK13">
        <f>emulator!N$10^2*$A13^2</f>
        <v>80.460899999999995</v>
      </c>
      <c r="AL13">
        <f>emulator!O$10^2*$A13^2</f>
        <v>250.74722499999999</v>
      </c>
      <c r="AM13">
        <f>emulator!P$10^2*$A13^2</f>
        <v>494.17289999999997</v>
      </c>
      <c r="AN13">
        <f>emulator!Q$10^2*$A13^2</f>
        <v>935.13639999999987</v>
      </c>
      <c r="AO13">
        <f>emulator!R$10^2*$A13^2</f>
        <v>433.47239999999994</v>
      </c>
      <c r="AP13">
        <f>emulator!S$10^2*$A13^2</f>
        <v>519.38409999999999</v>
      </c>
      <c r="AQ13">
        <f>emulator!T$10^2*$A13^2</f>
        <v>2916.0000000000005</v>
      </c>
      <c r="AR13">
        <f>emulator!U$10^2*$A13^2</f>
        <v>20894.702499999999</v>
      </c>
    </row>
    <row r="14" spans="1:44" x14ac:dyDescent="0.3">
      <c r="A14">
        <f t="shared" si="1"/>
        <v>-4</v>
      </c>
      <c r="B14">
        <f>emulator!C$9*$A14</f>
        <v>5.056</v>
      </c>
      <c r="C14">
        <f>emulator!D$9*$A14</f>
        <v>11.08</v>
      </c>
      <c r="D14">
        <f>emulator!E$9*$A14</f>
        <v>14.635999999999999</v>
      </c>
      <c r="E14">
        <f>emulator!F$9*$A14</f>
        <v>24.128</v>
      </c>
      <c r="F14">
        <f>emulator!G$9*$A14</f>
        <v>22.812000000000001</v>
      </c>
      <c r="G14">
        <f>emulator!H$9*$A14</f>
        <v>21.776</v>
      </c>
      <c r="H14">
        <f>emulator!I$9*$A14</f>
        <v>20.815999999999999</v>
      </c>
      <c r="I14">
        <f>emulator!J$9*$A14</f>
        <v>37.384</v>
      </c>
      <c r="J14">
        <f>emulator!K$9*$A14</f>
        <v>50</v>
      </c>
      <c r="K14">
        <f>emulator!L$9*$A14</f>
        <v>78.48</v>
      </c>
      <c r="L14">
        <f>emulator!M$9*$A14</f>
        <v>83.2</v>
      </c>
      <c r="M14">
        <f>emulator!N$9*$A14</f>
        <v>93.64</v>
      </c>
      <c r="N14">
        <f>emulator!O$9*$A14</f>
        <v>126.04</v>
      </c>
      <c r="O14">
        <f>emulator!P$9*$A14</f>
        <v>152.28</v>
      </c>
      <c r="P14">
        <f>emulator!Q$9*$A14</f>
        <v>205.12</v>
      </c>
      <c r="Q14">
        <f>emulator!R$9*$A14</f>
        <v>222.4</v>
      </c>
      <c r="R14">
        <f>emulator!S$9*$A14</f>
        <v>212.96</v>
      </c>
      <c r="S14">
        <f>emulator!T$9*$A14</f>
        <v>161.44</v>
      </c>
      <c r="T14">
        <f>emulator!U$9*$A14</f>
        <v>488</v>
      </c>
      <c r="V14">
        <f>[1]regressions!L112</f>
        <v>8.5365853658536536E-2</v>
      </c>
      <c r="W14">
        <f>[1]regressions!M112</f>
        <v>1.8941447759349635E-2</v>
      </c>
      <c r="X14">
        <f t="shared" si="2"/>
        <v>6.6424405899186897E-2</v>
      </c>
      <c r="Z14">
        <f>emulator!C$10^2*$A14^2</f>
        <v>5.4009759999999991</v>
      </c>
      <c r="AA14">
        <f>emulator!D$10^2*$A14^2</f>
        <v>13.808656000000001</v>
      </c>
      <c r="AB14">
        <f>emulator!E$10^2*$A14^2</f>
        <v>9.7843840000000011</v>
      </c>
      <c r="AC14">
        <f>emulator!F$10^2*$A14^2</f>
        <v>6.4110240000000003</v>
      </c>
      <c r="AD14">
        <f>emulator!G$10^2*$A14^2</f>
        <v>8.8565760000000004</v>
      </c>
      <c r="AE14">
        <f>emulator!H$10^2*$A14^2</f>
        <v>9.2416</v>
      </c>
      <c r="AF14">
        <f>emulator!I$10^2*$A14^2</f>
        <v>16.941455999999999</v>
      </c>
      <c r="AG14">
        <f>emulator!J$10^2*$A14^2</f>
        <v>19.501056000000002</v>
      </c>
      <c r="AH14">
        <f>emulator!K$10^2*$A14^2</f>
        <v>23.853456000000005</v>
      </c>
      <c r="AI14">
        <f>emulator!L$10^2*$A14^2</f>
        <v>33.039504000000001</v>
      </c>
      <c r="AJ14">
        <f>emulator!M$10^2*$A14^2</f>
        <v>40.297103999999997</v>
      </c>
      <c r="AK14">
        <f>emulator!N$10^2*$A14^2</f>
        <v>51.494976000000001</v>
      </c>
      <c r="AL14">
        <f>emulator!O$10^2*$A14^2</f>
        <v>160.47822399999998</v>
      </c>
      <c r="AM14">
        <f>emulator!P$10^2*$A14^2</f>
        <v>316.27065599999997</v>
      </c>
      <c r="AN14">
        <f>emulator!Q$10^2*$A14^2</f>
        <v>598.4872959999999</v>
      </c>
      <c r="AO14">
        <f>emulator!R$10^2*$A14^2</f>
        <v>277.42233599999997</v>
      </c>
      <c r="AP14">
        <f>emulator!S$10^2*$A14^2</f>
        <v>332.405824</v>
      </c>
      <c r="AQ14">
        <f>emulator!T$10^2*$A14^2</f>
        <v>1866.2400000000002</v>
      </c>
      <c r="AR14">
        <f>emulator!U$10^2*$A14^2</f>
        <v>13372.6096</v>
      </c>
    </row>
    <row r="15" spans="1:44" x14ac:dyDescent="0.3">
      <c r="A15">
        <f t="shared" si="1"/>
        <v>-3</v>
      </c>
      <c r="B15">
        <f>emulator!C$9*$A15</f>
        <v>3.7919999999999998</v>
      </c>
      <c r="C15">
        <f>emulator!D$9*$A15</f>
        <v>8.31</v>
      </c>
      <c r="D15">
        <f>emulator!E$9*$A15</f>
        <v>10.977</v>
      </c>
      <c r="E15">
        <f>emulator!F$9*$A15</f>
        <v>18.096</v>
      </c>
      <c r="F15">
        <f>emulator!G$9*$A15</f>
        <v>17.109000000000002</v>
      </c>
      <c r="G15">
        <f>emulator!H$9*$A15</f>
        <v>16.332000000000001</v>
      </c>
      <c r="H15">
        <f>emulator!I$9*$A15</f>
        <v>15.611999999999998</v>
      </c>
      <c r="I15">
        <f>emulator!J$9*$A15</f>
        <v>28.038</v>
      </c>
      <c r="J15">
        <f>emulator!K$9*$A15</f>
        <v>37.5</v>
      </c>
      <c r="K15">
        <f>emulator!L$9*$A15</f>
        <v>58.86</v>
      </c>
      <c r="L15">
        <f>emulator!M$9*$A15</f>
        <v>62.400000000000006</v>
      </c>
      <c r="M15">
        <f>emulator!N$9*$A15</f>
        <v>70.23</v>
      </c>
      <c r="N15">
        <f>emulator!O$9*$A15</f>
        <v>94.53</v>
      </c>
      <c r="O15">
        <f>emulator!P$9*$A15</f>
        <v>114.21000000000001</v>
      </c>
      <c r="P15">
        <f>emulator!Q$9*$A15</f>
        <v>153.84</v>
      </c>
      <c r="Q15">
        <f>emulator!R$9*$A15</f>
        <v>166.8</v>
      </c>
      <c r="R15">
        <f>emulator!S$9*$A15</f>
        <v>159.72</v>
      </c>
      <c r="S15">
        <f>emulator!T$9*$A15</f>
        <v>121.08</v>
      </c>
      <c r="T15">
        <f>emulator!U$9*$A15</f>
        <v>366</v>
      </c>
      <c r="V15">
        <f>[1]regressions!L113</f>
        <v>8.9430894308943035E-2</v>
      </c>
      <c r="W15">
        <f>[1]regressions!M113</f>
        <v>5.8607039812098333E-2</v>
      </c>
      <c r="X15">
        <f t="shared" si="2"/>
        <v>3.0823854496844702E-2</v>
      </c>
      <c r="Z15">
        <f>emulator!C$10^2*$A15^2</f>
        <v>3.0380489999999996</v>
      </c>
      <c r="AA15">
        <f>emulator!D$10^2*$A15^2</f>
        <v>7.7673690000000004</v>
      </c>
      <c r="AB15">
        <f>emulator!E$10^2*$A15^2</f>
        <v>5.5037160000000007</v>
      </c>
      <c r="AC15">
        <f>emulator!F$10^2*$A15^2</f>
        <v>3.606201</v>
      </c>
      <c r="AD15">
        <f>emulator!G$10^2*$A15^2</f>
        <v>4.9818240000000005</v>
      </c>
      <c r="AE15">
        <f>emulator!H$10^2*$A15^2</f>
        <v>5.1984000000000004</v>
      </c>
      <c r="AF15">
        <f>emulator!I$10^2*$A15^2</f>
        <v>9.5295689999999986</v>
      </c>
      <c r="AG15">
        <f>emulator!J$10^2*$A15^2</f>
        <v>10.969344000000001</v>
      </c>
      <c r="AH15">
        <f>emulator!K$10^2*$A15^2</f>
        <v>13.417569000000002</v>
      </c>
      <c r="AI15">
        <f>emulator!L$10^2*$A15^2</f>
        <v>18.584721000000002</v>
      </c>
      <c r="AJ15">
        <f>emulator!M$10^2*$A15^2</f>
        <v>22.667120999999998</v>
      </c>
      <c r="AK15">
        <f>emulator!N$10^2*$A15^2</f>
        <v>28.965924000000001</v>
      </c>
      <c r="AL15">
        <f>emulator!O$10^2*$A15^2</f>
        <v>90.269000999999989</v>
      </c>
      <c r="AM15">
        <f>emulator!P$10^2*$A15^2</f>
        <v>177.902244</v>
      </c>
      <c r="AN15">
        <f>emulator!Q$10^2*$A15^2</f>
        <v>336.64910399999997</v>
      </c>
      <c r="AO15">
        <f>emulator!R$10^2*$A15^2</f>
        <v>156.05006399999999</v>
      </c>
      <c r="AP15">
        <f>emulator!S$10^2*$A15^2</f>
        <v>186.97827599999999</v>
      </c>
      <c r="AQ15">
        <f>emulator!T$10^2*$A15^2</f>
        <v>1049.7600000000002</v>
      </c>
      <c r="AR15">
        <f>emulator!U$10^2*$A15^2</f>
        <v>7522.0928999999996</v>
      </c>
    </row>
    <row r="16" spans="1:44" x14ac:dyDescent="0.3">
      <c r="A16">
        <f t="shared" si="1"/>
        <v>-2</v>
      </c>
      <c r="B16">
        <f>emulator!C$9*$A16</f>
        <v>2.528</v>
      </c>
      <c r="C16">
        <f>emulator!D$9*$A16</f>
        <v>5.54</v>
      </c>
      <c r="D16">
        <f>emulator!E$9*$A16</f>
        <v>7.3179999999999996</v>
      </c>
      <c r="E16">
        <f>emulator!F$9*$A16</f>
        <v>12.064</v>
      </c>
      <c r="F16">
        <f>emulator!G$9*$A16</f>
        <v>11.406000000000001</v>
      </c>
      <c r="G16">
        <f>emulator!H$9*$A16</f>
        <v>10.888</v>
      </c>
      <c r="H16">
        <f>emulator!I$9*$A16</f>
        <v>10.407999999999999</v>
      </c>
      <c r="I16">
        <f>emulator!J$9*$A16</f>
        <v>18.692</v>
      </c>
      <c r="J16">
        <f>emulator!K$9*$A16</f>
        <v>25</v>
      </c>
      <c r="K16">
        <f>emulator!L$9*$A16</f>
        <v>39.24</v>
      </c>
      <c r="L16">
        <f>emulator!M$9*$A16</f>
        <v>41.6</v>
      </c>
      <c r="M16">
        <f>emulator!N$9*$A16</f>
        <v>46.82</v>
      </c>
      <c r="N16">
        <f>emulator!O$9*$A16</f>
        <v>63.02</v>
      </c>
      <c r="O16">
        <f>emulator!P$9*$A16</f>
        <v>76.14</v>
      </c>
      <c r="P16">
        <f>emulator!Q$9*$A16</f>
        <v>102.56</v>
      </c>
      <c r="Q16">
        <f>emulator!R$9*$A16</f>
        <v>111.2</v>
      </c>
      <c r="R16">
        <f>emulator!S$9*$A16</f>
        <v>106.48</v>
      </c>
      <c r="S16">
        <f>emulator!T$9*$A16</f>
        <v>80.72</v>
      </c>
      <c r="T16">
        <f>emulator!U$9*$A16</f>
        <v>244</v>
      </c>
      <c r="V16">
        <f>[1]regressions!L114</f>
        <v>0.15243902439024387</v>
      </c>
      <c r="W16">
        <f>[1]regressions!M114</f>
        <v>0.38929191434426519</v>
      </c>
      <c r="X16">
        <f t="shared" si="2"/>
        <v>-0.23685288995402132</v>
      </c>
      <c r="Z16">
        <f>emulator!C$10^2*$A16^2</f>
        <v>1.3502439999999998</v>
      </c>
      <c r="AA16">
        <f>emulator!D$10^2*$A16^2</f>
        <v>3.4521640000000002</v>
      </c>
      <c r="AB16">
        <f>emulator!E$10^2*$A16^2</f>
        <v>2.4460960000000003</v>
      </c>
      <c r="AC16">
        <f>emulator!F$10^2*$A16^2</f>
        <v>1.6027560000000001</v>
      </c>
      <c r="AD16">
        <f>emulator!G$10^2*$A16^2</f>
        <v>2.2141440000000001</v>
      </c>
      <c r="AE16">
        <f>emulator!H$10^2*$A16^2</f>
        <v>2.3104</v>
      </c>
      <c r="AF16">
        <f>emulator!I$10^2*$A16^2</f>
        <v>4.2353639999999997</v>
      </c>
      <c r="AG16">
        <f>emulator!J$10^2*$A16^2</f>
        <v>4.8752640000000005</v>
      </c>
      <c r="AH16">
        <f>emulator!K$10^2*$A16^2</f>
        <v>5.9633640000000012</v>
      </c>
      <c r="AI16">
        <f>emulator!L$10^2*$A16^2</f>
        <v>8.2598760000000002</v>
      </c>
      <c r="AJ16">
        <f>emulator!M$10^2*$A16^2</f>
        <v>10.074275999999999</v>
      </c>
      <c r="AK16">
        <f>emulator!N$10^2*$A16^2</f>
        <v>12.873744</v>
      </c>
      <c r="AL16">
        <f>emulator!O$10^2*$A16^2</f>
        <v>40.119555999999996</v>
      </c>
      <c r="AM16">
        <f>emulator!P$10^2*$A16^2</f>
        <v>79.067663999999994</v>
      </c>
      <c r="AN16">
        <f>emulator!Q$10^2*$A16^2</f>
        <v>149.62182399999998</v>
      </c>
      <c r="AO16">
        <f>emulator!R$10^2*$A16^2</f>
        <v>69.355583999999993</v>
      </c>
      <c r="AP16">
        <f>emulator!S$10^2*$A16^2</f>
        <v>83.101455999999999</v>
      </c>
      <c r="AQ16">
        <f>emulator!T$10^2*$A16^2</f>
        <v>466.56000000000006</v>
      </c>
      <c r="AR16">
        <f>emulator!U$10^2*$A16^2</f>
        <v>3343.1523999999999</v>
      </c>
    </row>
    <row r="17" spans="1:44" x14ac:dyDescent="0.3">
      <c r="A17">
        <f t="shared" si="1"/>
        <v>-1</v>
      </c>
      <c r="B17">
        <f>emulator!C$9*$A17</f>
        <v>1.264</v>
      </c>
      <c r="C17">
        <f>emulator!D$9*$A17</f>
        <v>2.77</v>
      </c>
      <c r="D17">
        <f>emulator!E$9*$A17</f>
        <v>3.6589999999999998</v>
      </c>
      <c r="E17">
        <f>emulator!F$9*$A17</f>
        <v>6.032</v>
      </c>
      <c r="F17">
        <f>emulator!G$9*$A17</f>
        <v>5.7030000000000003</v>
      </c>
      <c r="G17">
        <f>emulator!H$9*$A17</f>
        <v>5.444</v>
      </c>
      <c r="H17">
        <f>emulator!I$9*$A17</f>
        <v>5.2039999999999997</v>
      </c>
      <c r="I17">
        <f>emulator!J$9*$A17</f>
        <v>9.3460000000000001</v>
      </c>
      <c r="J17">
        <f>emulator!K$9*$A17</f>
        <v>12.5</v>
      </c>
      <c r="K17">
        <f>emulator!L$9*$A17</f>
        <v>19.62</v>
      </c>
      <c r="L17">
        <f>emulator!M$9*$A17</f>
        <v>20.8</v>
      </c>
      <c r="M17">
        <f>emulator!N$9*$A17</f>
        <v>23.41</v>
      </c>
      <c r="N17">
        <f>emulator!O$9*$A17</f>
        <v>31.51</v>
      </c>
      <c r="O17">
        <f>emulator!P$9*$A17</f>
        <v>38.07</v>
      </c>
      <c r="P17">
        <f>emulator!Q$9*$A17</f>
        <v>51.28</v>
      </c>
      <c r="Q17">
        <f>emulator!R$9*$A17</f>
        <v>55.6</v>
      </c>
      <c r="R17">
        <f>emulator!S$9*$A17</f>
        <v>53.24</v>
      </c>
      <c r="S17">
        <f>emulator!T$9*$A17</f>
        <v>40.36</v>
      </c>
      <c r="T17">
        <f>emulator!U$9*$A17</f>
        <v>122</v>
      </c>
      <c r="V17">
        <f>[1]regressions!L115</f>
        <v>0.43292682926829218</v>
      </c>
      <c r="W17">
        <f>[1]regressions!M115</f>
        <v>0.25891617998936778</v>
      </c>
      <c r="X17">
        <f t="shared" si="2"/>
        <v>0.1740106492789244</v>
      </c>
      <c r="Z17">
        <f>emulator!C$10^2*$A17^2</f>
        <v>0.33756099999999994</v>
      </c>
      <c r="AA17">
        <f>emulator!D$10^2*$A17^2</f>
        <v>0.86304100000000006</v>
      </c>
      <c r="AB17">
        <f>emulator!E$10^2*$A17^2</f>
        <v>0.61152400000000007</v>
      </c>
      <c r="AC17">
        <f>emulator!F$10^2*$A17^2</f>
        <v>0.40068900000000002</v>
      </c>
      <c r="AD17">
        <f>emulator!G$10^2*$A17^2</f>
        <v>0.55353600000000003</v>
      </c>
      <c r="AE17">
        <f>emulator!H$10^2*$A17^2</f>
        <v>0.5776</v>
      </c>
      <c r="AF17">
        <f>emulator!I$10^2*$A17^2</f>
        <v>1.0588409999999999</v>
      </c>
      <c r="AG17">
        <f>emulator!J$10^2*$A17^2</f>
        <v>1.2188160000000001</v>
      </c>
      <c r="AH17">
        <f>emulator!K$10^2*$A17^2</f>
        <v>1.4908410000000003</v>
      </c>
      <c r="AI17">
        <f>emulator!L$10^2*$A17^2</f>
        <v>2.0649690000000001</v>
      </c>
      <c r="AJ17">
        <f>emulator!M$10^2*$A17^2</f>
        <v>2.5185689999999998</v>
      </c>
      <c r="AK17">
        <f>emulator!N$10^2*$A17^2</f>
        <v>3.2184360000000001</v>
      </c>
      <c r="AL17">
        <f>emulator!O$10^2*$A17^2</f>
        <v>10.029888999999999</v>
      </c>
      <c r="AM17">
        <f>emulator!P$10^2*$A17^2</f>
        <v>19.766915999999998</v>
      </c>
      <c r="AN17">
        <f>emulator!Q$10^2*$A17^2</f>
        <v>37.405455999999994</v>
      </c>
      <c r="AO17">
        <f>emulator!R$10^2*$A17^2</f>
        <v>17.338895999999998</v>
      </c>
      <c r="AP17">
        <f>emulator!S$10^2*$A17^2</f>
        <v>20.775364</v>
      </c>
      <c r="AQ17">
        <f>emulator!T$10^2*$A17^2</f>
        <v>116.64000000000001</v>
      </c>
      <c r="AR17">
        <f>emulator!U$10^2*$A17^2</f>
        <v>835.78809999999999</v>
      </c>
    </row>
    <row r="18" spans="1:44" x14ac:dyDescent="0.3">
      <c r="A18">
        <f t="shared" si="1"/>
        <v>0</v>
      </c>
      <c r="B18">
        <f>emulator!C$9*$A18</f>
        <v>0</v>
      </c>
      <c r="C18">
        <f>emulator!D$9*$A18</f>
        <v>0</v>
      </c>
      <c r="D18">
        <f>emulator!E$9*$A18</f>
        <v>0</v>
      </c>
      <c r="E18">
        <f>emulator!F$9*$A18</f>
        <v>0</v>
      </c>
      <c r="F18">
        <f>emulator!G$9*$A18</f>
        <v>0</v>
      </c>
      <c r="G18">
        <f>emulator!H$9*$A18</f>
        <v>0</v>
      </c>
      <c r="H18">
        <f>emulator!I$9*$A18</f>
        <v>0</v>
      </c>
      <c r="I18">
        <f>emulator!J$9*$A18</f>
        <v>0</v>
      </c>
      <c r="J18">
        <f>emulator!K$9*$A18</f>
        <v>0</v>
      </c>
      <c r="K18">
        <f>emulator!L$9*$A18</f>
        <v>0</v>
      </c>
      <c r="L18">
        <f>emulator!M$9*$A18</f>
        <v>0</v>
      </c>
      <c r="M18">
        <f>emulator!N$9*$A18</f>
        <v>0</v>
      </c>
      <c r="N18">
        <f>emulator!O$9*$A18</f>
        <v>0</v>
      </c>
      <c r="O18">
        <f>emulator!P$9*$A18</f>
        <v>0</v>
      </c>
      <c r="P18">
        <f>emulator!Q$9*$A18</f>
        <v>0</v>
      </c>
      <c r="Q18">
        <f>emulator!R$9*$A18</f>
        <v>0</v>
      </c>
      <c r="R18">
        <f>emulator!S$9*$A18</f>
        <v>0</v>
      </c>
      <c r="S18">
        <f>emulator!T$9*$A18</f>
        <v>0</v>
      </c>
      <c r="T18">
        <f>emulator!U$9*$A18</f>
        <v>0</v>
      </c>
      <c r="V18">
        <f>[1]regressions!L116</f>
        <v>5.1490514905149623E-2</v>
      </c>
      <c r="W18">
        <f>[1]regressions!M116</f>
        <v>3.2067889289634548E-2</v>
      </c>
      <c r="X18">
        <f t="shared" si="2"/>
        <v>1.9422625615515075E-2</v>
      </c>
      <c r="Z18">
        <f>emulator!C$10^2*$A18^2</f>
        <v>0</v>
      </c>
      <c r="AA18">
        <f>emulator!D$10^2*$A18^2</f>
        <v>0</v>
      </c>
      <c r="AB18">
        <f>emulator!E$10^2*$A18^2</f>
        <v>0</v>
      </c>
      <c r="AC18">
        <f>emulator!F$10^2*$A18^2</f>
        <v>0</v>
      </c>
      <c r="AD18">
        <f>emulator!G$10^2*$A18^2</f>
        <v>0</v>
      </c>
      <c r="AE18">
        <f>emulator!H$10^2*$A18^2</f>
        <v>0</v>
      </c>
      <c r="AF18">
        <f>emulator!I$10^2*$A18^2</f>
        <v>0</v>
      </c>
      <c r="AG18">
        <f>emulator!J$10^2*$A18^2</f>
        <v>0</v>
      </c>
      <c r="AH18">
        <f>emulator!K$10^2*$A18^2</f>
        <v>0</v>
      </c>
      <c r="AI18">
        <f>emulator!L$10^2*$A18^2</f>
        <v>0</v>
      </c>
      <c r="AJ18">
        <f>emulator!M$10^2*$A18^2</f>
        <v>0</v>
      </c>
      <c r="AK18">
        <f>emulator!N$10^2*$A18^2</f>
        <v>0</v>
      </c>
      <c r="AL18">
        <f>emulator!O$10^2*$A18^2</f>
        <v>0</v>
      </c>
      <c r="AM18">
        <f>emulator!P$10^2*$A18^2</f>
        <v>0</v>
      </c>
      <c r="AN18">
        <f>emulator!Q$10^2*$A18^2</f>
        <v>0</v>
      </c>
      <c r="AO18">
        <f>emulator!R$10^2*$A18^2</f>
        <v>0</v>
      </c>
      <c r="AP18">
        <f>emulator!S$10^2*$A18^2</f>
        <v>0</v>
      </c>
      <c r="AQ18">
        <f>emulator!T$10^2*$A18^2</f>
        <v>0</v>
      </c>
      <c r="AR18">
        <f>emulator!U$10^2*$A18^2</f>
        <v>0</v>
      </c>
    </row>
    <row r="19" spans="1:44" x14ac:dyDescent="0.3">
      <c r="A19">
        <f t="shared" si="1"/>
        <v>1</v>
      </c>
      <c r="B19">
        <f>emulator!C$9*$A19</f>
        <v>-1.264</v>
      </c>
      <c r="C19">
        <f>emulator!D$9*$A19</f>
        <v>-2.77</v>
      </c>
      <c r="D19">
        <f>emulator!E$9*$A19</f>
        <v>-3.6589999999999998</v>
      </c>
      <c r="E19">
        <f>emulator!F$9*$A19</f>
        <v>-6.032</v>
      </c>
      <c r="F19">
        <f>emulator!G$9*$A19</f>
        <v>-5.7030000000000003</v>
      </c>
      <c r="G19">
        <f>emulator!H$9*$A19</f>
        <v>-5.444</v>
      </c>
      <c r="H19">
        <f>emulator!I$9*$A19</f>
        <v>-5.2039999999999997</v>
      </c>
      <c r="I19">
        <f>emulator!J$9*$A19</f>
        <v>-9.3460000000000001</v>
      </c>
      <c r="J19">
        <f>emulator!K$9*$A19</f>
        <v>-12.5</v>
      </c>
      <c r="K19">
        <f>emulator!L$9*$A19</f>
        <v>-19.62</v>
      </c>
      <c r="L19">
        <f>emulator!M$9*$A19</f>
        <v>-20.8</v>
      </c>
      <c r="M19">
        <f>emulator!N$9*$A19</f>
        <v>-23.41</v>
      </c>
      <c r="N19">
        <f>emulator!O$9*$A19</f>
        <v>-31.51</v>
      </c>
      <c r="O19">
        <f>emulator!P$9*$A19</f>
        <v>-38.07</v>
      </c>
      <c r="P19">
        <f>emulator!Q$9*$A19</f>
        <v>-51.28</v>
      </c>
      <c r="Q19">
        <f>emulator!R$9*$A19</f>
        <v>-55.6</v>
      </c>
      <c r="R19">
        <f>emulator!S$9*$A19</f>
        <v>-53.24</v>
      </c>
      <c r="S19">
        <f>emulator!T$9*$A19</f>
        <v>-40.36</v>
      </c>
      <c r="T19">
        <f>emulator!U$9*$A19</f>
        <v>-122</v>
      </c>
      <c r="V19">
        <f>[1]regressions!L117</f>
        <v>2.4390243902439011E-2</v>
      </c>
      <c r="W19">
        <f>[1]regressions!M117</f>
        <v>8.7105035138892756E-2</v>
      </c>
      <c r="X19">
        <f t="shared" si="2"/>
        <v>-6.2714791236453737E-2</v>
      </c>
      <c r="Z19">
        <f>emulator!C$10^2*$A19^2</f>
        <v>0.33756099999999994</v>
      </c>
      <c r="AA19">
        <f>emulator!D$10^2*$A19^2</f>
        <v>0.86304100000000006</v>
      </c>
      <c r="AB19">
        <f>emulator!E$10^2*$A19^2</f>
        <v>0.61152400000000007</v>
      </c>
      <c r="AC19">
        <f>emulator!F$10^2*$A19^2</f>
        <v>0.40068900000000002</v>
      </c>
      <c r="AD19">
        <f>emulator!G$10^2*$A19^2</f>
        <v>0.55353600000000003</v>
      </c>
      <c r="AE19">
        <f>emulator!H$10^2*$A19^2</f>
        <v>0.5776</v>
      </c>
      <c r="AF19">
        <f>emulator!I$10^2*$A19^2</f>
        <v>1.0588409999999999</v>
      </c>
      <c r="AG19">
        <f>emulator!J$10^2*$A19^2</f>
        <v>1.2188160000000001</v>
      </c>
      <c r="AH19">
        <f>emulator!K$10^2*$A19^2</f>
        <v>1.4908410000000003</v>
      </c>
      <c r="AI19">
        <f>emulator!L$10^2*$A19^2</f>
        <v>2.0649690000000001</v>
      </c>
      <c r="AJ19">
        <f>emulator!M$10^2*$A19^2</f>
        <v>2.5185689999999998</v>
      </c>
      <c r="AK19">
        <f>emulator!N$10^2*$A19^2</f>
        <v>3.2184360000000001</v>
      </c>
      <c r="AL19">
        <f>emulator!O$10^2*$A19^2</f>
        <v>10.029888999999999</v>
      </c>
      <c r="AM19">
        <f>emulator!P$10^2*$A19^2</f>
        <v>19.766915999999998</v>
      </c>
      <c r="AN19">
        <f>emulator!Q$10^2*$A19^2</f>
        <v>37.405455999999994</v>
      </c>
      <c r="AO19">
        <f>emulator!R$10^2*$A19^2</f>
        <v>17.338895999999998</v>
      </c>
      <c r="AP19">
        <f>emulator!S$10^2*$A19^2</f>
        <v>20.775364</v>
      </c>
      <c r="AQ19">
        <f>emulator!T$10^2*$A19^2</f>
        <v>116.64000000000001</v>
      </c>
      <c r="AR19">
        <f>emulator!U$10^2*$A19^2</f>
        <v>835.78809999999999</v>
      </c>
    </row>
    <row r="20" spans="1:44" x14ac:dyDescent="0.3">
      <c r="A20">
        <f t="shared" si="1"/>
        <v>2</v>
      </c>
      <c r="B20">
        <f>emulator!C$9*$A20</f>
        <v>-2.528</v>
      </c>
      <c r="C20">
        <f>emulator!D$9*$A20</f>
        <v>-5.54</v>
      </c>
      <c r="D20">
        <f>emulator!E$9*$A20</f>
        <v>-7.3179999999999996</v>
      </c>
      <c r="E20">
        <f>emulator!F$9*$A20</f>
        <v>-12.064</v>
      </c>
      <c r="F20">
        <f>emulator!G$9*$A20</f>
        <v>-11.406000000000001</v>
      </c>
      <c r="G20">
        <f>emulator!H$9*$A20</f>
        <v>-10.888</v>
      </c>
      <c r="H20">
        <f>emulator!I$9*$A20</f>
        <v>-10.407999999999999</v>
      </c>
      <c r="I20">
        <f>emulator!J$9*$A20</f>
        <v>-18.692</v>
      </c>
      <c r="J20">
        <f>emulator!K$9*$A20</f>
        <v>-25</v>
      </c>
      <c r="K20">
        <f>emulator!L$9*$A20</f>
        <v>-39.24</v>
      </c>
      <c r="L20">
        <f>emulator!M$9*$A20</f>
        <v>-41.6</v>
      </c>
      <c r="M20">
        <f>emulator!N$9*$A20</f>
        <v>-46.82</v>
      </c>
      <c r="N20">
        <f>emulator!O$9*$A20</f>
        <v>-63.02</v>
      </c>
      <c r="O20">
        <f>emulator!P$9*$A20</f>
        <v>-76.14</v>
      </c>
      <c r="P20">
        <f>emulator!Q$9*$A20</f>
        <v>-102.56</v>
      </c>
      <c r="Q20">
        <f>emulator!R$9*$A20</f>
        <v>-111.2</v>
      </c>
      <c r="R20">
        <f>emulator!S$9*$A20</f>
        <v>-106.48</v>
      </c>
      <c r="S20">
        <f>emulator!T$9*$A20</f>
        <v>-80.72</v>
      </c>
      <c r="T20">
        <f>emulator!U$9*$A20</f>
        <v>-244</v>
      </c>
      <c r="V20">
        <f>[1]regressions!L118</f>
        <v>0</v>
      </c>
      <c r="W20">
        <f>[1]regressions!M118</f>
        <v>2.0623635827381184E-4</v>
      </c>
      <c r="X20">
        <f t="shared" si="2"/>
        <v>-2.0623635827381184E-4</v>
      </c>
      <c r="Z20">
        <f>emulator!C$10^2*$A20^2</f>
        <v>1.3502439999999998</v>
      </c>
      <c r="AA20">
        <f>emulator!D$10^2*$A20^2</f>
        <v>3.4521640000000002</v>
      </c>
      <c r="AB20">
        <f>emulator!E$10^2*$A20^2</f>
        <v>2.4460960000000003</v>
      </c>
      <c r="AC20">
        <f>emulator!F$10^2*$A20^2</f>
        <v>1.6027560000000001</v>
      </c>
      <c r="AD20">
        <f>emulator!G$10^2*$A20^2</f>
        <v>2.2141440000000001</v>
      </c>
      <c r="AE20">
        <f>emulator!H$10^2*$A20^2</f>
        <v>2.3104</v>
      </c>
      <c r="AF20">
        <f>emulator!I$10^2*$A20^2</f>
        <v>4.2353639999999997</v>
      </c>
      <c r="AG20">
        <f>emulator!J$10^2*$A20^2</f>
        <v>4.8752640000000005</v>
      </c>
      <c r="AH20">
        <f>emulator!K$10^2*$A20^2</f>
        <v>5.9633640000000012</v>
      </c>
      <c r="AI20">
        <f>emulator!L$10^2*$A20^2</f>
        <v>8.2598760000000002</v>
      </c>
      <c r="AJ20">
        <f>emulator!M$10^2*$A20^2</f>
        <v>10.074275999999999</v>
      </c>
      <c r="AK20">
        <f>emulator!N$10^2*$A20^2</f>
        <v>12.873744</v>
      </c>
      <c r="AL20">
        <f>emulator!O$10^2*$A20^2</f>
        <v>40.119555999999996</v>
      </c>
      <c r="AM20">
        <f>emulator!P$10^2*$A20^2</f>
        <v>79.067663999999994</v>
      </c>
      <c r="AN20">
        <f>emulator!Q$10^2*$A20^2</f>
        <v>149.62182399999998</v>
      </c>
      <c r="AO20">
        <f>emulator!R$10^2*$A20^2</f>
        <v>69.355583999999993</v>
      </c>
      <c r="AP20">
        <f>emulator!S$10^2*$A20^2</f>
        <v>83.101455999999999</v>
      </c>
      <c r="AQ20">
        <f>emulator!T$10^2*$A20^2</f>
        <v>466.56000000000006</v>
      </c>
      <c r="AR20">
        <f>emulator!U$10^2*$A20^2</f>
        <v>3343.1523999999999</v>
      </c>
    </row>
    <row r="21" spans="1:44" x14ac:dyDescent="0.3">
      <c r="A21">
        <f t="shared" si="1"/>
        <v>3</v>
      </c>
      <c r="B21">
        <f>emulator!C$9*$A21</f>
        <v>-3.7919999999999998</v>
      </c>
      <c r="C21">
        <f>emulator!D$9*$A21</f>
        <v>-8.31</v>
      </c>
      <c r="D21">
        <f>emulator!E$9*$A21</f>
        <v>-10.977</v>
      </c>
      <c r="E21">
        <f>emulator!F$9*$A21</f>
        <v>-18.096</v>
      </c>
      <c r="F21">
        <f>emulator!G$9*$A21</f>
        <v>-17.109000000000002</v>
      </c>
      <c r="G21">
        <f>emulator!H$9*$A21</f>
        <v>-16.332000000000001</v>
      </c>
      <c r="H21">
        <f>emulator!I$9*$A21</f>
        <v>-15.611999999999998</v>
      </c>
      <c r="I21">
        <f>emulator!J$9*$A21</f>
        <v>-28.038</v>
      </c>
      <c r="J21">
        <f>emulator!K$9*$A21</f>
        <v>-37.5</v>
      </c>
      <c r="K21">
        <f>emulator!L$9*$A21</f>
        <v>-58.86</v>
      </c>
      <c r="L21">
        <f>emulator!M$9*$A21</f>
        <v>-62.400000000000006</v>
      </c>
      <c r="M21">
        <f>emulator!N$9*$A21</f>
        <v>-70.23</v>
      </c>
      <c r="N21">
        <f>emulator!O$9*$A21</f>
        <v>-94.53</v>
      </c>
      <c r="O21">
        <f>emulator!P$9*$A21</f>
        <v>-114.21000000000001</v>
      </c>
      <c r="P21">
        <f>emulator!Q$9*$A21</f>
        <v>-153.84</v>
      </c>
      <c r="Q21">
        <f>emulator!R$9*$A21</f>
        <v>-166.8</v>
      </c>
      <c r="R21">
        <f>emulator!S$9*$A21</f>
        <v>-159.72</v>
      </c>
      <c r="S21">
        <f>emulator!T$9*$A21</f>
        <v>-121.08</v>
      </c>
      <c r="T21">
        <f>emulator!U$9*$A21</f>
        <v>-366</v>
      </c>
      <c r="V21">
        <f>[1]regressions!L119</f>
        <v>0</v>
      </c>
      <c r="W21">
        <f>[1]regressions!M119</f>
        <v>0</v>
      </c>
      <c r="X21">
        <f t="shared" si="2"/>
        <v>0</v>
      </c>
      <c r="Z21">
        <f>emulator!C$10^2*$A21^2</f>
        <v>3.0380489999999996</v>
      </c>
      <c r="AA21">
        <f>emulator!D$10^2*$A21^2</f>
        <v>7.7673690000000004</v>
      </c>
      <c r="AB21">
        <f>emulator!E$10^2*$A21^2</f>
        <v>5.5037160000000007</v>
      </c>
      <c r="AC21">
        <f>emulator!F$10^2*$A21^2</f>
        <v>3.606201</v>
      </c>
      <c r="AD21">
        <f>emulator!G$10^2*$A21^2</f>
        <v>4.9818240000000005</v>
      </c>
      <c r="AE21">
        <f>emulator!H$10^2*$A21^2</f>
        <v>5.1984000000000004</v>
      </c>
      <c r="AF21">
        <f>emulator!I$10^2*$A21^2</f>
        <v>9.5295689999999986</v>
      </c>
      <c r="AG21">
        <f>emulator!J$10^2*$A21^2</f>
        <v>10.969344000000001</v>
      </c>
      <c r="AH21">
        <f>emulator!K$10^2*$A21^2</f>
        <v>13.417569000000002</v>
      </c>
      <c r="AI21">
        <f>emulator!L$10^2*$A21^2</f>
        <v>18.584721000000002</v>
      </c>
      <c r="AJ21">
        <f>emulator!M$10^2*$A21^2</f>
        <v>22.667120999999998</v>
      </c>
      <c r="AK21">
        <f>emulator!N$10^2*$A21^2</f>
        <v>28.965924000000001</v>
      </c>
      <c r="AL21">
        <f>emulator!O$10^2*$A21^2</f>
        <v>90.269000999999989</v>
      </c>
      <c r="AM21">
        <f>emulator!P$10^2*$A21^2</f>
        <v>177.902244</v>
      </c>
      <c r="AN21">
        <f>emulator!Q$10^2*$A21^2</f>
        <v>336.64910399999997</v>
      </c>
      <c r="AO21">
        <f>emulator!R$10^2*$A21^2</f>
        <v>156.05006399999999</v>
      </c>
      <c r="AP21">
        <f>emulator!S$10^2*$A21^2</f>
        <v>186.97827599999999</v>
      </c>
      <c r="AQ21">
        <f>emulator!T$10^2*$A21^2</f>
        <v>1049.7600000000002</v>
      </c>
      <c r="AR21">
        <f>emulator!U$10^2*$A21^2</f>
        <v>7522.0928999999996</v>
      </c>
    </row>
    <row r="22" spans="1:44" x14ac:dyDescent="0.3">
      <c r="A22">
        <f t="shared" si="1"/>
        <v>4</v>
      </c>
      <c r="B22">
        <f>emulator!C$9*$A22</f>
        <v>-5.056</v>
      </c>
      <c r="C22">
        <f>emulator!D$9*$A22</f>
        <v>-11.08</v>
      </c>
      <c r="D22">
        <f>emulator!E$9*$A22</f>
        <v>-14.635999999999999</v>
      </c>
      <c r="E22">
        <f>emulator!F$9*$A22</f>
        <v>-24.128</v>
      </c>
      <c r="F22">
        <f>emulator!G$9*$A22</f>
        <v>-22.812000000000001</v>
      </c>
      <c r="G22">
        <f>emulator!H$9*$A22</f>
        <v>-21.776</v>
      </c>
      <c r="H22">
        <f>emulator!I$9*$A22</f>
        <v>-20.815999999999999</v>
      </c>
      <c r="I22">
        <f>emulator!J$9*$A22</f>
        <v>-37.384</v>
      </c>
      <c r="J22">
        <f>emulator!K$9*$A22</f>
        <v>-50</v>
      </c>
      <c r="K22">
        <f>emulator!L$9*$A22</f>
        <v>-78.48</v>
      </c>
      <c r="L22">
        <f>emulator!M$9*$A22</f>
        <v>-83.2</v>
      </c>
      <c r="M22">
        <f>emulator!N$9*$A22</f>
        <v>-93.64</v>
      </c>
      <c r="N22">
        <f>emulator!O$9*$A22</f>
        <v>-126.04</v>
      </c>
      <c r="O22">
        <f>emulator!P$9*$A22</f>
        <v>-152.28</v>
      </c>
      <c r="P22">
        <f>emulator!Q$9*$A22</f>
        <v>-205.12</v>
      </c>
      <c r="Q22">
        <f>emulator!R$9*$A22</f>
        <v>-222.4</v>
      </c>
      <c r="R22">
        <f>emulator!S$9*$A22</f>
        <v>-212.96</v>
      </c>
      <c r="S22">
        <f>emulator!T$9*$A22</f>
        <v>-161.44</v>
      </c>
      <c r="T22">
        <f>emulator!U$9*$A22</f>
        <v>-488</v>
      </c>
      <c r="V22">
        <f>[1]regressions!L120</f>
        <v>0</v>
      </c>
      <c r="W22">
        <f>[1]regressions!M120</f>
        <v>1.0311817913690592E-4</v>
      </c>
      <c r="X22">
        <f t="shared" si="2"/>
        <v>-1.0311817913690592E-4</v>
      </c>
      <c r="Z22">
        <f>emulator!C$10^2*$A22^2</f>
        <v>5.4009759999999991</v>
      </c>
      <c r="AA22">
        <f>emulator!D$10^2*$A22^2</f>
        <v>13.808656000000001</v>
      </c>
      <c r="AB22">
        <f>emulator!E$10^2*$A22^2</f>
        <v>9.7843840000000011</v>
      </c>
      <c r="AC22">
        <f>emulator!F$10^2*$A22^2</f>
        <v>6.4110240000000003</v>
      </c>
      <c r="AD22">
        <f>emulator!G$10^2*$A22^2</f>
        <v>8.8565760000000004</v>
      </c>
      <c r="AE22">
        <f>emulator!H$10^2*$A22^2</f>
        <v>9.2416</v>
      </c>
      <c r="AF22">
        <f>emulator!I$10^2*$A22^2</f>
        <v>16.941455999999999</v>
      </c>
      <c r="AG22">
        <f>emulator!J$10^2*$A22^2</f>
        <v>19.501056000000002</v>
      </c>
      <c r="AH22">
        <f>emulator!K$10^2*$A22^2</f>
        <v>23.853456000000005</v>
      </c>
      <c r="AI22">
        <f>emulator!L$10^2*$A22^2</f>
        <v>33.039504000000001</v>
      </c>
      <c r="AJ22">
        <f>emulator!M$10^2*$A22^2</f>
        <v>40.297103999999997</v>
      </c>
      <c r="AK22">
        <f>emulator!N$10^2*$A22^2</f>
        <v>51.494976000000001</v>
      </c>
      <c r="AL22">
        <f>emulator!O$10^2*$A22^2</f>
        <v>160.47822399999998</v>
      </c>
      <c r="AM22">
        <f>emulator!P$10^2*$A22^2</f>
        <v>316.27065599999997</v>
      </c>
      <c r="AN22">
        <f>emulator!Q$10^2*$A22^2</f>
        <v>598.4872959999999</v>
      </c>
      <c r="AO22">
        <f>emulator!R$10^2*$A22^2</f>
        <v>277.42233599999997</v>
      </c>
      <c r="AP22">
        <f>emulator!S$10^2*$A22^2</f>
        <v>332.405824</v>
      </c>
      <c r="AQ22">
        <f>emulator!T$10^2*$A22^2</f>
        <v>1866.2400000000002</v>
      </c>
      <c r="AR22">
        <f>emulator!U$10^2*$A22^2</f>
        <v>13372.6096</v>
      </c>
    </row>
    <row r="23" spans="1:44" x14ac:dyDescent="0.3">
      <c r="A23">
        <f t="shared" si="1"/>
        <v>5</v>
      </c>
      <c r="B23">
        <f>emulator!C$9*$A23</f>
        <v>-6.32</v>
      </c>
      <c r="C23">
        <f>emulator!D$9*$A23</f>
        <v>-13.85</v>
      </c>
      <c r="D23">
        <f>emulator!E$9*$A23</f>
        <v>-18.294999999999998</v>
      </c>
      <c r="E23">
        <f>emulator!F$9*$A23</f>
        <v>-30.16</v>
      </c>
      <c r="F23">
        <f>emulator!G$9*$A23</f>
        <v>-28.515000000000001</v>
      </c>
      <c r="G23">
        <f>emulator!H$9*$A23</f>
        <v>-27.22</v>
      </c>
      <c r="H23">
        <f>emulator!I$9*$A23</f>
        <v>-26.02</v>
      </c>
      <c r="I23">
        <f>emulator!J$9*$A23</f>
        <v>-46.730000000000004</v>
      </c>
      <c r="J23">
        <f>emulator!K$9*$A23</f>
        <v>-62.5</v>
      </c>
      <c r="K23">
        <f>emulator!L$9*$A23</f>
        <v>-98.100000000000009</v>
      </c>
      <c r="L23">
        <f>emulator!M$9*$A23</f>
        <v>-104</v>
      </c>
      <c r="M23">
        <f>emulator!N$9*$A23</f>
        <v>-117.05</v>
      </c>
      <c r="N23">
        <f>emulator!O$9*$A23</f>
        <v>-157.55000000000001</v>
      </c>
      <c r="O23">
        <f>emulator!P$9*$A23</f>
        <v>-190.35</v>
      </c>
      <c r="P23">
        <f>emulator!Q$9*$A23</f>
        <v>-256.39999999999998</v>
      </c>
      <c r="Q23">
        <f>emulator!R$9*$A23</f>
        <v>-278</v>
      </c>
      <c r="R23">
        <f>emulator!S$9*$A23</f>
        <v>-266.2</v>
      </c>
      <c r="S23">
        <f>emulator!T$9*$A23</f>
        <v>-201.8</v>
      </c>
      <c r="T23">
        <f>emulator!U$9*$A23</f>
        <v>-610</v>
      </c>
      <c r="V23">
        <f>[1]regressions!L121</f>
        <v>2.7100271002710782E-3</v>
      </c>
      <c r="W23">
        <f>[1]regressions!M121</f>
        <v>0</v>
      </c>
      <c r="X23">
        <f t="shared" si="2"/>
        <v>2.7100271002710782E-3</v>
      </c>
      <c r="Z23">
        <f>emulator!C$10^2*$A23^2</f>
        <v>8.4390249999999991</v>
      </c>
      <c r="AA23">
        <f>emulator!D$10^2*$A23^2</f>
        <v>21.576025000000001</v>
      </c>
      <c r="AB23">
        <f>emulator!E$10^2*$A23^2</f>
        <v>15.288100000000002</v>
      </c>
      <c r="AC23">
        <f>emulator!F$10^2*$A23^2</f>
        <v>10.017225</v>
      </c>
      <c r="AD23">
        <f>emulator!G$10^2*$A23^2</f>
        <v>13.8384</v>
      </c>
      <c r="AE23">
        <f>emulator!H$10^2*$A23^2</f>
        <v>14.44</v>
      </c>
      <c r="AF23">
        <f>emulator!I$10^2*$A23^2</f>
        <v>26.471024999999997</v>
      </c>
      <c r="AG23">
        <f>emulator!J$10^2*$A23^2</f>
        <v>30.470400000000001</v>
      </c>
      <c r="AH23">
        <f>emulator!K$10^2*$A23^2</f>
        <v>37.271025000000009</v>
      </c>
      <c r="AI23">
        <f>emulator!L$10^2*$A23^2</f>
        <v>51.624225000000003</v>
      </c>
      <c r="AJ23">
        <f>emulator!M$10^2*$A23^2</f>
        <v>62.964224999999999</v>
      </c>
      <c r="AK23">
        <f>emulator!N$10^2*$A23^2</f>
        <v>80.460899999999995</v>
      </c>
      <c r="AL23">
        <f>emulator!O$10^2*$A23^2</f>
        <v>250.74722499999999</v>
      </c>
      <c r="AM23">
        <f>emulator!P$10^2*$A23^2</f>
        <v>494.17289999999997</v>
      </c>
      <c r="AN23">
        <f>emulator!Q$10^2*$A23^2</f>
        <v>935.13639999999987</v>
      </c>
      <c r="AO23">
        <f>emulator!R$10^2*$A23^2</f>
        <v>433.47239999999994</v>
      </c>
      <c r="AP23">
        <f>emulator!S$10^2*$A23^2</f>
        <v>519.38409999999999</v>
      </c>
      <c r="AQ23">
        <f>emulator!T$10^2*$A23^2</f>
        <v>2916.0000000000005</v>
      </c>
      <c r="AR23">
        <f>emulator!U$10^2*$A23^2</f>
        <v>20894.702499999999</v>
      </c>
    </row>
    <row r="24" spans="1:44" x14ac:dyDescent="0.3">
      <c r="A24">
        <f t="shared" si="1"/>
        <v>6</v>
      </c>
      <c r="B24">
        <f>emulator!C$9*$A24</f>
        <v>-7.5839999999999996</v>
      </c>
      <c r="C24">
        <f>emulator!D$9*$A24</f>
        <v>-16.62</v>
      </c>
      <c r="D24">
        <f>emulator!E$9*$A24</f>
        <v>-21.954000000000001</v>
      </c>
      <c r="E24">
        <f>emulator!F$9*$A24</f>
        <v>-36.192</v>
      </c>
      <c r="F24">
        <f>emulator!G$9*$A24</f>
        <v>-34.218000000000004</v>
      </c>
      <c r="G24">
        <f>emulator!H$9*$A24</f>
        <v>-32.664000000000001</v>
      </c>
      <c r="H24">
        <f>emulator!I$9*$A24</f>
        <v>-31.223999999999997</v>
      </c>
      <c r="I24">
        <f>emulator!J$9*$A24</f>
        <v>-56.076000000000001</v>
      </c>
      <c r="J24">
        <f>emulator!K$9*$A24</f>
        <v>-75</v>
      </c>
      <c r="K24">
        <f>emulator!L$9*$A24</f>
        <v>-117.72</v>
      </c>
      <c r="L24">
        <f>emulator!M$9*$A24</f>
        <v>-124.80000000000001</v>
      </c>
      <c r="M24">
        <f>emulator!N$9*$A24</f>
        <v>-140.46</v>
      </c>
      <c r="N24">
        <f>emulator!O$9*$A24</f>
        <v>-189.06</v>
      </c>
      <c r="O24">
        <f>emulator!P$9*$A24</f>
        <v>-228.42000000000002</v>
      </c>
      <c r="P24">
        <f>emulator!Q$9*$A24</f>
        <v>-307.68</v>
      </c>
      <c r="Q24">
        <f>emulator!R$9*$A24</f>
        <v>-333.6</v>
      </c>
      <c r="R24">
        <f>emulator!S$9*$A24</f>
        <v>-319.44</v>
      </c>
      <c r="S24">
        <f>emulator!T$9*$A24</f>
        <v>-242.16</v>
      </c>
      <c r="T24">
        <f>emulator!U$9*$A24</f>
        <v>-732</v>
      </c>
      <c r="V24">
        <f>[1]regressions!L122</f>
        <v>0</v>
      </c>
      <c r="W24">
        <f>[1]regressions!M122</f>
        <v>0</v>
      </c>
      <c r="X24">
        <f t="shared" si="2"/>
        <v>0</v>
      </c>
      <c r="Z24">
        <f>emulator!C$10^2*$A24^2</f>
        <v>12.152195999999998</v>
      </c>
      <c r="AA24">
        <f>emulator!D$10^2*$A24^2</f>
        <v>31.069476000000002</v>
      </c>
      <c r="AB24">
        <f>emulator!E$10^2*$A24^2</f>
        <v>22.014864000000003</v>
      </c>
      <c r="AC24">
        <f>emulator!F$10^2*$A24^2</f>
        <v>14.424804</v>
      </c>
      <c r="AD24">
        <f>emulator!G$10^2*$A24^2</f>
        <v>19.927296000000002</v>
      </c>
      <c r="AE24">
        <f>emulator!H$10^2*$A24^2</f>
        <v>20.793600000000001</v>
      </c>
      <c r="AF24">
        <f>emulator!I$10^2*$A24^2</f>
        <v>38.118275999999994</v>
      </c>
      <c r="AG24">
        <f>emulator!J$10^2*$A24^2</f>
        <v>43.877376000000005</v>
      </c>
      <c r="AH24">
        <f>emulator!K$10^2*$A24^2</f>
        <v>53.670276000000008</v>
      </c>
      <c r="AI24">
        <f>emulator!L$10^2*$A24^2</f>
        <v>74.338884000000007</v>
      </c>
      <c r="AJ24">
        <f>emulator!M$10^2*$A24^2</f>
        <v>90.668483999999992</v>
      </c>
      <c r="AK24">
        <f>emulator!N$10^2*$A24^2</f>
        <v>115.863696</v>
      </c>
      <c r="AL24">
        <f>emulator!O$10^2*$A24^2</f>
        <v>361.07600399999995</v>
      </c>
      <c r="AM24">
        <f>emulator!P$10^2*$A24^2</f>
        <v>711.60897599999998</v>
      </c>
      <c r="AN24">
        <f>emulator!Q$10^2*$A24^2</f>
        <v>1346.5964159999999</v>
      </c>
      <c r="AO24">
        <f>emulator!R$10^2*$A24^2</f>
        <v>624.20025599999997</v>
      </c>
      <c r="AP24">
        <f>emulator!S$10^2*$A24^2</f>
        <v>747.91310399999998</v>
      </c>
      <c r="AQ24">
        <f>emulator!T$10^2*$A24^2</f>
        <v>4199.0400000000009</v>
      </c>
      <c r="AR24">
        <f>emulator!U$10^2*$A24^2</f>
        <v>30088.371599999999</v>
      </c>
    </row>
    <row r="25" spans="1:44" x14ac:dyDescent="0.3">
      <c r="A25">
        <f t="shared" si="1"/>
        <v>7</v>
      </c>
      <c r="B25">
        <f>emulator!C$9*$A25</f>
        <v>-8.8480000000000008</v>
      </c>
      <c r="C25">
        <f>emulator!D$9*$A25</f>
        <v>-19.39</v>
      </c>
      <c r="D25">
        <f>emulator!E$9*$A25</f>
        <v>-25.613</v>
      </c>
      <c r="E25">
        <f>emulator!F$9*$A25</f>
        <v>-42.224000000000004</v>
      </c>
      <c r="F25">
        <f>emulator!G$9*$A25</f>
        <v>-39.920999999999999</v>
      </c>
      <c r="G25">
        <f>emulator!H$9*$A25</f>
        <v>-38.107999999999997</v>
      </c>
      <c r="H25">
        <f>emulator!I$9*$A25</f>
        <v>-36.427999999999997</v>
      </c>
      <c r="I25">
        <f>emulator!J$9*$A25</f>
        <v>-65.421999999999997</v>
      </c>
      <c r="J25">
        <f>emulator!K$9*$A25</f>
        <v>-87.5</v>
      </c>
      <c r="K25">
        <f>emulator!L$9*$A25</f>
        <v>-137.34</v>
      </c>
      <c r="L25">
        <f>emulator!M$9*$A25</f>
        <v>-145.6</v>
      </c>
      <c r="M25">
        <f>emulator!N$9*$A25</f>
        <v>-163.87</v>
      </c>
      <c r="N25">
        <f>emulator!O$9*$A25</f>
        <v>-220.57000000000002</v>
      </c>
      <c r="O25">
        <f>emulator!P$9*$A25</f>
        <v>-266.49</v>
      </c>
      <c r="P25">
        <f>emulator!Q$9*$A25</f>
        <v>-358.96000000000004</v>
      </c>
      <c r="Q25">
        <f>emulator!R$9*$A25</f>
        <v>-389.2</v>
      </c>
      <c r="R25">
        <f>emulator!S$9*$A25</f>
        <v>-372.68</v>
      </c>
      <c r="S25">
        <f>emulator!T$9*$A25</f>
        <v>-282.52</v>
      </c>
      <c r="T25">
        <f>emulator!U$9*$A25</f>
        <v>-854</v>
      </c>
      <c r="V25">
        <f>[1]regressions!L123</f>
        <v>2.7100271002710091E-2</v>
      </c>
      <c r="W25">
        <f>[1]regressions!M123</f>
        <v>0</v>
      </c>
      <c r="X25">
        <f t="shared" si="2"/>
        <v>2.7100271002710091E-2</v>
      </c>
      <c r="Z25">
        <f>emulator!C$10^2*$A25^2</f>
        <v>16.540488999999997</v>
      </c>
      <c r="AA25">
        <f>emulator!D$10^2*$A25^2</f>
        <v>42.289009</v>
      </c>
      <c r="AB25">
        <f>emulator!E$10^2*$A25^2</f>
        <v>29.964676000000004</v>
      </c>
      <c r="AC25">
        <f>emulator!F$10^2*$A25^2</f>
        <v>19.633761</v>
      </c>
      <c r="AD25">
        <f>emulator!G$10^2*$A25^2</f>
        <v>27.123264000000002</v>
      </c>
      <c r="AE25">
        <f>emulator!H$10^2*$A25^2</f>
        <v>28.302399999999999</v>
      </c>
      <c r="AF25">
        <f>emulator!I$10^2*$A25^2</f>
        <v>51.883208999999994</v>
      </c>
      <c r="AG25">
        <f>emulator!J$10^2*$A25^2</f>
        <v>59.721984000000006</v>
      </c>
      <c r="AH25">
        <f>emulator!K$10^2*$A25^2</f>
        <v>73.051209000000014</v>
      </c>
      <c r="AI25">
        <f>emulator!L$10^2*$A25^2</f>
        <v>101.183481</v>
      </c>
      <c r="AJ25">
        <f>emulator!M$10^2*$A25^2</f>
        <v>123.409881</v>
      </c>
      <c r="AK25">
        <f>emulator!N$10^2*$A25^2</f>
        <v>157.70336399999999</v>
      </c>
      <c r="AL25">
        <f>emulator!O$10^2*$A25^2</f>
        <v>491.46456099999995</v>
      </c>
      <c r="AM25">
        <f>emulator!P$10^2*$A25^2</f>
        <v>968.5788839999999</v>
      </c>
      <c r="AN25">
        <f>emulator!Q$10^2*$A25^2</f>
        <v>1832.8673439999998</v>
      </c>
      <c r="AO25">
        <f>emulator!R$10^2*$A25^2</f>
        <v>849.6059039999999</v>
      </c>
      <c r="AP25">
        <f>emulator!S$10^2*$A25^2</f>
        <v>1017.992836</v>
      </c>
      <c r="AQ25">
        <f>emulator!T$10^2*$A25^2</f>
        <v>5715.3600000000006</v>
      </c>
      <c r="AR25">
        <f>emulator!U$10^2*$A25^2</f>
        <v>40953.616900000001</v>
      </c>
    </row>
    <row r="26" spans="1:44" x14ac:dyDescent="0.3">
      <c r="A26">
        <f t="shared" si="1"/>
        <v>8</v>
      </c>
      <c r="B26">
        <f>emulator!C$9*$A26</f>
        <v>-10.112</v>
      </c>
      <c r="C26">
        <f>emulator!D$9*$A26</f>
        <v>-22.16</v>
      </c>
      <c r="D26">
        <f>emulator!E$9*$A26</f>
        <v>-29.271999999999998</v>
      </c>
      <c r="E26">
        <f>emulator!F$9*$A26</f>
        <v>-48.256</v>
      </c>
      <c r="F26">
        <f>emulator!G$9*$A26</f>
        <v>-45.624000000000002</v>
      </c>
      <c r="G26">
        <f>emulator!H$9*$A26</f>
        <v>-43.552</v>
      </c>
      <c r="H26">
        <f>emulator!I$9*$A26</f>
        <v>-41.631999999999998</v>
      </c>
      <c r="I26">
        <f>emulator!J$9*$A26</f>
        <v>-74.768000000000001</v>
      </c>
      <c r="J26">
        <f>emulator!K$9*$A26</f>
        <v>-100</v>
      </c>
      <c r="K26">
        <f>emulator!L$9*$A26</f>
        <v>-156.96</v>
      </c>
      <c r="L26">
        <f>emulator!M$9*$A26</f>
        <v>-166.4</v>
      </c>
      <c r="M26">
        <f>emulator!N$9*$A26</f>
        <v>-187.28</v>
      </c>
      <c r="N26">
        <f>emulator!O$9*$A26</f>
        <v>-252.08</v>
      </c>
      <c r="O26">
        <f>emulator!P$9*$A26</f>
        <v>-304.56</v>
      </c>
      <c r="P26">
        <f>emulator!Q$9*$A26</f>
        <v>-410.24</v>
      </c>
      <c r="Q26">
        <f>emulator!R$9*$A26</f>
        <v>-444.8</v>
      </c>
      <c r="R26">
        <f>emulator!S$9*$A26</f>
        <v>-425.92</v>
      </c>
      <c r="S26">
        <f>emulator!T$9*$A26</f>
        <v>-322.88</v>
      </c>
      <c r="T26">
        <f>emulator!U$9*$A26</f>
        <v>-976</v>
      </c>
      <c r="V26">
        <f>[1]regressions!L124</f>
        <v>0</v>
      </c>
      <c r="W26">
        <f>[1]regressions!M124</f>
        <v>0</v>
      </c>
      <c r="X26">
        <f t="shared" si="2"/>
        <v>0</v>
      </c>
      <c r="Z26">
        <f>emulator!C$10^2*$A26^2</f>
        <v>21.603903999999996</v>
      </c>
      <c r="AA26">
        <f>emulator!D$10^2*$A26^2</f>
        <v>55.234624000000004</v>
      </c>
      <c r="AB26">
        <f>emulator!E$10^2*$A26^2</f>
        <v>39.137536000000004</v>
      </c>
      <c r="AC26">
        <f>emulator!F$10^2*$A26^2</f>
        <v>25.644096000000001</v>
      </c>
      <c r="AD26">
        <f>emulator!G$10^2*$A26^2</f>
        <v>35.426304000000002</v>
      </c>
      <c r="AE26">
        <f>emulator!H$10^2*$A26^2</f>
        <v>36.9664</v>
      </c>
      <c r="AF26">
        <f>emulator!I$10^2*$A26^2</f>
        <v>67.765823999999995</v>
      </c>
      <c r="AG26">
        <f>emulator!J$10^2*$A26^2</f>
        <v>78.004224000000008</v>
      </c>
      <c r="AH26">
        <f>emulator!K$10^2*$A26^2</f>
        <v>95.41382400000002</v>
      </c>
      <c r="AI26">
        <f>emulator!L$10^2*$A26^2</f>
        <v>132.158016</v>
      </c>
      <c r="AJ26">
        <f>emulator!M$10^2*$A26^2</f>
        <v>161.18841599999999</v>
      </c>
      <c r="AK26">
        <f>emulator!N$10^2*$A26^2</f>
        <v>205.979904</v>
      </c>
      <c r="AL26">
        <f>emulator!O$10^2*$A26^2</f>
        <v>641.91289599999993</v>
      </c>
      <c r="AM26">
        <f>emulator!P$10^2*$A26^2</f>
        <v>1265.0826239999999</v>
      </c>
      <c r="AN26">
        <f>emulator!Q$10^2*$A26^2</f>
        <v>2393.9491839999996</v>
      </c>
      <c r="AO26">
        <f>emulator!R$10^2*$A26^2</f>
        <v>1109.6893439999999</v>
      </c>
      <c r="AP26">
        <f>emulator!S$10^2*$A26^2</f>
        <v>1329.623296</v>
      </c>
      <c r="AQ26">
        <f>emulator!T$10^2*$A26^2</f>
        <v>7464.9600000000009</v>
      </c>
      <c r="AR26">
        <f>emulator!U$10^2*$A26^2</f>
        <v>53490.438399999999</v>
      </c>
    </row>
    <row r="27" spans="1:44" x14ac:dyDescent="0.3">
      <c r="A27">
        <f t="shared" si="1"/>
        <v>9</v>
      </c>
      <c r="B27">
        <f>emulator!C$9*$A27</f>
        <v>-11.375999999999999</v>
      </c>
      <c r="C27">
        <f>emulator!D$9*$A27</f>
        <v>-24.93</v>
      </c>
      <c r="D27">
        <f>emulator!E$9*$A27</f>
        <v>-32.930999999999997</v>
      </c>
      <c r="E27">
        <f>emulator!F$9*$A27</f>
        <v>-54.287999999999997</v>
      </c>
      <c r="F27">
        <f>emulator!G$9*$A27</f>
        <v>-51.327000000000005</v>
      </c>
      <c r="G27">
        <f>emulator!H$9*$A27</f>
        <v>-48.996000000000002</v>
      </c>
      <c r="H27">
        <f>emulator!I$9*$A27</f>
        <v>-46.835999999999999</v>
      </c>
      <c r="I27">
        <f>emulator!J$9*$A27</f>
        <v>-84.114000000000004</v>
      </c>
      <c r="J27">
        <f>emulator!K$9*$A27</f>
        <v>-112.5</v>
      </c>
      <c r="K27">
        <f>emulator!L$9*$A27</f>
        <v>-176.58</v>
      </c>
      <c r="L27">
        <f>emulator!M$9*$A27</f>
        <v>-187.20000000000002</v>
      </c>
      <c r="M27">
        <f>emulator!N$9*$A27</f>
        <v>-210.69</v>
      </c>
      <c r="N27">
        <f>emulator!O$9*$A27</f>
        <v>-283.59000000000003</v>
      </c>
      <c r="O27">
        <f>emulator!P$9*$A27</f>
        <v>-342.63</v>
      </c>
      <c r="P27">
        <f>emulator!Q$9*$A27</f>
        <v>-461.52</v>
      </c>
      <c r="Q27">
        <f>emulator!R$9*$A27</f>
        <v>-500.40000000000003</v>
      </c>
      <c r="R27">
        <f>emulator!S$9*$A27</f>
        <v>-479.16</v>
      </c>
      <c r="S27">
        <f>emulator!T$9*$A27</f>
        <v>-363.24</v>
      </c>
      <c r="T27">
        <f>emulator!U$9*$A27</f>
        <v>-1098</v>
      </c>
      <c r="V27">
        <f>[1]regressions!L125</f>
        <v>0</v>
      </c>
      <c r="W27">
        <f>[1]regressions!M125</f>
        <v>0</v>
      </c>
      <c r="X27">
        <f t="shared" si="2"/>
        <v>0</v>
      </c>
      <c r="Z27">
        <f>emulator!C$10^2*$A27^2</f>
        <v>27.342440999999994</v>
      </c>
      <c r="AA27">
        <f>emulator!D$10^2*$A27^2</f>
        <v>69.906321000000005</v>
      </c>
      <c r="AB27">
        <f>emulator!E$10^2*$A27^2</f>
        <v>49.533444000000003</v>
      </c>
      <c r="AC27">
        <f>emulator!F$10^2*$A27^2</f>
        <v>32.455809000000002</v>
      </c>
      <c r="AD27">
        <f>emulator!G$10^2*$A27^2</f>
        <v>44.836416</v>
      </c>
      <c r="AE27">
        <f>emulator!H$10^2*$A27^2</f>
        <v>46.785600000000002</v>
      </c>
      <c r="AF27">
        <f>emulator!I$10^2*$A27^2</f>
        <v>85.766120999999998</v>
      </c>
      <c r="AG27">
        <f>emulator!J$10^2*$A27^2</f>
        <v>98.724096000000003</v>
      </c>
      <c r="AH27">
        <f>emulator!K$10^2*$A27^2</f>
        <v>120.75812100000003</v>
      </c>
      <c r="AI27">
        <f>emulator!L$10^2*$A27^2</f>
        <v>167.26248900000002</v>
      </c>
      <c r="AJ27">
        <f>emulator!M$10^2*$A27^2</f>
        <v>204.00408899999999</v>
      </c>
      <c r="AK27">
        <f>emulator!N$10^2*$A27^2</f>
        <v>260.69331599999998</v>
      </c>
      <c r="AL27">
        <f>emulator!O$10^2*$A27^2</f>
        <v>812.42100899999991</v>
      </c>
      <c r="AM27">
        <f>emulator!P$10^2*$A27^2</f>
        <v>1601.1201959999999</v>
      </c>
      <c r="AN27">
        <f>emulator!Q$10^2*$A27^2</f>
        <v>3029.8419359999994</v>
      </c>
      <c r="AO27">
        <f>emulator!R$10^2*$A27^2</f>
        <v>1404.450576</v>
      </c>
      <c r="AP27">
        <f>emulator!S$10^2*$A27^2</f>
        <v>1682.804484</v>
      </c>
      <c r="AQ27">
        <f>emulator!T$10^2*$A27^2</f>
        <v>9447.840000000002</v>
      </c>
      <c r="AR27">
        <f>emulator!U$10^2*$A27^2</f>
        <v>67698.8361</v>
      </c>
    </row>
    <row r="28" spans="1:44" x14ac:dyDescent="0.3">
      <c r="A28">
        <f t="shared" si="1"/>
        <v>10</v>
      </c>
      <c r="B28">
        <f>emulator!C$9*$A28</f>
        <v>-12.64</v>
      </c>
      <c r="C28">
        <f>emulator!D$9*$A28</f>
        <v>-27.7</v>
      </c>
      <c r="D28">
        <f>emulator!E$9*$A28</f>
        <v>-36.589999999999996</v>
      </c>
      <c r="E28">
        <f>emulator!F$9*$A28</f>
        <v>-60.32</v>
      </c>
      <c r="F28">
        <f>emulator!G$9*$A28</f>
        <v>-57.03</v>
      </c>
      <c r="G28">
        <f>emulator!H$9*$A28</f>
        <v>-54.44</v>
      </c>
      <c r="H28">
        <f>emulator!I$9*$A28</f>
        <v>-52.04</v>
      </c>
      <c r="I28">
        <f>emulator!J$9*$A28</f>
        <v>-93.460000000000008</v>
      </c>
      <c r="J28">
        <f>emulator!K$9*$A28</f>
        <v>-125</v>
      </c>
      <c r="K28">
        <f>emulator!L$9*$A28</f>
        <v>-196.20000000000002</v>
      </c>
      <c r="L28">
        <f>emulator!M$9*$A28</f>
        <v>-208</v>
      </c>
      <c r="M28">
        <f>emulator!N$9*$A28</f>
        <v>-234.1</v>
      </c>
      <c r="N28">
        <f>emulator!O$9*$A28</f>
        <v>-315.10000000000002</v>
      </c>
      <c r="O28">
        <f>emulator!P$9*$A28</f>
        <v>-380.7</v>
      </c>
      <c r="P28">
        <f>emulator!Q$9*$A28</f>
        <v>-512.79999999999995</v>
      </c>
      <c r="Q28">
        <f>emulator!R$9*$A28</f>
        <v>-556</v>
      </c>
      <c r="R28">
        <f>emulator!S$9*$A28</f>
        <v>-532.4</v>
      </c>
      <c r="S28">
        <f>emulator!T$9*$A28</f>
        <v>-403.6</v>
      </c>
      <c r="T28">
        <f>emulator!U$9*$A28</f>
        <v>-1220</v>
      </c>
      <c r="V28">
        <f>[1]regressions!L126</f>
        <v>0</v>
      </c>
      <c r="W28">
        <f>[1]regressions!M126</f>
        <v>0</v>
      </c>
      <c r="X28">
        <f t="shared" si="2"/>
        <v>0</v>
      </c>
      <c r="Z28">
        <f>emulator!C$10^2*$A28^2</f>
        <v>33.756099999999996</v>
      </c>
      <c r="AA28">
        <f>emulator!D$10^2*$A28^2</f>
        <v>86.304100000000005</v>
      </c>
      <c r="AB28">
        <f>emulator!E$10^2*$A28^2</f>
        <v>61.152400000000007</v>
      </c>
      <c r="AC28">
        <f>emulator!F$10^2*$A28^2</f>
        <v>40.068899999999999</v>
      </c>
      <c r="AD28">
        <f>emulator!G$10^2*$A28^2</f>
        <v>55.3536</v>
      </c>
      <c r="AE28">
        <f>emulator!H$10^2*$A28^2</f>
        <v>57.76</v>
      </c>
      <c r="AF28">
        <f>emulator!I$10^2*$A28^2</f>
        <v>105.88409999999999</v>
      </c>
      <c r="AG28">
        <f>emulator!J$10^2*$A28^2</f>
        <v>121.88160000000001</v>
      </c>
      <c r="AH28">
        <f>emulator!K$10^2*$A28^2</f>
        <v>149.08410000000003</v>
      </c>
      <c r="AI28">
        <f>emulator!L$10^2*$A28^2</f>
        <v>206.49690000000001</v>
      </c>
      <c r="AJ28">
        <f>emulator!M$10^2*$A28^2</f>
        <v>251.8569</v>
      </c>
      <c r="AK28">
        <f>emulator!N$10^2*$A28^2</f>
        <v>321.84359999999998</v>
      </c>
      <c r="AL28">
        <f>emulator!O$10^2*$A28^2</f>
        <v>1002.9888999999999</v>
      </c>
      <c r="AM28">
        <f>emulator!P$10^2*$A28^2</f>
        <v>1976.6915999999999</v>
      </c>
      <c r="AN28">
        <f>emulator!Q$10^2*$A28^2</f>
        <v>3740.5455999999995</v>
      </c>
      <c r="AO28">
        <f>emulator!R$10^2*$A28^2</f>
        <v>1733.8895999999997</v>
      </c>
      <c r="AP28">
        <f>emulator!S$10^2*$A28^2</f>
        <v>2077.5364</v>
      </c>
      <c r="AQ28">
        <f>emulator!T$10^2*$A28^2</f>
        <v>11664.000000000002</v>
      </c>
      <c r="AR28">
        <f>emulator!U$10^2*$A28^2</f>
        <v>83578.81</v>
      </c>
    </row>
    <row r="30" spans="1:44" x14ac:dyDescent="0.3">
      <c r="A30" t="s">
        <v>33</v>
      </c>
      <c r="B30">
        <f>SUMPRODUCT(B3:B28,$V3:$V28)</f>
        <v>2.6256260162601599</v>
      </c>
      <c r="C30">
        <f t="shared" ref="C30:T30" si="3">SUMPRODUCT(C3:C28,$V3:$V28)</f>
        <v>5.7539430894308889</v>
      </c>
      <c r="D30">
        <f t="shared" si="3"/>
        <v>7.6006056910569013</v>
      </c>
      <c r="E30">
        <f t="shared" si="3"/>
        <v>12.529886178861775</v>
      </c>
      <c r="F30">
        <f t="shared" si="3"/>
        <v>11.846475609756084</v>
      </c>
      <c r="G30">
        <f t="shared" si="3"/>
        <v>11.308471544715436</v>
      </c>
      <c r="H30">
        <f t="shared" si="3"/>
        <v>10.809934959349581</v>
      </c>
      <c r="I30">
        <f t="shared" si="3"/>
        <v>19.413845528455262</v>
      </c>
      <c r="J30">
        <f t="shared" si="3"/>
        <v>25.965447154471516</v>
      </c>
      <c r="K30">
        <f t="shared" si="3"/>
        <v>40.755365853658496</v>
      </c>
      <c r="L30">
        <f t="shared" si="3"/>
        <v>43.20650406504059</v>
      </c>
      <c r="M30">
        <f t="shared" si="3"/>
        <v>48.628089430894256</v>
      </c>
      <c r="N30">
        <f t="shared" si="3"/>
        <v>65.453699186991813</v>
      </c>
      <c r="O30">
        <f t="shared" si="3"/>
        <v>79.080365853658463</v>
      </c>
      <c r="P30">
        <f t="shared" si="3"/>
        <v>106.52065040650395</v>
      </c>
      <c r="Q30">
        <f t="shared" si="3"/>
        <v>115.49430894308931</v>
      </c>
      <c r="R30">
        <f t="shared" si="3"/>
        <v>110.59203252032508</v>
      </c>
      <c r="S30">
        <f t="shared" si="3"/>
        <v>83.837235772357616</v>
      </c>
      <c r="T30">
        <f t="shared" si="3"/>
        <v>253.42276422764195</v>
      </c>
    </row>
    <row r="31" spans="1:44" x14ac:dyDescent="0.3">
      <c r="A31" t="s">
        <v>32</v>
      </c>
      <c r="B31">
        <f>SUMPRODUCT(B3:B28,$W3:$W28)</f>
        <v>2.6915092909731984</v>
      </c>
      <c r="C31">
        <f t="shared" ref="C31:T31" si="4">SUMPRODUCT(C3:C28,$W3:$W28)</f>
        <v>5.8983233670852533</v>
      </c>
      <c r="D31">
        <f t="shared" si="4"/>
        <v>7.7913231769548528</v>
      </c>
      <c r="E31">
        <f t="shared" si="4"/>
        <v>12.84429117337843</v>
      </c>
      <c r="F31">
        <f t="shared" si="4"/>
        <v>12.143732188623535</v>
      </c>
      <c r="G31">
        <f t="shared" si="4"/>
        <v>11.592228307007986</v>
      </c>
      <c r="H31">
        <f t="shared" si="4"/>
        <v>11.081182239101681</v>
      </c>
      <c r="I31">
        <f t="shared" si="4"/>
        <v>19.900985627717976</v>
      </c>
      <c r="J31">
        <f t="shared" si="4"/>
        <v>26.61698270345331</v>
      </c>
      <c r="K31">
        <f t="shared" si="4"/>
        <v>41.778016051340316</v>
      </c>
      <c r="L31">
        <f t="shared" si="4"/>
        <v>44.29065921854631</v>
      </c>
      <c r="M31">
        <f t="shared" si="4"/>
        <v>49.848285207027359</v>
      </c>
      <c r="N31">
        <f t="shared" si="4"/>
        <v>67.096089998865111</v>
      </c>
      <c r="O31">
        <f t="shared" si="4"/>
        <v>81.064682521637394</v>
      </c>
      <c r="P31">
        <f t="shared" si="4"/>
        <v>109.19350984264686</v>
      </c>
      <c r="Q31">
        <f t="shared" si="4"/>
        <v>118.39233906496031</v>
      </c>
      <c r="R31">
        <f t="shared" si="4"/>
        <v>113.36705273054835</v>
      </c>
      <c r="S31">
        <f t="shared" si="4"/>
        <v>85.940913752910035</v>
      </c>
      <c r="T31">
        <f t="shared" si="4"/>
        <v>259.78175118570425</v>
      </c>
    </row>
    <row r="33" spans="1:20" x14ac:dyDescent="0.3">
      <c r="A33" t="s">
        <v>34</v>
      </c>
      <c r="B33">
        <f t="shared" ref="B33:T33" si="5">B31-B30</f>
        <v>6.5883274713038453E-2</v>
      </c>
      <c r="C33">
        <f t="shared" si="5"/>
        <v>0.14438027765436434</v>
      </c>
      <c r="D33">
        <f t="shared" si="5"/>
        <v>0.19071748589795146</v>
      </c>
      <c r="E33">
        <f t="shared" si="5"/>
        <v>0.31440499451665538</v>
      </c>
      <c r="F33">
        <f t="shared" si="5"/>
        <v>0.29725657886745083</v>
      </c>
      <c r="G33">
        <f t="shared" si="5"/>
        <v>0.28375676229254942</v>
      </c>
      <c r="H33">
        <f t="shared" si="5"/>
        <v>0.2712472797520995</v>
      </c>
      <c r="I33">
        <f t="shared" si="5"/>
        <v>0.48714009926271373</v>
      </c>
      <c r="J33">
        <f t="shared" si="5"/>
        <v>0.65153554898179422</v>
      </c>
      <c r="K33">
        <f t="shared" si="5"/>
        <v>1.0226501976818199</v>
      </c>
      <c r="L33">
        <f t="shared" si="5"/>
        <v>1.0841551535057192</v>
      </c>
      <c r="M33">
        <f t="shared" si="5"/>
        <v>1.220195776133103</v>
      </c>
      <c r="N33">
        <f t="shared" si="5"/>
        <v>1.6423908118732982</v>
      </c>
      <c r="O33">
        <f t="shared" si="5"/>
        <v>1.9843166679789306</v>
      </c>
      <c r="P33">
        <f t="shared" si="5"/>
        <v>2.6728594361429145</v>
      </c>
      <c r="Q33">
        <f t="shared" si="5"/>
        <v>2.8980301218710025</v>
      </c>
      <c r="R33">
        <f t="shared" si="5"/>
        <v>2.7750202102232748</v>
      </c>
      <c r="S33">
        <f t="shared" si="5"/>
        <v>2.1036779805524191</v>
      </c>
      <c r="T33">
        <f t="shared" si="5"/>
        <v>6.3589869580623031</v>
      </c>
    </row>
    <row r="34" spans="1:20" x14ac:dyDescent="0.3">
      <c r="B34">
        <f>SQRT(SUMPRODUCT($X3:$X28,Z3:Z28))</f>
        <v>1.1082903111080225</v>
      </c>
      <c r="C34">
        <f t="shared" ref="C34:T34" si="6">SQRT(SUMPRODUCT($X3:$X28,AA3:AA28))</f>
        <v>1.7721199638887313</v>
      </c>
      <c r="D34">
        <f t="shared" si="6"/>
        <v>1.4917091622830874</v>
      </c>
      <c r="E34">
        <f t="shared" si="6"/>
        <v>1.2074832477304274</v>
      </c>
      <c r="F34">
        <f t="shared" si="6"/>
        <v>1.4192220162897917</v>
      </c>
      <c r="G34">
        <f t="shared" si="6"/>
        <v>1.449742919865916</v>
      </c>
      <c r="H34">
        <f t="shared" si="6"/>
        <v>1.96287561123951</v>
      </c>
      <c r="I34">
        <f t="shared" si="6"/>
        <v>2.1059423467525935</v>
      </c>
      <c r="J34">
        <f t="shared" si="6"/>
        <v>2.329126454153005</v>
      </c>
      <c r="K34">
        <f t="shared" si="6"/>
        <v>2.7411586524306859</v>
      </c>
      <c r="L34">
        <f t="shared" si="6"/>
        <v>3.0272921234568533</v>
      </c>
      <c r="M34">
        <f t="shared" si="6"/>
        <v>3.4221563134729647</v>
      </c>
      <c r="N34">
        <f t="shared" si="6"/>
        <v>6.0412313515991531</v>
      </c>
      <c r="O34">
        <f t="shared" si="6"/>
        <v>8.4809960812156078</v>
      </c>
      <c r="P34">
        <f t="shared" si="6"/>
        <v>11.666615391973608</v>
      </c>
      <c r="Q34">
        <f t="shared" si="6"/>
        <v>7.9430651556864129</v>
      </c>
      <c r="R34">
        <f t="shared" si="6"/>
        <v>8.6946424062484802</v>
      </c>
      <c r="S34">
        <f t="shared" si="6"/>
        <v>20.601609913884065</v>
      </c>
      <c r="T34">
        <f t="shared" si="6"/>
        <v>55.147457649110038</v>
      </c>
    </row>
    <row r="35" spans="1:20" x14ac:dyDescent="0.3">
      <c r="B35">
        <f>B33-2*B34</f>
        <v>-2.1506973475030065</v>
      </c>
      <c r="C35">
        <f t="shared" ref="C35:T35" si="7">C33-2*C34</f>
        <v>-3.3998596501230982</v>
      </c>
      <c r="D35">
        <f t="shared" si="7"/>
        <v>-2.7927008386682233</v>
      </c>
      <c r="E35">
        <f t="shared" si="7"/>
        <v>-2.1005615009441994</v>
      </c>
      <c r="F35">
        <f t="shared" si="7"/>
        <v>-2.5411874537121326</v>
      </c>
      <c r="G35">
        <f t="shared" si="7"/>
        <v>-2.6157290774392825</v>
      </c>
      <c r="H35">
        <f t="shared" si="7"/>
        <v>-3.6545039427269206</v>
      </c>
      <c r="I35">
        <f t="shared" si="7"/>
        <v>-3.7247445942424733</v>
      </c>
      <c r="J35">
        <f t="shared" si="7"/>
        <v>-4.0067173593242158</v>
      </c>
      <c r="K35">
        <f t="shared" si="7"/>
        <v>-4.4596671071795519</v>
      </c>
      <c r="L35">
        <f t="shared" si="7"/>
        <v>-4.9704290934079873</v>
      </c>
      <c r="M35">
        <f t="shared" si="7"/>
        <v>-5.6241168508128263</v>
      </c>
      <c r="N35">
        <f t="shared" si="7"/>
        <v>-10.440071891325008</v>
      </c>
      <c r="O35">
        <f t="shared" si="7"/>
        <v>-14.977675494452285</v>
      </c>
      <c r="P35">
        <f t="shared" si="7"/>
        <v>-20.660371347804301</v>
      </c>
      <c r="Q35">
        <f t="shared" si="7"/>
        <v>-12.988100189501823</v>
      </c>
      <c r="R35">
        <f t="shared" si="7"/>
        <v>-14.614264602273686</v>
      </c>
      <c r="S35">
        <f t="shared" si="7"/>
        <v>-39.099541847215711</v>
      </c>
      <c r="T35">
        <f t="shared" si="7"/>
        <v>-103.93592834015777</v>
      </c>
    </row>
    <row r="36" spans="1:20" x14ac:dyDescent="0.3">
      <c r="B36">
        <f>B33+2*B34</f>
        <v>2.2824638969290834</v>
      </c>
      <c r="C36">
        <f t="shared" ref="C36:T36" si="8">C33+2*C34</f>
        <v>3.6886202054318269</v>
      </c>
      <c r="D36">
        <f t="shared" si="8"/>
        <v>3.1741358104641262</v>
      </c>
      <c r="E36">
        <f t="shared" si="8"/>
        <v>2.7293714899775101</v>
      </c>
      <c r="F36">
        <f t="shared" si="8"/>
        <v>3.1357006114470343</v>
      </c>
      <c r="G36">
        <f t="shared" si="8"/>
        <v>3.1832426020243814</v>
      </c>
      <c r="H36">
        <f t="shared" si="8"/>
        <v>4.1969985022311196</v>
      </c>
      <c r="I36">
        <f t="shared" si="8"/>
        <v>4.6990247927679007</v>
      </c>
      <c r="J36">
        <f t="shared" si="8"/>
        <v>5.3097884572878042</v>
      </c>
      <c r="K36">
        <f t="shared" si="8"/>
        <v>6.5049675025431917</v>
      </c>
      <c r="L36">
        <f t="shared" si="8"/>
        <v>7.1387394004194258</v>
      </c>
      <c r="M36">
        <f t="shared" si="8"/>
        <v>8.0645084030790315</v>
      </c>
      <c r="N36">
        <f t="shared" si="8"/>
        <v>13.724853515071604</v>
      </c>
      <c r="O36">
        <f t="shared" si="8"/>
        <v>18.946308830410146</v>
      </c>
      <c r="P36">
        <f t="shared" si="8"/>
        <v>26.00609022009013</v>
      </c>
      <c r="Q36">
        <f t="shared" si="8"/>
        <v>18.784160433243827</v>
      </c>
      <c r="R36">
        <f t="shared" si="8"/>
        <v>20.164305022720235</v>
      </c>
      <c r="S36">
        <f t="shared" si="8"/>
        <v>43.306897808320549</v>
      </c>
      <c r="T36">
        <f t="shared" si="8"/>
        <v>116.65390225628238</v>
      </c>
    </row>
    <row r="38" spans="1:20" x14ac:dyDescent="0.3">
      <c r="A38" t="s">
        <v>100</v>
      </c>
      <c r="B38">
        <f>time!B26</f>
        <v>15</v>
      </c>
      <c r="C38">
        <f>time!C26</f>
        <v>30</v>
      </c>
      <c r="D38">
        <f>time!D26</f>
        <v>45</v>
      </c>
      <c r="E38">
        <f>time!E26</f>
        <v>65</v>
      </c>
      <c r="F38">
        <f>time!F26</f>
        <v>75</v>
      </c>
      <c r="G38">
        <f>time!G26</f>
        <v>85</v>
      </c>
      <c r="H38">
        <f>time!H26</f>
        <v>100</v>
      </c>
      <c r="I38">
        <f>time!I26</f>
        <v>130</v>
      </c>
      <c r="J38">
        <f>time!J26</f>
        <v>155</v>
      </c>
      <c r="K38">
        <f>time!K26</f>
        <v>180</v>
      </c>
      <c r="L38">
        <f>time!L26</f>
        <v>215</v>
      </c>
      <c r="M38">
        <f>time!M26</f>
        <v>245</v>
      </c>
      <c r="N38">
        <f>time!N26</f>
        <v>275</v>
      </c>
      <c r="O38">
        <f>time!O26</f>
        <v>330</v>
      </c>
      <c r="P38">
        <f>time!P26</f>
        <v>400</v>
      </c>
      <c r="Q38">
        <f>time!Q26</f>
        <v>550</v>
      </c>
      <c r="R38">
        <f>time!R26</f>
        <v>780</v>
      </c>
      <c r="S38">
        <f>time!S26</f>
        <v>960</v>
      </c>
      <c r="T38">
        <f>time!T26</f>
        <v>1510</v>
      </c>
    </row>
    <row r="39" spans="1:20" x14ac:dyDescent="0.3">
      <c r="B39">
        <f>B38+B33</f>
        <v>15.065883274713038</v>
      </c>
      <c r="C39">
        <f t="shared" ref="C39:T39" si="9">C38+C33</f>
        <v>30.144380277654363</v>
      </c>
      <c r="D39">
        <f t="shared" si="9"/>
        <v>45.190717485897949</v>
      </c>
      <c r="E39">
        <f t="shared" si="9"/>
        <v>65.31440499451665</v>
      </c>
      <c r="F39">
        <f t="shared" si="9"/>
        <v>75.297256578867447</v>
      </c>
      <c r="G39">
        <f t="shared" si="9"/>
        <v>85.283756762292555</v>
      </c>
      <c r="H39">
        <f t="shared" si="9"/>
        <v>100.2712472797521</v>
      </c>
      <c r="I39">
        <f t="shared" si="9"/>
        <v>130.48714009926272</v>
      </c>
      <c r="J39">
        <f t="shared" si="9"/>
        <v>155.6515355489818</v>
      </c>
      <c r="K39">
        <f t="shared" si="9"/>
        <v>181.02265019768183</v>
      </c>
      <c r="L39">
        <f t="shared" si="9"/>
        <v>216.08415515350572</v>
      </c>
      <c r="M39">
        <f t="shared" si="9"/>
        <v>246.2201957761331</v>
      </c>
      <c r="N39">
        <f t="shared" si="9"/>
        <v>276.64239081187327</v>
      </c>
      <c r="O39">
        <f t="shared" si="9"/>
        <v>331.98431666797893</v>
      </c>
      <c r="P39">
        <f t="shared" si="9"/>
        <v>402.67285943614291</v>
      </c>
      <c r="Q39">
        <f t="shared" si="9"/>
        <v>552.89803012187099</v>
      </c>
      <c r="R39">
        <f t="shared" si="9"/>
        <v>782.77502021022326</v>
      </c>
      <c r="S39">
        <f t="shared" si="9"/>
        <v>962.10367798055245</v>
      </c>
      <c r="T39">
        <f t="shared" si="9"/>
        <v>1516.3589869580624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304F-4D73-42EC-9B2C-4345A16A556F}">
  <dimension ref="A1:C26"/>
  <sheetViews>
    <sheetView workbookViewId="0">
      <selection activeCell="K18" sqref="K18"/>
    </sheetView>
  </sheetViews>
  <sheetFormatPr defaultRowHeight="13" x14ac:dyDescent="0.3"/>
  <sheetData>
    <row r="1" spans="1:3" x14ac:dyDescent="0.3">
      <c r="A1">
        <f>rsB!A3</f>
        <v>-15</v>
      </c>
      <c r="B1">
        <f>rsB!V3</f>
        <v>0</v>
      </c>
      <c r="C1">
        <f>rsB!W3</f>
        <v>0</v>
      </c>
    </row>
    <row r="2" spans="1:3" x14ac:dyDescent="0.3">
      <c r="A2">
        <f>rsB!A4</f>
        <v>-14</v>
      </c>
      <c r="B2">
        <f>rsB!V4</f>
        <v>0</v>
      </c>
      <c r="C2">
        <f>rsB!W4</f>
        <v>2.0283409340940908E-4</v>
      </c>
    </row>
    <row r="3" spans="1:3" x14ac:dyDescent="0.3">
      <c r="A3">
        <f>rsB!A5</f>
        <v>-13</v>
      </c>
      <c r="B3">
        <f>rsB!V5</f>
        <v>0</v>
      </c>
      <c r="C3">
        <f>rsB!W5</f>
        <v>2.1624243051262949E-3</v>
      </c>
    </row>
    <row r="4" spans="1:3" x14ac:dyDescent="0.3">
      <c r="A4">
        <f>rsB!A6</f>
        <v>-12</v>
      </c>
      <c r="B4">
        <f>rsB!V6</f>
        <v>2.4390243902439011E-2</v>
      </c>
      <c r="C4">
        <f>rsB!W6</f>
        <v>1.0311817913690592E-4</v>
      </c>
    </row>
    <row r="5" spans="1:3" x14ac:dyDescent="0.3">
      <c r="A5">
        <f>rsB!A7</f>
        <v>-11</v>
      </c>
      <c r="B5">
        <f>rsB!V7</f>
        <v>0</v>
      </c>
      <c r="C5">
        <f>rsB!W7</f>
        <v>0</v>
      </c>
    </row>
    <row r="6" spans="1:3" x14ac:dyDescent="0.3">
      <c r="A6">
        <f>rsB!A8</f>
        <v>-10</v>
      </c>
      <c r="B6">
        <f>rsB!V8</f>
        <v>0</v>
      </c>
      <c r="C6">
        <f>rsB!W8</f>
        <v>2.0745030647295135E-3</v>
      </c>
    </row>
    <row r="7" spans="1:3" x14ac:dyDescent="0.3">
      <c r="A7">
        <f>rsB!A9</f>
        <v>-9</v>
      </c>
      <c r="B7">
        <f>rsB!V9</f>
        <v>0</v>
      </c>
      <c r="C7">
        <f>rsB!W9</f>
        <v>4.3840768131694595E-3</v>
      </c>
    </row>
    <row r="8" spans="1:3" x14ac:dyDescent="0.3">
      <c r="A8">
        <f>rsB!A10</f>
        <v>-8</v>
      </c>
      <c r="B8">
        <f>rsB!V10</f>
        <v>0</v>
      </c>
      <c r="C8">
        <f>rsB!W10</f>
        <v>2.9820322591846099E-3</v>
      </c>
    </row>
    <row r="9" spans="1:3" x14ac:dyDescent="0.3">
      <c r="A9">
        <f>rsB!A11</f>
        <v>-7</v>
      </c>
      <c r="B9">
        <f>rsB!V11</f>
        <v>5.4878048780487777E-2</v>
      </c>
      <c r="C9">
        <f>rsB!W11</f>
        <v>7.5450705925890465E-3</v>
      </c>
    </row>
    <row r="10" spans="1:3" x14ac:dyDescent="0.3">
      <c r="A10">
        <f>rsB!A12</f>
        <v>-6</v>
      </c>
      <c r="B10">
        <f>rsB!V12</f>
        <v>6.0975609756097528E-3</v>
      </c>
      <c r="C10">
        <f>rsB!W12</f>
        <v>9.3313264363675208E-2</v>
      </c>
    </row>
    <row r="11" spans="1:3" x14ac:dyDescent="0.3">
      <c r="A11">
        <f>rsB!A13</f>
        <v>-5</v>
      </c>
      <c r="B11">
        <f>rsB!V13</f>
        <v>4.8780487804878023E-2</v>
      </c>
      <c r="C11">
        <f>rsB!W13</f>
        <v>3.9852001180634568E-2</v>
      </c>
    </row>
    <row r="12" spans="1:3" x14ac:dyDescent="0.3">
      <c r="A12">
        <f>rsB!A14</f>
        <v>-4</v>
      </c>
      <c r="B12">
        <f>rsB!V14</f>
        <v>8.5365853658536536E-2</v>
      </c>
      <c r="C12">
        <f>rsB!W14</f>
        <v>1.8941447759349635E-2</v>
      </c>
    </row>
    <row r="13" spans="1:3" x14ac:dyDescent="0.3">
      <c r="A13">
        <f>rsB!A15</f>
        <v>-3</v>
      </c>
      <c r="B13">
        <f>rsB!V15</f>
        <v>8.9430894308943035E-2</v>
      </c>
      <c r="C13">
        <f>rsB!W15</f>
        <v>5.8607039812098333E-2</v>
      </c>
    </row>
    <row r="14" spans="1:3" x14ac:dyDescent="0.3">
      <c r="A14">
        <f>rsB!A16</f>
        <v>-2</v>
      </c>
      <c r="B14">
        <f>rsB!V16</f>
        <v>0.15243902439024387</v>
      </c>
      <c r="C14">
        <f>rsB!W16</f>
        <v>0.38929191434426519</v>
      </c>
    </row>
    <row r="15" spans="1:3" x14ac:dyDescent="0.3">
      <c r="A15">
        <f>rsB!A17</f>
        <v>-1</v>
      </c>
      <c r="B15">
        <f>rsB!V17</f>
        <v>0.43292682926829218</v>
      </c>
      <c r="C15">
        <f>rsB!W17</f>
        <v>0.25891617998936778</v>
      </c>
    </row>
    <row r="16" spans="1:3" x14ac:dyDescent="0.3">
      <c r="A16">
        <f>rsB!A18</f>
        <v>0</v>
      </c>
      <c r="B16">
        <f>rsB!V18</f>
        <v>5.1490514905149623E-2</v>
      </c>
      <c r="C16">
        <f>rsB!W18</f>
        <v>3.2067889289634548E-2</v>
      </c>
    </row>
    <row r="17" spans="1:3" x14ac:dyDescent="0.3">
      <c r="A17">
        <f>rsB!A19</f>
        <v>1</v>
      </c>
      <c r="B17">
        <f>rsB!V19</f>
        <v>2.4390243902439011E-2</v>
      </c>
      <c r="C17">
        <f>rsB!W19</f>
        <v>8.7105035138892756E-2</v>
      </c>
    </row>
    <row r="18" spans="1:3" x14ac:dyDescent="0.3">
      <c r="A18">
        <f>rsB!A20</f>
        <v>2</v>
      </c>
      <c r="B18">
        <f>rsB!V20</f>
        <v>0</v>
      </c>
      <c r="C18">
        <f>rsB!W20</f>
        <v>2.0623635827381184E-4</v>
      </c>
    </row>
    <row r="19" spans="1:3" x14ac:dyDescent="0.3">
      <c r="A19">
        <f>rsB!A21</f>
        <v>3</v>
      </c>
      <c r="B19">
        <f>rsB!V21</f>
        <v>0</v>
      </c>
      <c r="C19">
        <f>rsB!W21</f>
        <v>0</v>
      </c>
    </row>
    <row r="20" spans="1:3" x14ac:dyDescent="0.3">
      <c r="A20">
        <f>rsB!A22</f>
        <v>4</v>
      </c>
      <c r="B20">
        <f>rsB!V22</f>
        <v>0</v>
      </c>
      <c r="C20">
        <f>rsB!W22</f>
        <v>1.0311817913690592E-4</v>
      </c>
    </row>
    <row r="21" spans="1:3" x14ac:dyDescent="0.3">
      <c r="A21">
        <f>rsB!A23</f>
        <v>5</v>
      </c>
      <c r="B21">
        <f>rsB!V23</f>
        <v>2.7100271002710782E-3</v>
      </c>
      <c r="C21">
        <f>rsB!W23</f>
        <v>0</v>
      </c>
    </row>
    <row r="22" spans="1:3" x14ac:dyDescent="0.3">
      <c r="A22">
        <f>rsB!A24</f>
        <v>6</v>
      </c>
      <c r="B22">
        <f>rsB!V24</f>
        <v>0</v>
      </c>
      <c r="C22">
        <f>rsB!W24</f>
        <v>0</v>
      </c>
    </row>
    <row r="23" spans="1:3" x14ac:dyDescent="0.3">
      <c r="A23">
        <f>rsB!A25</f>
        <v>7</v>
      </c>
      <c r="B23">
        <f>rsB!V25</f>
        <v>2.7100271002710091E-2</v>
      </c>
      <c r="C23">
        <f>rsB!W25</f>
        <v>0</v>
      </c>
    </row>
    <row r="24" spans="1:3" x14ac:dyDescent="0.3">
      <c r="A24">
        <f>rsB!A26</f>
        <v>8</v>
      </c>
      <c r="B24">
        <f>rsB!V26</f>
        <v>0</v>
      </c>
      <c r="C24">
        <f>rsB!W26</f>
        <v>0</v>
      </c>
    </row>
    <row r="25" spans="1:3" x14ac:dyDescent="0.3">
      <c r="A25">
        <f>rsB!A27</f>
        <v>9</v>
      </c>
      <c r="B25">
        <f>rsB!V27</f>
        <v>0</v>
      </c>
      <c r="C25">
        <f>rsB!W27</f>
        <v>0</v>
      </c>
    </row>
    <row r="26" spans="1:3" x14ac:dyDescent="0.3">
      <c r="A26">
        <f>rsB!A28</f>
        <v>10</v>
      </c>
      <c r="B26">
        <f>rsB!V28</f>
        <v>0</v>
      </c>
      <c r="C26">
        <f>rsB!W28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6568-1FA8-4C26-A5C9-EE210FDFB5A4}">
  <dimension ref="A1:AV44"/>
  <sheetViews>
    <sheetView workbookViewId="0">
      <selection activeCell="B8" sqref="B8"/>
    </sheetView>
  </sheetViews>
  <sheetFormatPr defaultRowHeight="13" x14ac:dyDescent="0.3"/>
  <cols>
    <col min="30" max="30" width="10.8984375" bestFit="1" customWidth="1"/>
  </cols>
  <sheetData>
    <row r="1" spans="1:48" x14ac:dyDescent="0.3">
      <c r="A1" t="s">
        <v>31</v>
      </c>
      <c r="V1" t="s">
        <v>32</v>
      </c>
      <c r="W1" t="s">
        <v>36</v>
      </c>
      <c r="X1" t="s">
        <v>35</v>
      </c>
      <c r="Y1" t="s">
        <v>42</v>
      </c>
      <c r="Z1" t="s">
        <v>35</v>
      </c>
      <c r="AA1" t="s">
        <v>43</v>
      </c>
      <c r="AB1" t="s">
        <v>35</v>
      </c>
    </row>
    <row r="2" spans="1:48" x14ac:dyDescent="0.3">
      <c r="B2" s="5">
        <v>0.05</v>
      </c>
      <c r="C2" s="6">
        <f>5%+B2</f>
        <v>0.1</v>
      </c>
      <c r="D2" s="6">
        <f>5%+C2</f>
        <v>0.15000000000000002</v>
      </c>
      <c r="E2" s="6">
        <f t="shared" ref="E2:T2" si="0">5%+D2</f>
        <v>0.2</v>
      </c>
      <c r="F2" s="6">
        <f t="shared" si="0"/>
        <v>0.25</v>
      </c>
      <c r="G2" s="6">
        <f t="shared" si="0"/>
        <v>0.3</v>
      </c>
      <c r="H2" s="6">
        <f t="shared" si="0"/>
        <v>0.35</v>
      </c>
      <c r="I2" s="6">
        <f t="shared" si="0"/>
        <v>0.39999999999999997</v>
      </c>
      <c r="J2" s="6">
        <f t="shared" si="0"/>
        <v>0.44999999999999996</v>
      </c>
      <c r="K2" s="6">
        <f t="shared" si="0"/>
        <v>0.49999999999999994</v>
      </c>
      <c r="L2" s="6">
        <f t="shared" si="0"/>
        <v>0.54999999999999993</v>
      </c>
      <c r="M2" s="6">
        <f t="shared" si="0"/>
        <v>0.6</v>
      </c>
      <c r="N2" s="6">
        <f t="shared" si="0"/>
        <v>0.65</v>
      </c>
      <c r="O2" s="6">
        <f t="shared" si="0"/>
        <v>0.70000000000000007</v>
      </c>
      <c r="P2" s="6">
        <f t="shared" si="0"/>
        <v>0.75000000000000011</v>
      </c>
      <c r="Q2" s="6">
        <f t="shared" si="0"/>
        <v>0.80000000000000016</v>
      </c>
      <c r="R2" s="6">
        <f t="shared" si="0"/>
        <v>0.8500000000000002</v>
      </c>
      <c r="S2" s="6">
        <f t="shared" si="0"/>
        <v>0.90000000000000024</v>
      </c>
      <c r="T2" s="6">
        <f t="shared" si="0"/>
        <v>0.95000000000000029</v>
      </c>
    </row>
    <row r="3" spans="1:48" x14ac:dyDescent="0.3">
      <c r="A3">
        <v>0</v>
      </c>
      <c r="B3">
        <f>emulator!C$5*$A3</f>
        <v>0</v>
      </c>
      <c r="C3">
        <f>emulator!D$5*$A3</f>
        <v>0</v>
      </c>
      <c r="D3">
        <f>emulator!E$5*$A3</f>
        <v>0</v>
      </c>
      <c r="E3">
        <f>emulator!F$5*$A3</f>
        <v>0</v>
      </c>
      <c r="F3">
        <f>emulator!G$5*$A3</f>
        <v>0</v>
      </c>
      <c r="G3">
        <f>emulator!H$5*$A3</f>
        <v>0</v>
      </c>
      <c r="H3">
        <f>emulator!I$5*$A3</f>
        <v>0</v>
      </c>
      <c r="I3">
        <f>emulator!J$5*$A3</f>
        <v>0</v>
      </c>
      <c r="J3">
        <f>emulator!K$5*$A3</f>
        <v>0</v>
      </c>
      <c r="K3">
        <f>emulator!L$5*$A3</f>
        <v>0</v>
      </c>
      <c r="L3">
        <f>emulator!M$5*$A3</f>
        <v>0</v>
      </c>
      <c r="M3">
        <f>emulator!N$5*$A3</f>
        <v>0</v>
      </c>
      <c r="N3">
        <f>emulator!O$5*$A3</f>
        <v>0</v>
      </c>
      <c r="O3">
        <f>emulator!P$5*$A3</f>
        <v>0</v>
      </c>
      <c r="P3">
        <f>emulator!Q$5*$A3</f>
        <v>0</v>
      </c>
      <c r="Q3">
        <f>emulator!R$5*$A3</f>
        <v>0</v>
      </c>
      <c r="R3">
        <f>emulator!S$5*$A3</f>
        <v>0</v>
      </c>
      <c r="S3">
        <f>emulator!T$5*$A3</f>
        <v>0</v>
      </c>
      <c r="T3">
        <f>emulator!U$5*$A3</f>
        <v>0</v>
      </c>
      <c r="V3">
        <f>[2]Sheet2!$BY2</f>
        <v>0.14219977803902276</v>
      </c>
      <c r="W3">
        <f>[2]Sheet2!$BW2</f>
        <v>5.5248618784530384E-2</v>
      </c>
      <c r="X3">
        <f>W3-$V3</f>
        <v>-8.6951159254492372E-2</v>
      </c>
      <c r="Y3">
        <f>[2]Sheet2!$CA2</f>
        <v>0.41237113402061853</v>
      </c>
      <c r="Z3">
        <f>Y3-$V3</f>
        <v>0.27017135598159581</v>
      </c>
      <c r="AA3">
        <f>[2]Sheet2!$CC2</f>
        <v>0.35173160173160173</v>
      </c>
      <c r="AB3">
        <f>AA3-$V3</f>
        <v>0.20953182369257897</v>
      </c>
      <c r="AD3">
        <f>+emulator!C$6^2*$A3^2</f>
        <v>0</v>
      </c>
      <c r="AE3">
        <f>+emulator!D$6^2*$A3^2</f>
        <v>0</v>
      </c>
      <c r="AF3">
        <f>+emulator!E$6^2*$A3^2</f>
        <v>0</v>
      </c>
      <c r="AG3">
        <f>+emulator!F$6^2*$A3^2</f>
        <v>0</v>
      </c>
      <c r="AH3">
        <f>+emulator!G$6^2*$A3^2</f>
        <v>0</v>
      </c>
      <c r="AI3">
        <f>+emulator!H$6^2*$A3^2</f>
        <v>0</v>
      </c>
      <c r="AJ3">
        <f>+emulator!I$6^2*$A3^2</f>
        <v>0</v>
      </c>
      <c r="AK3">
        <f>+emulator!J$6^2*$A3^2</f>
        <v>0</v>
      </c>
      <c r="AL3">
        <f>+emulator!K$6^2*$A3^2</f>
        <v>0</v>
      </c>
      <c r="AM3">
        <f>+emulator!L$6^2*$A3^2</f>
        <v>0</v>
      </c>
      <c r="AN3">
        <f>+emulator!M$6^2*$A3^2</f>
        <v>0</v>
      </c>
      <c r="AO3">
        <f>+emulator!N$6^2*$A3^2</f>
        <v>0</v>
      </c>
      <c r="AP3">
        <f>+emulator!O$6^2*$A3^2</f>
        <v>0</v>
      </c>
      <c r="AQ3">
        <f>+emulator!P$6^2*$A3^2</f>
        <v>0</v>
      </c>
      <c r="AR3">
        <f>+emulator!Q$6^2*$A3^2</f>
        <v>0</v>
      </c>
      <c r="AS3">
        <f>+emulator!R$6^2*$A3^2</f>
        <v>0</v>
      </c>
      <c r="AT3">
        <f>+emulator!S$6^2*$A3^2</f>
        <v>0</v>
      </c>
      <c r="AU3">
        <f>+emulator!T$6^2*$A3^2</f>
        <v>0</v>
      </c>
      <c r="AV3">
        <f>+emulator!U$6^2*$A3^2</f>
        <v>0</v>
      </c>
    </row>
    <row r="4" spans="1:48" x14ac:dyDescent="0.3">
      <c r="A4">
        <f>0.5+A3</f>
        <v>0.5</v>
      </c>
      <c r="B4">
        <f>emulator!C$5*$A4</f>
        <v>-5.4550000000000001</v>
      </c>
      <c r="C4">
        <f>emulator!D$5*$A4</f>
        <v>-8.27</v>
      </c>
      <c r="D4">
        <f>emulator!E$5*$A4</f>
        <v>-10.734999999999999</v>
      </c>
      <c r="E4">
        <f>emulator!F$5*$A4</f>
        <v>-11.57</v>
      </c>
      <c r="F4">
        <f>emulator!G$5*$A4</f>
        <v>-14.77</v>
      </c>
      <c r="G4">
        <f>emulator!H$5*$A4</f>
        <v>-19.645</v>
      </c>
      <c r="H4">
        <f>emulator!I$5*$A4</f>
        <v>-23.98</v>
      </c>
      <c r="I4">
        <f>emulator!J$5*$A4</f>
        <v>-27.46</v>
      </c>
      <c r="J4">
        <f>emulator!K$5*$A4</f>
        <v>-28.3</v>
      </c>
      <c r="K4">
        <f>emulator!L$5*$A4</f>
        <v>-32.854999999999997</v>
      </c>
      <c r="L4">
        <f>emulator!M$5*$A4</f>
        <v>-38.74</v>
      </c>
      <c r="M4">
        <f>emulator!N$5*$A4</f>
        <v>-41.44</v>
      </c>
      <c r="N4">
        <f>emulator!O$5*$A4</f>
        <v>-45.91</v>
      </c>
      <c r="O4">
        <f>emulator!P$5*$A4</f>
        <v>-62.85</v>
      </c>
      <c r="P4">
        <f>emulator!Q$5*$A4</f>
        <v>-85</v>
      </c>
      <c r="Q4">
        <f>emulator!R$5*$A4</f>
        <v>-107.65</v>
      </c>
      <c r="R4">
        <f>emulator!S$5*$A4</f>
        <v>-96.7</v>
      </c>
      <c r="S4">
        <f>emulator!T$5*$A4</f>
        <v>-113.75</v>
      </c>
      <c r="T4">
        <f>emulator!U$5*$A4</f>
        <v>-164.4</v>
      </c>
      <c r="V4">
        <f>[2]Sheet2!$BY3</f>
        <v>2.4305419624265859E-2</v>
      </c>
      <c r="W4">
        <f>[2]Sheet2!$BW3</f>
        <v>0.143646408839779</v>
      </c>
      <c r="X4">
        <f t="shared" ref="X4:Z13" si="1">W4-$V4</f>
        <v>0.11934098921551314</v>
      </c>
      <c r="Y4">
        <f>[2]Sheet2!$CA3</f>
        <v>0.12886597938144329</v>
      </c>
      <c r="Z4">
        <f t="shared" si="1"/>
        <v>0.10456055975717743</v>
      </c>
      <c r="AA4">
        <f>[2]Sheet2!$CC3</f>
        <v>0.33766233766233766</v>
      </c>
      <c r="AB4">
        <f t="shared" ref="AB4" si="2">AA4-$V4</f>
        <v>0.31335691803807181</v>
      </c>
      <c r="AD4">
        <f>+emulator!C$6^2*$A4^2</f>
        <v>2.3994009999999997</v>
      </c>
      <c r="AE4">
        <f>+emulator!D$6^2*$A4^2</f>
        <v>6.1404840000000007</v>
      </c>
      <c r="AF4">
        <f>+emulator!E$6^2*$A4^2</f>
        <v>4.3555690000000009</v>
      </c>
      <c r="AG4">
        <f>+emulator!F$6^2*$A4^2</f>
        <v>2.8510322499999998</v>
      </c>
      <c r="AH4">
        <f>+emulator!G$6^2*$A4^2</f>
        <v>3.9441959999999998</v>
      </c>
      <c r="AI4">
        <f>+emulator!H$6^2*$A4^2</f>
        <v>4.1087290000000003</v>
      </c>
      <c r="AJ4">
        <f>+emulator!I$6^2*$A4^2</f>
        <v>7.5322802499999995</v>
      </c>
      <c r="AK4">
        <f>+emulator!J$6^2*$A4^2</f>
        <v>8.6759702500000007</v>
      </c>
      <c r="AL4">
        <f>+emulator!K$6^2*$A4^2</f>
        <v>10.614564</v>
      </c>
      <c r="AM4">
        <f>+emulator!L$6^2*$A4^2</f>
        <v>14.691889000000002</v>
      </c>
      <c r="AN4">
        <f>+emulator!M$6^2*$A4^2</f>
        <v>17.922522250000004</v>
      </c>
      <c r="AO4">
        <f>+emulator!N$6^2*$A4^2</f>
        <v>22.896225000000001</v>
      </c>
      <c r="AP4">
        <f>+emulator!O$6^2*$A4^2</f>
        <v>71.402499999999989</v>
      </c>
      <c r="AQ4">
        <f>+emulator!P$6^2*$A4^2</f>
        <v>140.65959999999998</v>
      </c>
      <c r="AR4">
        <f>+emulator!Q$6^2*$A4^2</f>
        <v>266.17922500000003</v>
      </c>
      <c r="AS4">
        <f>+emulator!R$6^2*$A4^2</f>
        <v>123.32102500000001</v>
      </c>
      <c r="AT4">
        <f>+emulator!S$6^2*$A4^2</f>
        <v>147.8656</v>
      </c>
      <c r="AU4">
        <f>+emulator!T$6^2*$A4^2</f>
        <v>830.01609999999994</v>
      </c>
      <c r="AV4">
        <f>+emulator!U$6^2*$A4^2</f>
        <v>5944.4099999999989</v>
      </c>
    </row>
    <row r="5" spans="1:48" x14ac:dyDescent="0.3">
      <c r="A5">
        <f t="shared" ref="A5:A21" si="3">0.5+A4</f>
        <v>1</v>
      </c>
      <c r="B5">
        <f>emulator!C$5*$A5</f>
        <v>-10.91</v>
      </c>
      <c r="C5">
        <f>emulator!D$5*$A5</f>
        <v>-16.54</v>
      </c>
      <c r="D5">
        <f>emulator!E$5*$A5</f>
        <v>-21.47</v>
      </c>
      <c r="E5">
        <f>emulator!F$5*$A5</f>
        <v>-23.14</v>
      </c>
      <c r="F5">
        <f>emulator!G$5*$A5</f>
        <v>-29.54</v>
      </c>
      <c r="G5">
        <f>emulator!H$5*$A5</f>
        <v>-39.29</v>
      </c>
      <c r="H5">
        <f>emulator!I$5*$A5</f>
        <v>-47.96</v>
      </c>
      <c r="I5">
        <f>emulator!J$5*$A5</f>
        <v>-54.92</v>
      </c>
      <c r="J5">
        <f>emulator!K$5*$A5</f>
        <v>-56.6</v>
      </c>
      <c r="K5">
        <f>emulator!L$5*$A5</f>
        <v>-65.709999999999994</v>
      </c>
      <c r="L5">
        <f>emulator!M$5*$A5</f>
        <v>-77.48</v>
      </c>
      <c r="M5">
        <f>emulator!N$5*$A5</f>
        <v>-82.88</v>
      </c>
      <c r="N5">
        <f>emulator!O$5*$A5</f>
        <v>-91.82</v>
      </c>
      <c r="O5">
        <f>emulator!P$5*$A5</f>
        <v>-125.7</v>
      </c>
      <c r="P5">
        <f>emulator!Q$5*$A5</f>
        <v>-170</v>
      </c>
      <c r="Q5">
        <f>emulator!R$5*$A5</f>
        <v>-215.3</v>
      </c>
      <c r="R5">
        <f>emulator!S$5*$A5</f>
        <v>-193.4</v>
      </c>
      <c r="S5">
        <f>emulator!T$5*$A5</f>
        <v>-227.5</v>
      </c>
      <c r="T5">
        <f>emulator!U$5*$A5</f>
        <v>-328.8</v>
      </c>
      <c r="V5">
        <f>[2]Sheet2!$BY4</f>
        <v>0.2172339796030284</v>
      </c>
      <c r="W5">
        <f>[2]Sheet2!$BW4</f>
        <v>0.36464088397790057</v>
      </c>
      <c r="X5">
        <f t="shared" si="1"/>
        <v>0.14740690437487217</v>
      </c>
      <c r="Y5">
        <f>[2]Sheet2!$CA4</f>
        <v>0.17525773195876287</v>
      </c>
      <c r="Z5">
        <f t="shared" si="1"/>
        <v>-4.1976247644265524E-2</v>
      </c>
      <c r="AA5">
        <f>[2]Sheet2!$CC4</f>
        <v>0.13095238095238096</v>
      </c>
      <c r="AB5">
        <f t="shared" ref="AB5" si="4">AA5-$V5</f>
        <v>-8.628159865064744E-2</v>
      </c>
      <c r="AD5">
        <f>+emulator!C$6^2*$A5^2</f>
        <v>9.5976039999999987</v>
      </c>
      <c r="AE5">
        <f>+emulator!D$6^2*$A5^2</f>
        <v>24.561936000000003</v>
      </c>
      <c r="AF5">
        <f>+emulator!E$6^2*$A5^2</f>
        <v>17.422276000000004</v>
      </c>
      <c r="AG5">
        <f>+emulator!F$6^2*$A5^2</f>
        <v>11.404128999999999</v>
      </c>
      <c r="AH5">
        <f>+emulator!G$6^2*$A5^2</f>
        <v>15.776783999999999</v>
      </c>
      <c r="AI5">
        <f>+emulator!H$6^2*$A5^2</f>
        <v>16.434916000000001</v>
      </c>
      <c r="AJ5">
        <f>+emulator!I$6^2*$A5^2</f>
        <v>30.129120999999998</v>
      </c>
      <c r="AK5">
        <f>+emulator!J$6^2*$A5^2</f>
        <v>34.703881000000003</v>
      </c>
      <c r="AL5">
        <f>+emulator!K$6^2*$A5^2</f>
        <v>42.458255999999999</v>
      </c>
      <c r="AM5">
        <f>+emulator!L$6^2*$A5^2</f>
        <v>58.767556000000006</v>
      </c>
      <c r="AN5">
        <f>+emulator!M$6^2*$A5^2</f>
        <v>71.690089000000015</v>
      </c>
      <c r="AO5">
        <f>+emulator!N$6^2*$A5^2</f>
        <v>91.584900000000005</v>
      </c>
      <c r="AP5">
        <f>+emulator!O$6^2*$A5^2</f>
        <v>285.60999999999996</v>
      </c>
      <c r="AQ5">
        <f>+emulator!P$6^2*$A5^2</f>
        <v>562.63839999999993</v>
      </c>
      <c r="AR5">
        <f>+emulator!Q$6^2*$A5^2</f>
        <v>1064.7169000000001</v>
      </c>
      <c r="AS5">
        <f>+emulator!R$6^2*$A5^2</f>
        <v>493.28410000000002</v>
      </c>
      <c r="AT5">
        <f>+emulator!S$6^2*$A5^2</f>
        <v>591.4624</v>
      </c>
      <c r="AU5">
        <f>+emulator!T$6^2*$A5^2</f>
        <v>3320.0643999999998</v>
      </c>
      <c r="AV5">
        <f>+emulator!U$6^2*$A5^2</f>
        <v>23777.639999999996</v>
      </c>
    </row>
    <row r="6" spans="1:48" x14ac:dyDescent="0.3">
      <c r="A6">
        <f t="shared" si="3"/>
        <v>1.5</v>
      </c>
      <c r="B6">
        <f>emulator!C$5*$A6</f>
        <v>-16.365000000000002</v>
      </c>
      <c r="C6">
        <f>emulator!D$5*$A6</f>
        <v>-24.81</v>
      </c>
      <c r="D6">
        <f>emulator!E$5*$A6</f>
        <v>-32.204999999999998</v>
      </c>
      <c r="E6">
        <f>emulator!F$5*$A6</f>
        <v>-34.71</v>
      </c>
      <c r="F6">
        <f>emulator!G$5*$A6</f>
        <v>-44.31</v>
      </c>
      <c r="G6">
        <f>emulator!H$5*$A6</f>
        <v>-58.935000000000002</v>
      </c>
      <c r="H6">
        <f>emulator!I$5*$A6</f>
        <v>-71.94</v>
      </c>
      <c r="I6">
        <f>emulator!J$5*$A6</f>
        <v>-82.38</v>
      </c>
      <c r="J6">
        <f>emulator!K$5*$A6</f>
        <v>-84.9</v>
      </c>
      <c r="K6">
        <f>emulator!L$5*$A6</f>
        <v>-98.564999999999998</v>
      </c>
      <c r="L6">
        <f>emulator!M$5*$A6</f>
        <v>-116.22</v>
      </c>
      <c r="M6">
        <f>emulator!N$5*$A6</f>
        <v>-124.32</v>
      </c>
      <c r="N6">
        <f>emulator!O$5*$A6</f>
        <v>-137.72999999999999</v>
      </c>
      <c r="O6">
        <f>emulator!P$5*$A6</f>
        <v>-188.55</v>
      </c>
      <c r="P6">
        <f>emulator!Q$5*$A6</f>
        <v>-255</v>
      </c>
      <c r="Q6">
        <f>emulator!R$5*$A6</f>
        <v>-322.95000000000005</v>
      </c>
      <c r="R6">
        <f>emulator!S$5*$A6</f>
        <v>-290.10000000000002</v>
      </c>
      <c r="S6">
        <f>emulator!T$5*$A6</f>
        <v>-341.25</v>
      </c>
      <c r="T6">
        <f>emulator!U$5*$A6</f>
        <v>-493.20000000000005</v>
      </c>
      <c r="V6">
        <f>[2]Sheet2!$BY5</f>
        <v>0.36835551612971168</v>
      </c>
      <c r="W6">
        <f>[2]Sheet2!$BW5</f>
        <v>0.143646408839779</v>
      </c>
      <c r="X6">
        <f t="shared" si="1"/>
        <v>-0.22470910728993268</v>
      </c>
      <c r="Y6">
        <f>[2]Sheet2!$CA5</f>
        <v>2.0618556701030927E-2</v>
      </c>
      <c r="Z6">
        <f t="shared" si="1"/>
        <v>-0.34773695942868077</v>
      </c>
      <c r="AA6">
        <f>[2]Sheet2!$CC5</f>
        <v>4.004329004329004E-2</v>
      </c>
      <c r="AB6">
        <f t="shared" ref="AB6" si="5">AA6-$V6</f>
        <v>-0.32831222608642163</v>
      </c>
      <c r="AD6">
        <f>+emulator!C$6^2*$A6^2</f>
        <v>21.594608999999998</v>
      </c>
      <c r="AE6">
        <f>+emulator!D$6^2*$A6^2</f>
        <v>55.264356000000006</v>
      </c>
      <c r="AF6">
        <f>+emulator!E$6^2*$A6^2</f>
        <v>39.20012100000001</v>
      </c>
      <c r="AG6">
        <f>+emulator!F$6^2*$A6^2</f>
        <v>25.659290249999998</v>
      </c>
      <c r="AH6">
        <f>+emulator!G$6^2*$A6^2</f>
        <v>35.497763999999997</v>
      </c>
      <c r="AI6">
        <f>+emulator!H$6^2*$A6^2</f>
        <v>36.978560999999999</v>
      </c>
      <c r="AJ6">
        <f>+emulator!I$6^2*$A6^2</f>
        <v>67.790522249999995</v>
      </c>
      <c r="AK6">
        <f>+emulator!J$6^2*$A6^2</f>
        <v>78.083732250000011</v>
      </c>
      <c r="AL6">
        <f>+emulator!K$6^2*$A6^2</f>
        <v>95.531075999999999</v>
      </c>
      <c r="AM6">
        <f>+emulator!L$6^2*$A6^2</f>
        <v>132.227001</v>
      </c>
      <c r="AN6">
        <f>+emulator!M$6^2*$A6^2</f>
        <v>161.30270025000004</v>
      </c>
      <c r="AO6">
        <f>+emulator!N$6^2*$A6^2</f>
        <v>206.06602500000002</v>
      </c>
      <c r="AP6">
        <f>+emulator!O$6^2*$A6^2</f>
        <v>642.62249999999995</v>
      </c>
      <c r="AQ6">
        <f>+emulator!P$6^2*$A6^2</f>
        <v>1265.9363999999998</v>
      </c>
      <c r="AR6">
        <f>+emulator!Q$6^2*$A6^2</f>
        <v>2395.6130250000001</v>
      </c>
      <c r="AS6">
        <f>+emulator!R$6^2*$A6^2</f>
        <v>1109.8892250000001</v>
      </c>
      <c r="AT6">
        <f>+emulator!S$6^2*$A6^2</f>
        <v>1330.7904000000001</v>
      </c>
      <c r="AU6">
        <f>+emulator!T$6^2*$A6^2</f>
        <v>7470.1448999999993</v>
      </c>
      <c r="AV6">
        <f>+emulator!U$6^2*$A6^2</f>
        <v>53499.689999999988</v>
      </c>
    </row>
    <row r="7" spans="1:48" x14ac:dyDescent="0.3">
      <c r="A7">
        <f t="shared" si="3"/>
        <v>2</v>
      </c>
      <c r="B7">
        <f>emulator!C$5*$A7</f>
        <v>-21.82</v>
      </c>
      <c r="C7">
        <f>emulator!D$5*$A7</f>
        <v>-33.08</v>
      </c>
      <c r="D7">
        <f>emulator!E$5*$A7</f>
        <v>-42.94</v>
      </c>
      <c r="E7">
        <f>emulator!F$5*$A7</f>
        <v>-46.28</v>
      </c>
      <c r="F7">
        <f>emulator!G$5*$A7</f>
        <v>-59.08</v>
      </c>
      <c r="G7">
        <f>emulator!H$5*$A7</f>
        <v>-78.58</v>
      </c>
      <c r="H7">
        <f>emulator!I$5*$A7</f>
        <v>-95.92</v>
      </c>
      <c r="I7">
        <f>emulator!J$5*$A7</f>
        <v>-109.84</v>
      </c>
      <c r="J7">
        <f>emulator!K$5*$A7</f>
        <v>-113.2</v>
      </c>
      <c r="K7">
        <f>emulator!L$5*$A7</f>
        <v>-131.41999999999999</v>
      </c>
      <c r="L7">
        <f>emulator!M$5*$A7</f>
        <v>-154.96</v>
      </c>
      <c r="M7">
        <f>emulator!N$5*$A7</f>
        <v>-165.76</v>
      </c>
      <c r="N7">
        <f>emulator!O$5*$A7</f>
        <v>-183.64</v>
      </c>
      <c r="O7">
        <f>emulator!P$5*$A7</f>
        <v>-251.4</v>
      </c>
      <c r="P7">
        <f>emulator!Q$5*$A7</f>
        <v>-340</v>
      </c>
      <c r="Q7">
        <f>emulator!R$5*$A7</f>
        <v>-430.6</v>
      </c>
      <c r="R7">
        <f>emulator!S$5*$A7</f>
        <v>-386.8</v>
      </c>
      <c r="S7">
        <f>emulator!T$5*$A7</f>
        <v>-455</v>
      </c>
      <c r="T7">
        <f>emulator!U$5*$A7</f>
        <v>-657.6</v>
      </c>
      <c r="V7">
        <f>[2]Sheet2!$BY6</f>
        <v>5.5085319959495824E-2</v>
      </c>
      <c r="W7">
        <f>[2]Sheet2!$BW6</f>
        <v>0.21546961325966851</v>
      </c>
      <c r="X7">
        <f t="shared" si="1"/>
        <v>0.16038429330017268</v>
      </c>
      <c r="Y7">
        <f>[2]Sheet2!$CA6</f>
        <v>0.12886597938144329</v>
      </c>
      <c r="Z7">
        <f t="shared" si="1"/>
        <v>7.3780659421947462E-2</v>
      </c>
      <c r="AA7">
        <f>[2]Sheet2!$CC6</f>
        <v>3.67965367965368E-2</v>
      </c>
      <c r="AB7">
        <f t="shared" ref="AB7" si="6">AA7-$V7</f>
        <v>-1.8288783162959024E-2</v>
      </c>
      <c r="AD7">
        <f>+emulator!C$6^2*$A7^2</f>
        <v>38.390415999999995</v>
      </c>
      <c r="AE7">
        <f>+emulator!D$6^2*$A7^2</f>
        <v>98.247744000000012</v>
      </c>
      <c r="AF7">
        <f>+emulator!E$6^2*$A7^2</f>
        <v>69.689104000000015</v>
      </c>
      <c r="AG7">
        <f>+emulator!F$6^2*$A7^2</f>
        <v>45.616515999999997</v>
      </c>
      <c r="AH7">
        <f>+emulator!G$6^2*$A7^2</f>
        <v>63.107135999999997</v>
      </c>
      <c r="AI7">
        <f>+emulator!H$6^2*$A7^2</f>
        <v>65.739664000000005</v>
      </c>
      <c r="AJ7">
        <f>+emulator!I$6^2*$A7^2</f>
        <v>120.51648399999999</v>
      </c>
      <c r="AK7">
        <f>+emulator!J$6^2*$A7^2</f>
        <v>138.81552400000001</v>
      </c>
      <c r="AL7">
        <f>+emulator!K$6^2*$A7^2</f>
        <v>169.83302399999999</v>
      </c>
      <c r="AM7">
        <f>+emulator!L$6^2*$A7^2</f>
        <v>235.07022400000002</v>
      </c>
      <c r="AN7">
        <f>+emulator!M$6^2*$A7^2</f>
        <v>286.76035600000006</v>
      </c>
      <c r="AO7">
        <f>+emulator!N$6^2*$A7^2</f>
        <v>366.33960000000002</v>
      </c>
      <c r="AP7">
        <f>+emulator!O$6^2*$A7^2</f>
        <v>1142.4399999999998</v>
      </c>
      <c r="AQ7">
        <f>+emulator!P$6^2*$A7^2</f>
        <v>2250.5535999999997</v>
      </c>
      <c r="AR7">
        <f>+emulator!Q$6^2*$A7^2</f>
        <v>4258.8676000000005</v>
      </c>
      <c r="AS7">
        <f>+emulator!R$6^2*$A7^2</f>
        <v>1973.1364000000001</v>
      </c>
      <c r="AT7">
        <f>+emulator!S$6^2*$A7^2</f>
        <v>2365.8496</v>
      </c>
      <c r="AU7">
        <f>+emulator!T$6^2*$A7^2</f>
        <v>13280.257599999999</v>
      </c>
      <c r="AV7">
        <f>+emulator!U$6^2*$A7^2</f>
        <v>95110.559999999983</v>
      </c>
    </row>
    <row r="8" spans="1:48" x14ac:dyDescent="0.3">
      <c r="A8">
        <f t="shared" si="3"/>
        <v>2.5</v>
      </c>
      <c r="B8">
        <f>emulator!C$5*$A8</f>
        <v>-27.274999999999999</v>
      </c>
      <c r="C8">
        <f>emulator!D$5*$A8</f>
        <v>-41.349999999999994</v>
      </c>
      <c r="D8">
        <f>emulator!E$5*$A8</f>
        <v>-53.674999999999997</v>
      </c>
      <c r="E8">
        <f>emulator!F$5*$A8</f>
        <v>-57.85</v>
      </c>
      <c r="F8">
        <f>emulator!G$5*$A8</f>
        <v>-73.849999999999994</v>
      </c>
      <c r="G8">
        <f>emulator!H$5*$A8</f>
        <v>-98.224999999999994</v>
      </c>
      <c r="H8">
        <f>emulator!I$5*$A8</f>
        <v>-119.9</v>
      </c>
      <c r="I8">
        <f>emulator!J$5*$A8</f>
        <v>-137.30000000000001</v>
      </c>
      <c r="J8">
        <f>emulator!K$5*$A8</f>
        <v>-141.5</v>
      </c>
      <c r="K8">
        <f>emulator!L$5*$A8</f>
        <v>-164.27499999999998</v>
      </c>
      <c r="L8">
        <f>emulator!M$5*$A8</f>
        <v>-193.70000000000002</v>
      </c>
      <c r="M8">
        <f>emulator!N$5*$A8</f>
        <v>-207.2</v>
      </c>
      <c r="N8">
        <f>emulator!O$5*$A8</f>
        <v>-229.54999999999998</v>
      </c>
      <c r="O8">
        <f>emulator!P$5*$A8</f>
        <v>-314.25</v>
      </c>
      <c r="P8">
        <f>emulator!Q$5*$A8</f>
        <v>-425</v>
      </c>
      <c r="Q8">
        <f>emulator!R$5*$A8</f>
        <v>-538.25</v>
      </c>
      <c r="R8">
        <f>emulator!S$5*$A8</f>
        <v>-483.5</v>
      </c>
      <c r="S8">
        <f>emulator!T$5*$A8</f>
        <v>-568.75</v>
      </c>
      <c r="T8">
        <f>emulator!U$5*$A8</f>
        <v>-822</v>
      </c>
      <c r="V8">
        <f>[2]Sheet2!$BY7</f>
        <v>2.4783348085677125E-2</v>
      </c>
      <c r="W8">
        <f>[2]Sheet2!$BW7</f>
        <v>1.1049723756906077E-2</v>
      </c>
      <c r="X8">
        <f t="shared" si="1"/>
        <v>-1.3733624328771048E-2</v>
      </c>
      <c r="Y8">
        <f>[2]Sheet2!$CA7</f>
        <v>2.5773195876288658E-2</v>
      </c>
      <c r="Z8">
        <f t="shared" si="1"/>
        <v>9.8984779061153313E-4</v>
      </c>
      <c r="AA8">
        <f>[2]Sheet2!$CC7</f>
        <v>1.5151515151515152E-2</v>
      </c>
      <c r="AB8">
        <f t="shared" ref="AB8" si="7">AA8-$V8</f>
        <v>-9.6318329341619734E-3</v>
      </c>
      <c r="AD8">
        <f>+emulator!C$6^2*$A8^2</f>
        <v>59.985024999999993</v>
      </c>
      <c r="AE8">
        <f>+emulator!D$6^2*$A8^2</f>
        <v>153.51210000000003</v>
      </c>
      <c r="AF8">
        <f>+emulator!E$6^2*$A8^2</f>
        <v>108.88922500000002</v>
      </c>
      <c r="AG8">
        <f>+emulator!F$6^2*$A8^2</f>
        <v>71.275806250000002</v>
      </c>
      <c r="AH8">
        <f>+emulator!G$6^2*$A8^2</f>
        <v>98.604900000000001</v>
      </c>
      <c r="AI8">
        <f>+emulator!H$6^2*$A8^2</f>
        <v>102.718225</v>
      </c>
      <c r="AJ8">
        <f>+emulator!I$6^2*$A8^2</f>
        <v>188.30700624999997</v>
      </c>
      <c r="AK8">
        <f>+emulator!J$6^2*$A8^2</f>
        <v>216.89925625000001</v>
      </c>
      <c r="AL8">
        <f>+emulator!K$6^2*$A8^2</f>
        <v>265.36410000000001</v>
      </c>
      <c r="AM8">
        <f>+emulator!L$6^2*$A8^2</f>
        <v>367.29722500000003</v>
      </c>
      <c r="AN8">
        <f>+emulator!M$6^2*$A8^2</f>
        <v>448.0630562500001</v>
      </c>
      <c r="AO8">
        <f>+emulator!N$6^2*$A8^2</f>
        <v>572.40562499999999</v>
      </c>
      <c r="AP8">
        <f>+emulator!O$6^2*$A8^2</f>
        <v>1785.0624999999998</v>
      </c>
      <c r="AQ8">
        <f>+emulator!P$6^2*$A8^2</f>
        <v>3516.49</v>
      </c>
      <c r="AR8">
        <f>+emulator!Q$6^2*$A8^2</f>
        <v>6654.4806250000011</v>
      </c>
      <c r="AS8">
        <f>+emulator!R$6^2*$A8^2</f>
        <v>3083.0256250000002</v>
      </c>
      <c r="AT8">
        <f>+emulator!S$6^2*$A8^2</f>
        <v>3696.64</v>
      </c>
      <c r="AU8">
        <f>+emulator!T$6^2*$A8^2</f>
        <v>20750.4025</v>
      </c>
      <c r="AV8">
        <f>+emulator!U$6^2*$A8^2</f>
        <v>148610.24999999997</v>
      </c>
    </row>
    <row r="9" spans="1:48" x14ac:dyDescent="0.3">
      <c r="A9">
        <f t="shared" si="3"/>
        <v>3</v>
      </c>
      <c r="B9">
        <f>emulator!C$5*$A9</f>
        <v>-32.730000000000004</v>
      </c>
      <c r="C9">
        <f>emulator!D$5*$A9</f>
        <v>-49.62</v>
      </c>
      <c r="D9">
        <f>emulator!E$5*$A9</f>
        <v>-64.41</v>
      </c>
      <c r="E9">
        <f>emulator!F$5*$A9</f>
        <v>-69.42</v>
      </c>
      <c r="F9">
        <f>emulator!G$5*$A9</f>
        <v>-88.62</v>
      </c>
      <c r="G9">
        <f>emulator!H$5*$A9</f>
        <v>-117.87</v>
      </c>
      <c r="H9">
        <f>emulator!I$5*$A9</f>
        <v>-143.88</v>
      </c>
      <c r="I9">
        <f>emulator!J$5*$A9</f>
        <v>-164.76</v>
      </c>
      <c r="J9">
        <f>emulator!K$5*$A9</f>
        <v>-169.8</v>
      </c>
      <c r="K9">
        <f>emulator!L$5*$A9</f>
        <v>-197.13</v>
      </c>
      <c r="L9">
        <f>emulator!M$5*$A9</f>
        <v>-232.44</v>
      </c>
      <c r="M9">
        <f>emulator!N$5*$A9</f>
        <v>-248.64</v>
      </c>
      <c r="N9">
        <f>emulator!O$5*$A9</f>
        <v>-275.45999999999998</v>
      </c>
      <c r="O9">
        <f>emulator!P$5*$A9</f>
        <v>-377.1</v>
      </c>
      <c r="P9">
        <f>emulator!Q$5*$A9</f>
        <v>-510</v>
      </c>
      <c r="Q9">
        <f>emulator!R$5*$A9</f>
        <v>-645.90000000000009</v>
      </c>
      <c r="R9">
        <f>emulator!S$5*$A9</f>
        <v>-580.20000000000005</v>
      </c>
      <c r="S9">
        <f>emulator!T$5*$A9</f>
        <v>-682.5</v>
      </c>
      <c r="T9">
        <f>emulator!U$5*$A9</f>
        <v>-986.40000000000009</v>
      </c>
      <c r="V9">
        <f>[2]Sheet2!$BY8</f>
        <v>0.13452548721186994</v>
      </c>
      <c r="W9">
        <f>[2]Sheet2!$BW8</f>
        <v>3.8674033149171269E-2</v>
      </c>
      <c r="X9">
        <f t="shared" si="1"/>
        <v>-9.5851454062698668E-2</v>
      </c>
      <c r="Y9">
        <f>[2]Sheet2!$CA8</f>
        <v>5.1546391752577317E-2</v>
      </c>
      <c r="Z9">
        <f t="shared" si="1"/>
        <v>-8.2979095459292621E-2</v>
      </c>
      <c r="AA9">
        <f>[2]Sheet2!$CC8</f>
        <v>2.3809523809523808E-2</v>
      </c>
      <c r="AB9">
        <f t="shared" ref="AB9" si="8">AA9-$V9</f>
        <v>-0.11071596340234613</v>
      </c>
      <c r="AD9">
        <f>+emulator!C$6^2*$A9^2</f>
        <v>86.378435999999994</v>
      </c>
      <c r="AE9">
        <f>+emulator!D$6^2*$A9^2</f>
        <v>221.05742400000003</v>
      </c>
      <c r="AF9">
        <f>+emulator!E$6^2*$A9^2</f>
        <v>156.80048400000004</v>
      </c>
      <c r="AG9">
        <f>+emulator!F$6^2*$A9^2</f>
        <v>102.63716099999999</v>
      </c>
      <c r="AH9">
        <f>+emulator!G$6^2*$A9^2</f>
        <v>141.99105599999999</v>
      </c>
      <c r="AI9">
        <f>+emulator!H$6^2*$A9^2</f>
        <v>147.914244</v>
      </c>
      <c r="AJ9">
        <f>+emulator!I$6^2*$A9^2</f>
        <v>271.16208899999998</v>
      </c>
      <c r="AK9">
        <f>+emulator!J$6^2*$A9^2</f>
        <v>312.33492900000005</v>
      </c>
      <c r="AL9">
        <f>+emulator!K$6^2*$A9^2</f>
        <v>382.124304</v>
      </c>
      <c r="AM9">
        <f>+emulator!L$6^2*$A9^2</f>
        <v>528.90800400000001</v>
      </c>
      <c r="AN9">
        <f>+emulator!M$6^2*$A9^2</f>
        <v>645.21080100000017</v>
      </c>
      <c r="AO9">
        <f>+emulator!N$6^2*$A9^2</f>
        <v>824.2641000000001</v>
      </c>
      <c r="AP9">
        <f>+emulator!O$6^2*$A9^2</f>
        <v>2570.4899999999998</v>
      </c>
      <c r="AQ9">
        <f>+emulator!P$6^2*$A9^2</f>
        <v>5063.7455999999993</v>
      </c>
      <c r="AR9">
        <f>+emulator!Q$6^2*$A9^2</f>
        <v>9582.4521000000004</v>
      </c>
      <c r="AS9">
        <f>+emulator!R$6^2*$A9^2</f>
        <v>4439.5569000000005</v>
      </c>
      <c r="AT9">
        <f>+emulator!S$6^2*$A9^2</f>
        <v>5323.1616000000004</v>
      </c>
      <c r="AU9">
        <f>+emulator!T$6^2*$A9^2</f>
        <v>29880.579599999997</v>
      </c>
      <c r="AV9">
        <f>+emulator!U$6^2*$A9^2</f>
        <v>213998.75999999995</v>
      </c>
    </row>
    <row r="10" spans="1:48" x14ac:dyDescent="0.3">
      <c r="A10">
        <f t="shared" si="3"/>
        <v>3.5</v>
      </c>
      <c r="B10">
        <f>emulator!C$5*$A10</f>
        <v>-38.185000000000002</v>
      </c>
      <c r="C10">
        <f>emulator!D$5*$A10</f>
        <v>-57.89</v>
      </c>
      <c r="D10">
        <f>emulator!E$5*$A10</f>
        <v>-75.144999999999996</v>
      </c>
      <c r="E10">
        <f>emulator!F$5*$A10</f>
        <v>-80.990000000000009</v>
      </c>
      <c r="F10">
        <f>emulator!G$5*$A10</f>
        <v>-103.39</v>
      </c>
      <c r="G10">
        <f>emulator!H$5*$A10</f>
        <v>-137.51499999999999</v>
      </c>
      <c r="H10">
        <f>emulator!I$5*$A10</f>
        <v>-167.86</v>
      </c>
      <c r="I10">
        <f>emulator!J$5*$A10</f>
        <v>-192.22</v>
      </c>
      <c r="J10">
        <f>emulator!K$5*$A10</f>
        <v>-198.1</v>
      </c>
      <c r="K10">
        <f>emulator!L$5*$A10</f>
        <v>-229.98499999999999</v>
      </c>
      <c r="L10">
        <f>emulator!M$5*$A10</f>
        <v>-271.18</v>
      </c>
      <c r="M10">
        <f>emulator!N$5*$A10</f>
        <v>-290.08</v>
      </c>
      <c r="N10">
        <f>emulator!O$5*$A10</f>
        <v>-321.37</v>
      </c>
      <c r="O10">
        <f>emulator!P$5*$A10</f>
        <v>-439.95</v>
      </c>
      <c r="P10">
        <f>emulator!Q$5*$A10</f>
        <v>-595</v>
      </c>
      <c r="Q10">
        <f>emulator!R$5*$A10</f>
        <v>-753.55000000000007</v>
      </c>
      <c r="R10">
        <f>emulator!S$5*$A10</f>
        <v>-676.9</v>
      </c>
      <c r="S10">
        <f>emulator!T$5*$A10</f>
        <v>-796.25</v>
      </c>
      <c r="T10">
        <f>emulator!U$5*$A10</f>
        <v>-1150.8</v>
      </c>
      <c r="V10">
        <f>[2]Sheet2!$BY9</f>
        <v>1.1011159028787021E-3</v>
      </c>
      <c r="W10">
        <f>[2]Sheet2!$BW9</f>
        <v>0</v>
      </c>
      <c r="X10">
        <f t="shared" si="1"/>
        <v>-1.1011159028787021E-3</v>
      </c>
      <c r="Y10">
        <f>[2]Sheet2!$CA9</f>
        <v>0</v>
      </c>
      <c r="Z10">
        <f t="shared" si="1"/>
        <v>-1.1011159028787021E-3</v>
      </c>
      <c r="AA10">
        <f>[2]Sheet2!$CC9</f>
        <v>2.1645021645021644E-2</v>
      </c>
      <c r="AB10">
        <f t="shared" ref="AB10" si="9">AA10-$V10</f>
        <v>2.0543905742142942E-2</v>
      </c>
      <c r="AD10">
        <f>+emulator!C$6^2*$A10^2</f>
        <v>117.57064899999999</v>
      </c>
      <c r="AE10">
        <f>+emulator!D$6^2*$A10^2</f>
        <v>300.88371600000005</v>
      </c>
      <c r="AF10">
        <f>+emulator!E$6^2*$A10^2</f>
        <v>213.42288100000005</v>
      </c>
      <c r="AG10">
        <f>+emulator!F$6^2*$A10^2</f>
        <v>139.70058025</v>
      </c>
      <c r="AH10">
        <f>+emulator!G$6^2*$A10^2</f>
        <v>193.265604</v>
      </c>
      <c r="AI10">
        <f>+emulator!H$6^2*$A10^2</f>
        <v>201.32772100000003</v>
      </c>
      <c r="AJ10">
        <f>+emulator!I$6^2*$A10^2</f>
        <v>369.08173224999996</v>
      </c>
      <c r="AK10">
        <f>+emulator!J$6^2*$A10^2</f>
        <v>425.12254225000004</v>
      </c>
      <c r="AL10">
        <f>+emulator!K$6^2*$A10^2</f>
        <v>520.11363599999993</v>
      </c>
      <c r="AM10">
        <f>+emulator!L$6^2*$A10^2</f>
        <v>719.90256100000011</v>
      </c>
      <c r="AN10">
        <f>+emulator!M$6^2*$A10^2</f>
        <v>878.20359025000016</v>
      </c>
      <c r="AO10">
        <f>+emulator!N$6^2*$A10^2</f>
        <v>1121.915025</v>
      </c>
      <c r="AP10">
        <f>+emulator!O$6^2*$A10^2</f>
        <v>3498.7224999999994</v>
      </c>
      <c r="AQ10">
        <f>+emulator!P$6^2*$A10^2</f>
        <v>6892.3203999999996</v>
      </c>
      <c r="AR10">
        <f>+emulator!Q$6^2*$A10^2</f>
        <v>13042.782025000002</v>
      </c>
      <c r="AS10">
        <f>+emulator!R$6^2*$A10^2</f>
        <v>6042.7302250000002</v>
      </c>
      <c r="AT10">
        <f>+emulator!S$6^2*$A10^2</f>
        <v>7245.4143999999997</v>
      </c>
      <c r="AU10">
        <f>+emulator!T$6^2*$A10^2</f>
        <v>40670.7889</v>
      </c>
      <c r="AV10">
        <f>+emulator!U$6^2*$A10^2</f>
        <v>291276.08999999997</v>
      </c>
    </row>
    <row r="11" spans="1:48" x14ac:dyDescent="0.3">
      <c r="A11">
        <f t="shared" si="3"/>
        <v>4</v>
      </c>
      <c r="B11">
        <f>emulator!C$5*$A11</f>
        <v>-43.64</v>
      </c>
      <c r="C11">
        <f>emulator!D$5*$A11</f>
        <v>-66.16</v>
      </c>
      <c r="D11">
        <f>emulator!E$5*$A11</f>
        <v>-85.88</v>
      </c>
      <c r="E11">
        <f>emulator!F$5*$A11</f>
        <v>-92.56</v>
      </c>
      <c r="F11">
        <f>emulator!G$5*$A11</f>
        <v>-118.16</v>
      </c>
      <c r="G11">
        <f>emulator!H$5*$A11</f>
        <v>-157.16</v>
      </c>
      <c r="H11">
        <f>emulator!I$5*$A11</f>
        <v>-191.84</v>
      </c>
      <c r="I11">
        <f>emulator!J$5*$A11</f>
        <v>-219.68</v>
      </c>
      <c r="J11">
        <f>emulator!K$5*$A11</f>
        <v>-226.4</v>
      </c>
      <c r="K11">
        <f>emulator!L$5*$A11</f>
        <v>-262.83999999999997</v>
      </c>
      <c r="L11">
        <f>emulator!M$5*$A11</f>
        <v>-309.92</v>
      </c>
      <c r="M11">
        <f>emulator!N$5*$A11</f>
        <v>-331.52</v>
      </c>
      <c r="N11">
        <f>emulator!O$5*$A11</f>
        <v>-367.28</v>
      </c>
      <c r="O11">
        <f>emulator!P$5*$A11</f>
        <v>-502.8</v>
      </c>
      <c r="P11">
        <f>emulator!Q$5*$A11</f>
        <v>-680</v>
      </c>
      <c r="Q11">
        <f>emulator!R$5*$A11</f>
        <v>-861.2</v>
      </c>
      <c r="R11">
        <f>emulator!S$5*$A11</f>
        <v>-773.6</v>
      </c>
      <c r="S11">
        <f>emulator!T$5*$A11</f>
        <v>-910</v>
      </c>
      <c r="T11">
        <f>emulator!U$5*$A11</f>
        <v>-1315.2</v>
      </c>
      <c r="V11">
        <f>[2]Sheet2!$BY10</f>
        <v>1.6801078790991457E-2</v>
      </c>
      <c r="W11">
        <f>[2]Sheet2!$BW10</f>
        <v>1.6574585635359115E-2</v>
      </c>
      <c r="X11">
        <f t="shared" si="1"/>
        <v>-2.2649315563234157E-4</v>
      </c>
      <c r="Y11">
        <f>[2]Sheet2!$CA10</f>
        <v>1.5463917525773196E-2</v>
      </c>
      <c r="Z11">
        <f t="shared" si="1"/>
        <v>-1.3371612652182605E-3</v>
      </c>
      <c r="AA11">
        <f>[2]Sheet2!$CC10</f>
        <v>1.2987012987012988E-2</v>
      </c>
      <c r="AB11">
        <f t="shared" ref="AB11" si="10">AA11-$V11</f>
        <v>-3.814065803978469E-3</v>
      </c>
      <c r="AD11">
        <f>+emulator!C$6^2*$A11^2</f>
        <v>153.56166399999998</v>
      </c>
      <c r="AE11">
        <f>+emulator!D$6^2*$A11^2</f>
        <v>392.99097600000005</v>
      </c>
      <c r="AF11">
        <f>+emulator!E$6^2*$A11^2</f>
        <v>278.75641600000006</v>
      </c>
      <c r="AG11">
        <f>+emulator!F$6^2*$A11^2</f>
        <v>182.46606399999999</v>
      </c>
      <c r="AH11">
        <f>+emulator!G$6^2*$A11^2</f>
        <v>252.42854399999999</v>
      </c>
      <c r="AI11">
        <f>+emulator!H$6^2*$A11^2</f>
        <v>262.95865600000002</v>
      </c>
      <c r="AJ11">
        <f>+emulator!I$6^2*$A11^2</f>
        <v>482.06593599999997</v>
      </c>
      <c r="AK11">
        <f>+emulator!J$6^2*$A11^2</f>
        <v>555.26209600000004</v>
      </c>
      <c r="AL11">
        <f>+emulator!K$6^2*$A11^2</f>
        <v>679.33209599999998</v>
      </c>
      <c r="AM11">
        <f>+emulator!L$6^2*$A11^2</f>
        <v>940.2808960000001</v>
      </c>
      <c r="AN11">
        <f>+emulator!M$6^2*$A11^2</f>
        <v>1147.0414240000002</v>
      </c>
      <c r="AO11">
        <f>+emulator!N$6^2*$A11^2</f>
        <v>1465.3584000000001</v>
      </c>
      <c r="AP11">
        <f>+emulator!O$6^2*$A11^2</f>
        <v>4569.7599999999993</v>
      </c>
      <c r="AQ11">
        <f>+emulator!P$6^2*$A11^2</f>
        <v>9002.2143999999989</v>
      </c>
      <c r="AR11">
        <f>+emulator!Q$6^2*$A11^2</f>
        <v>17035.470400000002</v>
      </c>
      <c r="AS11">
        <f>+emulator!R$6^2*$A11^2</f>
        <v>7892.5456000000004</v>
      </c>
      <c r="AT11">
        <f>+emulator!S$6^2*$A11^2</f>
        <v>9463.3984</v>
      </c>
      <c r="AU11">
        <f>+emulator!T$6^2*$A11^2</f>
        <v>53121.030399999996</v>
      </c>
      <c r="AV11">
        <f>+emulator!U$6^2*$A11^2</f>
        <v>380442.23999999993</v>
      </c>
    </row>
    <row r="12" spans="1:48" x14ac:dyDescent="0.3">
      <c r="A12">
        <f t="shared" si="3"/>
        <v>4.5</v>
      </c>
      <c r="B12">
        <f>emulator!C$5*$A12</f>
        <v>-49.094999999999999</v>
      </c>
      <c r="C12">
        <f>emulator!D$5*$A12</f>
        <v>-74.429999999999993</v>
      </c>
      <c r="D12">
        <f>emulator!E$5*$A12</f>
        <v>-96.614999999999995</v>
      </c>
      <c r="E12">
        <f>emulator!F$5*$A12</f>
        <v>-104.13</v>
      </c>
      <c r="F12">
        <f>emulator!G$5*$A12</f>
        <v>-132.93</v>
      </c>
      <c r="G12">
        <f>emulator!H$5*$A12</f>
        <v>-176.80500000000001</v>
      </c>
      <c r="H12">
        <f>emulator!I$5*$A12</f>
        <v>-215.82</v>
      </c>
      <c r="I12">
        <f>emulator!J$5*$A12</f>
        <v>-247.14000000000001</v>
      </c>
      <c r="J12">
        <f>emulator!K$5*$A12</f>
        <v>-254.70000000000002</v>
      </c>
      <c r="K12">
        <f>emulator!L$5*$A12</f>
        <v>-295.69499999999999</v>
      </c>
      <c r="L12">
        <f>emulator!M$5*$A12</f>
        <v>-348.66</v>
      </c>
      <c r="M12">
        <f>emulator!N$5*$A12</f>
        <v>-372.96</v>
      </c>
      <c r="N12">
        <f>emulator!O$5*$A12</f>
        <v>-413.18999999999994</v>
      </c>
      <c r="O12">
        <f>emulator!P$5*$A12</f>
        <v>-565.65</v>
      </c>
      <c r="P12">
        <f>emulator!Q$5*$A12</f>
        <v>-765</v>
      </c>
      <c r="Q12">
        <f>emulator!R$5*$A12</f>
        <v>-968.85</v>
      </c>
      <c r="R12">
        <f>emulator!S$5*$A12</f>
        <v>-870.30000000000007</v>
      </c>
      <c r="S12">
        <f>emulator!T$5*$A12</f>
        <v>-1023.75</v>
      </c>
      <c r="T12">
        <f>emulator!U$5*$A12</f>
        <v>-1479.6000000000001</v>
      </c>
      <c r="V12">
        <f>[2]Sheet2!$BY11</f>
        <v>2.7831866441509275E-3</v>
      </c>
      <c r="W12">
        <f>[2]Sheet2!$BW11</f>
        <v>0</v>
      </c>
      <c r="X12">
        <f t="shared" si="1"/>
        <v>-2.7831866441509275E-3</v>
      </c>
      <c r="Y12">
        <f>[2]Sheet2!$CA11</f>
        <v>0</v>
      </c>
      <c r="Z12">
        <f t="shared" si="1"/>
        <v>-2.7831866441509275E-3</v>
      </c>
      <c r="AA12">
        <f>[2]Sheet2!$CC11</f>
        <v>1.406926406926407E-2</v>
      </c>
      <c r="AB12">
        <f t="shared" ref="AB12" si="11">AA12-$V12</f>
        <v>1.1286077425113143E-2</v>
      </c>
      <c r="AD12">
        <f>+emulator!C$6^2*$A12^2</f>
        <v>194.35148099999998</v>
      </c>
      <c r="AE12">
        <f>+emulator!D$6^2*$A12^2</f>
        <v>497.37920400000007</v>
      </c>
      <c r="AF12">
        <f>+emulator!E$6^2*$A12^2</f>
        <v>352.80108900000005</v>
      </c>
      <c r="AG12">
        <f>+emulator!F$6^2*$A12^2</f>
        <v>230.93361224999998</v>
      </c>
      <c r="AH12">
        <f>+emulator!G$6^2*$A12^2</f>
        <v>319.47987599999999</v>
      </c>
      <c r="AI12">
        <f>+emulator!H$6^2*$A12^2</f>
        <v>332.80704900000001</v>
      </c>
      <c r="AJ12">
        <f>+emulator!I$6^2*$A12^2</f>
        <v>610.11470024999994</v>
      </c>
      <c r="AK12">
        <f>+emulator!J$6^2*$A12^2</f>
        <v>702.75359025</v>
      </c>
      <c r="AL12">
        <f>+emulator!K$6^2*$A12^2</f>
        <v>859.77968399999997</v>
      </c>
      <c r="AM12">
        <f>+emulator!L$6^2*$A12^2</f>
        <v>1190.0430090000002</v>
      </c>
      <c r="AN12">
        <f>+emulator!M$6^2*$A12^2</f>
        <v>1451.7243022500004</v>
      </c>
      <c r="AO12">
        <f>+emulator!N$6^2*$A12^2</f>
        <v>1854.5942250000001</v>
      </c>
      <c r="AP12">
        <f>+emulator!O$6^2*$A12^2</f>
        <v>5783.6024999999991</v>
      </c>
      <c r="AQ12">
        <f>+emulator!P$6^2*$A12^2</f>
        <v>11393.427599999999</v>
      </c>
      <c r="AR12">
        <f>+emulator!Q$6^2*$A12^2</f>
        <v>21560.517225000003</v>
      </c>
      <c r="AS12">
        <f>+emulator!R$6^2*$A12^2</f>
        <v>9989.003025</v>
      </c>
      <c r="AT12">
        <f>+emulator!S$6^2*$A12^2</f>
        <v>11977.113600000001</v>
      </c>
      <c r="AU12">
        <f>+emulator!T$6^2*$A12^2</f>
        <v>67231.304099999994</v>
      </c>
      <c r="AV12">
        <f>+emulator!U$6^2*$A12^2</f>
        <v>481497.2099999999</v>
      </c>
    </row>
    <row r="13" spans="1:48" x14ac:dyDescent="0.3">
      <c r="A13">
        <f t="shared" si="3"/>
        <v>5</v>
      </c>
      <c r="B13">
        <f>emulator!C$5*$A13</f>
        <v>-54.55</v>
      </c>
      <c r="C13">
        <f>emulator!D$5*$A13</f>
        <v>-82.699999999999989</v>
      </c>
      <c r="D13">
        <f>emulator!E$5*$A13</f>
        <v>-107.35</v>
      </c>
      <c r="E13">
        <f>emulator!F$5*$A13</f>
        <v>-115.7</v>
      </c>
      <c r="F13">
        <f>emulator!G$5*$A13</f>
        <v>-147.69999999999999</v>
      </c>
      <c r="G13">
        <f>emulator!H$5*$A13</f>
        <v>-196.45</v>
      </c>
      <c r="H13">
        <f>emulator!I$5*$A13</f>
        <v>-239.8</v>
      </c>
      <c r="I13">
        <f>emulator!J$5*$A13</f>
        <v>-274.60000000000002</v>
      </c>
      <c r="J13">
        <f>emulator!K$5*$A13</f>
        <v>-283</v>
      </c>
      <c r="K13">
        <f>emulator!L$5*$A13</f>
        <v>-328.54999999999995</v>
      </c>
      <c r="L13">
        <f>emulator!M$5*$A13</f>
        <v>-387.40000000000003</v>
      </c>
      <c r="M13">
        <f>emulator!N$5*$A13</f>
        <v>-414.4</v>
      </c>
      <c r="N13">
        <f>emulator!O$5*$A13</f>
        <v>-459.09999999999997</v>
      </c>
      <c r="O13">
        <f>emulator!P$5*$A13</f>
        <v>-628.5</v>
      </c>
      <c r="P13">
        <f>emulator!Q$5*$A13</f>
        <v>-850</v>
      </c>
      <c r="Q13">
        <f>emulator!R$5*$A13</f>
        <v>-1076.5</v>
      </c>
      <c r="R13">
        <f>emulator!S$5*$A13</f>
        <v>-967</v>
      </c>
      <c r="S13">
        <f>emulator!T$5*$A13</f>
        <v>-1137.5</v>
      </c>
      <c r="T13">
        <f>emulator!U$5*$A13</f>
        <v>-1644</v>
      </c>
      <c r="V13">
        <f>[2]Sheet2!$BY12</f>
        <v>1.2180638795689883E-2</v>
      </c>
      <c r="W13">
        <f>[2]Sheet2!$BW12</f>
        <v>1.1049723756906077E-2</v>
      </c>
      <c r="X13">
        <f t="shared" si="1"/>
        <v>-1.1309150387838057E-3</v>
      </c>
      <c r="Y13">
        <f>[2]Sheet2!$CA12</f>
        <v>1.0309278350515464E-2</v>
      </c>
      <c r="Z13">
        <f t="shared" si="1"/>
        <v>-1.8713604451744189E-3</v>
      </c>
      <c r="AA13">
        <f>[2]Sheet2!$CC12</f>
        <v>5.411255411255411E-3</v>
      </c>
      <c r="AB13">
        <f t="shared" ref="AB13" si="12">AA13-$V13</f>
        <v>-6.7693833844344716E-3</v>
      </c>
      <c r="AD13">
        <f>+emulator!C$6^2*$A13^2</f>
        <v>239.94009999999997</v>
      </c>
      <c r="AE13">
        <f>+emulator!D$6^2*$A13^2</f>
        <v>614.04840000000013</v>
      </c>
      <c r="AF13">
        <f>+emulator!E$6^2*$A13^2</f>
        <v>435.5569000000001</v>
      </c>
      <c r="AG13">
        <f>+emulator!F$6^2*$A13^2</f>
        <v>285.10322500000001</v>
      </c>
      <c r="AH13">
        <f>+emulator!G$6^2*$A13^2</f>
        <v>394.4196</v>
      </c>
      <c r="AI13">
        <f>+emulator!H$6^2*$A13^2</f>
        <v>410.87290000000002</v>
      </c>
      <c r="AJ13">
        <f>+emulator!I$6^2*$A13^2</f>
        <v>753.22802499999989</v>
      </c>
      <c r="AK13">
        <f>+emulator!J$6^2*$A13^2</f>
        <v>867.59702500000003</v>
      </c>
      <c r="AL13">
        <f>+emulator!K$6^2*$A13^2</f>
        <v>1061.4564</v>
      </c>
      <c r="AM13">
        <f>+emulator!L$6^2*$A13^2</f>
        <v>1469.1889000000001</v>
      </c>
      <c r="AN13">
        <f>+emulator!M$6^2*$A13^2</f>
        <v>1792.2522250000004</v>
      </c>
      <c r="AO13">
        <f>+emulator!N$6^2*$A13^2</f>
        <v>2289.6224999999999</v>
      </c>
      <c r="AP13">
        <f>+emulator!O$6^2*$A13^2</f>
        <v>7140.2499999999991</v>
      </c>
      <c r="AQ13">
        <f>+emulator!P$6^2*$A13^2</f>
        <v>14065.96</v>
      </c>
      <c r="AR13">
        <f>+emulator!Q$6^2*$A13^2</f>
        <v>26617.922500000004</v>
      </c>
      <c r="AS13">
        <f>+emulator!R$6^2*$A13^2</f>
        <v>12332.102500000001</v>
      </c>
      <c r="AT13">
        <f>+emulator!S$6^2*$A13^2</f>
        <v>14786.56</v>
      </c>
      <c r="AU13">
        <f>+emulator!T$6^2*$A13^2</f>
        <v>83001.61</v>
      </c>
      <c r="AV13">
        <f>+emulator!U$6^2*$A13^2</f>
        <v>594440.99999999988</v>
      </c>
    </row>
    <row r="14" spans="1:48" x14ac:dyDescent="0.3">
      <c r="A14">
        <f t="shared" si="3"/>
        <v>5.5</v>
      </c>
      <c r="B14">
        <f>emulator!C$5*$A14</f>
        <v>-60.005000000000003</v>
      </c>
      <c r="C14">
        <f>emulator!D$5*$A14</f>
        <v>-90.97</v>
      </c>
      <c r="D14">
        <f>emulator!E$5*$A14</f>
        <v>-118.08499999999999</v>
      </c>
      <c r="E14">
        <f>emulator!F$5*$A14</f>
        <v>-127.27000000000001</v>
      </c>
      <c r="F14">
        <f>emulator!G$5*$A14</f>
        <v>-162.47</v>
      </c>
      <c r="G14">
        <f>emulator!H$5*$A14</f>
        <v>-216.095</v>
      </c>
      <c r="H14">
        <f>emulator!I$5*$A14</f>
        <v>-263.78000000000003</v>
      </c>
      <c r="I14">
        <f>emulator!J$5*$A14</f>
        <v>-302.06</v>
      </c>
      <c r="J14">
        <f>emulator!K$5*$A14</f>
        <v>-311.3</v>
      </c>
      <c r="K14">
        <f>emulator!L$5*$A14</f>
        <v>-361.40499999999997</v>
      </c>
      <c r="L14">
        <f>emulator!M$5*$A14</f>
        <v>-426.14000000000004</v>
      </c>
      <c r="M14">
        <f>emulator!N$5*$A14</f>
        <v>-455.84</v>
      </c>
      <c r="N14">
        <f>emulator!O$5*$A14</f>
        <v>-505.01</v>
      </c>
      <c r="O14">
        <f>emulator!P$5*$A14</f>
        <v>-691.35</v>
      </c>
      <c r="P14">
        <f>emulator!Q$5*$A14</f>
        <v>-935</v>
      </c>
      <c r="Q14">
        <f>emulator!R$5*$A14</f>
        <v>-1184.1500000000001</v>
      </c>
      <c r="R14">
        <f>emulator!S$5*$A14</f>
        <v>-1063.7</v>
      </c>
      <c r="S14">
        <f>emulator!T$5*$A14</f>
        <v>-1251.25</v>
      </c>
      <c r="T14">
        <f>emulator!U$5*$A14</f>
        <v>-1808.4</v>
      </c>
      <c r="V14">
        <f>[2]Sheet2!$BY13</f>
        <v>1.3795475124476132E-5</v>
      </c>
      <c r="W14">
        <f>[2]Sheet2!$BW13</f>
        <v>0</v>
      </c>
      <c r="X14">
        <f t="shared" ref="X14:X21" si="13">W14-$V14</f>
        <v>-1.3795475124476132E-5</v>
      </c>
      <c r="Y14">
        <f>[2]Sheet2!$CA13</f>
        <v>0</v>
      </c>
      <c r="Z14">
        <f t="shared" ref="Z14:Z21" si="14">Y14-$V14</f>
        <v>-1.3795475124476132E-5</v>
      </c>
      <c r="AA14">
        <f>[2]Sheet2!$CC13</f>
        <v>3.246753246753247E-3</v>
      </c>
      <c r="AB14">
        <f t="shared" ref="AB14:AB21" si="15">AA14-$V14</f>
        <v>3.2329577716287707E-3</v>
      </c>
      <c r="AD14">
        <f>+emulator!C$6^2*$A14^2</f>
        <v>290.32752099999993</v>
      </c>
      <c r="AE14">
        <f>+emulator!D$6^2*$A14^2</f>
        <v>742.9985640000001</v>
      </c>
      <c r="AF14">
        <f>+emulator!E$6^2*$A14^2</f>
        <v>527.02384900000015</v>
      </c>
      <c r="AG14">
        <f>+emulator!F$6^2*$A14^2</f>
        <v>344.97490224999996</v>
      </c>
      <c r="AH14">
        <f>+emulator!G$6^2*$A14^2</f>
        <v>477.24771599999997</v>
      </c>
      <c r="AI14">
        <f>+emulator!H$6^2*$A14^2</f>
        <v>497.15620900000005</v>
      </c>
      <c r="AJ14">
        <f>+emulator!I$6^2*$A14^2</f>
        <v>911.40591024999992</v>
      </c>
      <c r="AK14">
        <f>+emulator!J$6^2*$A14^2</f>
        <v>1049.7924002500001</v>
      </c>
      <c r="AL14">
        <f>+emulator!K$6^2*$A14^2</f>
        <v>1284.3622439999999</v>
      </c>
      <c r="AM14">
        <f>+emulator!L$6^2*$A14^2</f>
        <v>1777.7185690000001</v>
      </c>
      <c r="AN14">
        <f>+emulator!M$6^2*$A14^2</f>
        <v>2168.6251922500005</v>
      </c>
      <c r="AO14">
        <f>+emulator!N$6^2*$A14^2</f>
        <v>2770.443225</v>
      </c>
      <c r="AP14">
        <f>+emulator!O$6^2*$A14^2</f>
        <v>8639.7024999999994</v>
      </c>
      <c r="AQ14">
        <f>+emulator!P$6^2*$A14^2</f>
        <v>17019.811599999997</v>
      </c>
      <c r="AR14">
        <f>+emulator!Q$6^2*$A14^2</f>
        <v>32207.686225000005</v>
      </c>
      <c r="AS14">
        <f>+emulator!R$6^2*$A14^2</f>
        <v>14921.844025</v>
      </c>
      <c r="AT14">
        <f>+emulator!S$6^2*$A14^2</f>
        <v>17891.7376</v>
      </c>
      <c r="AU14">
        <f>+emulator!T$6^2*$A14^2</f>
        <v>100431.94809999999</v>
      </c>
      <c r="AV14">
        <f>+emulator!U$6^2*$A14^2</f>
        <v>719273.60999999987</v>
      </c>
    </row>
    <row r="15" spans="1:48" x14ac:dyDescent="0.3">
      <c r="A15">
        <f t="shared" si="3"/>
        <v>6</v>
      </c>
      <c r="B15">
        <f>emulator!C$5*$A15</f>
        <v>-65.460000000000008</v>
      </c>
      <c r="C15">
        <f>emulator!D$5*$A15</f>
        <v>-99.24</v>
      </c>
      <c r="D15">
        <f>emulator!E$5*$A15</f>
        <v>-128.82</v>
      </c>
      <c r="E15">
        <f>emulator!F$5*$A15</f>
        <v>-138.84</v>
      </c>
      <c r="F15">
        <f>emulator!G$5*$A15</f>
        <v>-177.24</v>
      </c>
      <c r="G15">
        <f>emulator!H$5*$A15</f>
        <v>-235.74</v>
      </c>
      <c r="H15">
        <f>emulator!I$5*$A15</f>
        <v>-287.76</v>
      </c>
      <c r="I15">
        <f>emulator!J$5*$A15</f>
        <v>-329.52</v>
      </c>
      <c r="J15">
        <f>emulator!K$5*$A15</f>
        <v>-339.6</v>
      </c>
      <c r="K15">
        <f>emulator!L$5*$A15</f>
        <v>-394.26</v>
      </c>
      <c r="L15">
        <f>emulator!M$5*$A15</f>
        <v>-464.88</v>
      </c>
      <c r="M15">
        <f>emulator!N$5*$A15</f>
        <v>-497.28</v>
      </c>
      <c r="N15">
        <f>emulator!O$5*$A15</f>
        <v>-550.91999999999996</v>
      </c>
      <c r="O15">
        <f>emulator!P$5*$A15</f>
        <v>-754.2</v>
      </c>
      <c r="P15">
        <f>emulator!Q$5*$A15</f>
        <v>-1020</v>
      </c>
      <c r="Q15">
        <f>emulator!R$5*$A15</f>
        <v>-1291.8000000000002</v>
      </c>
      <c r="R15">
        <f>emulator!S$5*$A15</f>
        <v>-1160.4000000000001</v>
      </c>
      <c r="S15">
        <f>emulator!T$5*$A15</f>
        <v>-1365</v>
      </c>
      <c r="T15">
        <f>emulator!U$5*$A15</f>
        <v>-1972.8000000000002</v>
      </c>
      <c r="V15">
        <f>[2]Sheet2!$BY14</f>
        <v>5.2203436307614911E-4</v>
      </c>
      <c r="W15">
        <f>[2]Sheet2!$BW14</f>
        <v>0</v>
      </c>
      <c r="X15">
        <f t="shared" si="13"/>
        <v>-5.2203436307614911E-4</v>
      </c>
      <c r="Y15">
        <f>[2]Sheet2!$CA14</f>
        <v>1.0309278350515464E-2</v>
      </c>
      <c r="Z15">
        <f t="shared" si="14"/>
        <v>9.7872439874393154E-3</v>
      </c>
      <c r="AA15">
        <f>[2]Sheet2!$CC14</f>
        <v>2.1645021645021645E-3</v>
      </c>
      <c r="AB15">
        <f t="shared" si="15"/>
        <v>1.6424678014260153E-3</v>
      </c>
      <c r="AD15">
        <f>+emulator!C$6^2*$A15^2</f>
        <v>345.51374399999997</v>
      </c>
      <c r="AE15">
        <f>+emulator!D$6^2*$A15^2</f>
        <v>884.2296960000001</v>
      </c>
      <c r="AF15">
        <f>+emulator!E$6^2*$A15^2</f>
        <v>627.20193600000016</v>
      </c>
      <c r="AG15">
        <f>+emulator!F$6^2*$A15^2</f>
        <v>410.54864399999997</v>
      </c>
      <c r="AH15">
        <f>+emulator!G$6^2*$A15^2</f>
        <v>567.96422399999994</v>
      </c>
      <c r="AI15">
        <f>+emulator!H$6^2*$A15^2</f>
        <v>591.65697599999999</v>
      </c>
      <c r="AJ15">
        <f>+emulator!I$6^2*$A15^2</f>
        <v>1084.6483559999999</v>
      </c>
      <c r="AK15">
        <f>+emulator!J$6^2*$A15^2</f>
        <v>1249.3397160000002</v>
      </c>
      <c r="AL15">
        <f>+emulator!K$6^2*$A15^2</f>
        <v>1528.497216</v>
      </c>
      <c r="AM15">
        <f>+emulator!L$6^2*$A15^2</f>
        <v>2115.632016</v>
      </c>
      <c r="AN15">
        <f>+emulator!M$6^2*$A15^2</f>
        <v>2580.8432040000007</v>
      </c>
      <c r="AO15">
        <f>+emulator!N$6^2*$A15^2</f>
        <v>3297.0564000000004</v>
      </c>
      <c r="AP15">
        <f>+emulator!O$6^2*$A15^2</f>
        <v>10281.959999999999</v>
      </c>
      <c r="AQ15">
        <f>+emulator!P$6^2*$A15^2</f>
        <v>20254.982399999997</v>
      </c>
      <c r="AR15">
        <f>+emulator!Q$6^2*$A15^2</f>
        <v>38329.808400000002</v>
      </c>
      <c r="AS15">
        <f>+emulator!R$6^2*$A15^2</f>
        <v>17758.227600000002</v>
      </c>
      <c r="AT15">
        <f>+emulator!S$6^2*$A15^2</f>
        <v>21292.646400000001</v>
      </c>
      <c r="AU15">
        <f>+emulator!T$6^2*$A15^2</f>
        <v>119522.31839999999</v>
      </c>
      <c r="AV15">
        <f>+emulator!U$6^2*$A15^2</f>
        <v>855995.0399999998</v>
      </c>
    </row>
    <row r="16" spans="1:48" x14ac:dyDescent="0.3">
      <c r="A16">
        <f t="shared" si="3"/>
        <v>6.5</v>
      </c>
      <c r="B16">
        <f>emulator!C$5*$A16</f>
        <v>-70.915000000000006</v>
      </c>
      <c r="C16">
        <f>emulator!D$5*$A16</f>
        <v>-107.50999999999999</v>
      </c>
      <c r="D16">
        <f>emulator!E$5*$A16</f>
        <v>-139.55500000000001</v>
      </c>
      <c r="E16">
        <f>emulator!F$5*$A16</f>
        <v>-150.41</v>
      </c>
      <c r="F16">
        <f>emulator!G$5*$A16</f>
        <v>-192.01</v>
      </c>
      <c r="G16">
        <f>emulator!H$5*$A16</f>
        <v>-255.38499999999999</v>
      </c>
      <c r="H16">
        <f>emulator!I$5*$A16</f>
        <v>-311.74</v>
      </c>
      <c r="I16">
        <f>emulator!J$5*$A16</f>
        <v>-356.98</v>
      </c>
      <c r="J16">
        <f>emulator!K$5*$A16</f>
        <v>-367.90000000000003</v>
      </c>
      <c r="K16">
        <f>emulator!L$5*$A16</f>
        <v>-427.11499999999995</v>
      </c>
      <c r="L16">
        <f>emulator!M$5*$A16</f>
        <v>-503.62</v>
      </c>
      <c r="M16">
        <f>emulator!N$5*$A16</f>
        <v>-538.72</v>
      </c>
      <c r="N16">
        <f>emulator!O$5*$A16</f>
        <v>-596.82999999999993</v>
      </c>
      <c r="O16">
        <f>emulator!P$5*$A16</f>
        <v>-817.05000000000007</v>
      </c>
      <c r="P16">
        <f>emulator!Q$5*$A16</f>
        <v>-1105</v>
      </c>
      <c r="Q16">
        <f>emulator!R$5*$A16</f>
        <v>-1399.45</v>
      </c>
      <c r="R16">
        <f>emulator!S$5*$A16</f>
        <v>-1257.1000000000001</v>
      </c>
      <c r="S16">
        <f>emulator!T$5*$A16</f>
        <v>-1478.75</v>
      </c>
      <c r="T16">
        <f>emulator!U$5*$A16</f>
        <v>-2137.2000000000003</v>
      </c>
      <c r="V16">
        <f>[2]Sheet2!$BY15</f>
        <v>0</v>
      </c>
      <c r="W16">
        <f>[2]Sheet2!$BW15</f>
        <v>0</v>
      </c>
      <c r="X16">
        <f t="shared" si="13"/>
        <v>0</v>
      </c>
      <c r="Y16">
        <f>[2]Sheet2!$CA15</f>
        <v>0</v>
      </c>
      <c r="Z16">
        <f t="shared" si="14"/>
        <v>0</v>
      </c>
      <c r="AA16">
        <f>[2]Sheet2!$CC15</f>
        <v>0</v>
      </c>
      <c r="AB16">
        <f t="shared" si="15"/>
        <v>0</v>
      </c>
      <c r="AD16">
        <f>+emulator!C$6^2*$A16^2</f>
        <v>405.49876899999992</v>
      </c>
      <c r="AE16">
        <f>+emulator!D$6^2*$A16^2</f>
        <v>1037.741796</v>
      </c>
      <c r="AF16">
        <f>+emulator!E$6^2*$A16^2</f>
        <v>736.09116100000017</v>
      </c>
      <c r="AG16">
        <f>+emulator!F$6^2*$A16^2</f>
        <v>481.82445024999998</v>
      </c>
      <c r="AH16">
        <f>+emulator!G$6^2*$A16^2</f>
        <v>666.56912399999999</v>
      </c>
      <c r="AI16">
        <f>+emulator!H$6^2*$A16^2</f>
        <v>694.37520100000006</v>
      </c>
      <c r="AJ16">
        <f>+emulator!I$6^2*$A16^2</f>
        <v>1272.95536225</v>
      </c>
      <c r="AK16">
        <f>+emulator!J$6^2*$A16^2</f>
        <v>1466.2389722500002</v>
      </c>
      <c r="AL16">
        <f>+emulator!K$6^2*$A16^2</f>
        <v>1793.861316</v>
      </c>
      <c r="AM16">
        <f>+emulator!L$6^2*$A16^2</f>
        <v>2482.9292410000003</v>
      </c>
      <c r="AN16">
        <f>+emulator!M$6^2*$A16^2</f>
        <v>3028.9062602500007</v>
      </c>
      <c r="AO16">
        <f>+emulator!N$6^2*$A16^2</f>
        <v>3869.4620250000003</v>
      </c>
      <c r="AP16">
        <f>+emulator!O$6^2*$A16^2</f>
        <v>12067.022499999997</v>
      </c>
      <c r="AQ16">
        <f>+emulator!P$6^2*$A16^2</f>
        <v>23771.472399999999</v>
      </c>
      <c r="AR16">
        <f>+emulator!Q$6^2*$A16^2</f>
        <v>44984.289025000005</v>
      </c>
      <c r="AS16">
        <f>+emulator!R$6^2*$A16^2</f>
        <v>20841.253225</v>
      </c>
      <c r="AT16">
        <f>+emulator!S$6^2*$A16^2</f>
        <v>24989.286400000001</v>
      </c>
      <c r="AU16">
        <f>+emulator!T$6^2*$A16^2</f>
        <v>140272.72089999999</v>
      </c>
      <c r="AV16">
        <f>+emulator!U$6^2*$A16^2</f>
        <v>1004605.2899999998</v>
      </c>
    </row>
    <row r="17" spans="1:48" x14ac:dyDescent="0.3">
      <c r="A17">
        <f t="shared" si="3"/>
        <v>7</v>
      </c>
      <c r="B17">
        <f>emulator!C$5*$A17</f>
        <v>-76.37</v>
      </c>
      <c r="C17">
        <f>emulator!D$5*$A17</f>
        <v>-115.78</v>
      </c>
      <c r="D17">
        <f>emulator!E$5*$A17</f>
        <v>-150.29</v>
      </c>
      <c r="E17">
        <f>emulator!F$5*$A17</f>
        <v>-161.98000000000002</v>
      </c>
      <c r="F17">
        <f>emulator!G$5*$A17</f>
        <v>-206.78</v>
      </c>
      <c r="G17">
        <f>emulator!H$5*$A17</f>
        <v>-275.02999999999997</v>
      </c>
      <c r="H17">
        <f>emulator!I$5*$A17</f>
        <v>-335.72</v>
      </c>
      <c r="I17">
        <f>emulator!J$5*$A17</f>
        <v>-384.44</v>
      </c>
      <c r="J17">
        <f>emulator!K$5*$A17</f>
        <v>-396.2</v>
      </c>
      <c r="K17">
        <f>emulator!L$5*$A17</f>
        <v>-459.96999999999997</v>
      </c>
      <c r="L17">
        <f>emulator!M$5*$A17</f>
        <v>-542.36</v>
      </c>
      <c r="M17">
        <f>emulator!N$5*$A17</f>
        <v>-580.16</v>
      </c>
      <c r="N17">
        <f>emulator!O$5*$A17</f>
        <v>-642.74</v>
      </c>
      <c r="O17">
        <f>emulator!P$5*$A17</f>
        <v>-879.9</v>
      </c>
      <c r="P17">
        <f>emulator!Q$5*$A17</f>
        <v>-1190</v>
      </c>
      <c r="Q17">
        <f>emulator!R$5*$A17</f>
        <v>-1507.1000000000001</v>
      </c>
      <c r="R17">
        <f>emulator!S$5*$A17</f>
        <v>-1353.8</v>
      </c>
      <c r="S17">
        <f>emulator!T$5*$A17</f>
        <v>-1592.5</v>
      </c>
      <c r="T17">
        <f>emulator!U$5*$A17</f>
        <v>-2301.6</v>
      </c>
      <c r="V17">
        <f>[2]Sheet2!$BY16</f>
        <v>2.6262344111411637E-5</v>
      </c>
      <c r="W17">
        <f>[2]Sheet2!$BW16</f>
        <v>0</v>
      </c>
      <c r="X17">
        <f t="shared" si="13"/>
        <v>-2.6262344111411637E-5</v>
      </c>
      <c r="Y17">
        <f>[2]Sheet2!$CA16</f>
        <v>1.0309278350515464E-2</v>
      </c>
      <c r="Z17">
        <f t="shared" si="14"/>
        <v>1.0283016006404052E-2</v>
      </c>
      <c r="AA17">
        <f>[2]Sheet2!$CC16</f>
        <v>0</v>
      </c>
      <c r="AB17">
        <f t="shared" si="15"/>
        <v>-2.6262344111411637E-5</v>
      </c>
      <c r="AD17">
        <f>+emulator!C$6^2*$A17^2</f>
        <v>470.28259599999996</v>
      </c>
      <c r="AE17">
        <f>+emulator!D$6^2*$A17^2</f>
        <v>1203.5348640000002</v>
      </c>
      <c r="AF17">
        <f>+emulator!E$6^2*$A17^2</f>
        <v>853.69152400000019</v>
      </c>
      <c r="AG17">
        <f>+emulator!F$6^2*$A17^2</f>
        <v>558.80232100000001</v>
      </c>
      <c r="AH17">
        <f>+emulator!G$6^2*$A17^2</f>
        <v>773.06241599999998</v>
      </c>
      <c r="AI17">
        <f>+emulator!H$6^2*$A17^2</f>
        <v>805.3108840000001</v>
      </c>
      <c r="AJ17">
        <f>+emulator!I$6^2*$A17^2</f>
        <v>1476.3269289999998</v>
      </c>
      <c r="AK17">
        <f>+emulator!J$6^2*$A17^2</f>
        <v>1700.4901690000002</v>
      </c>
      <c r="AL17">
        <f>+emulator!K$6^2*$A17^2</f>
        <v>2080.4545439999997</v>
      </c>
      <c r="AM17">
        <f>+emulator!L$6^2*$A17^2</f>
        <v>2879.6102440000004</v>
      </c>
      <c r="AN17">
        <f>+emulator!M$6^2*$A17^2</f>
        <v>3512.8143610000006</v>
      </c>
      <c r="AO17">
        <f>+emulator!N$6^2*$A17^2</f>
        <v>4487.6601000000001</v>
      </c>
      <c r="AP17">
        <f>+emulator!O$6^2*$A17^2</f>
        <v>13994.889999999998</v>
      </c>
      <c r="AQ17">
        <f>+emulator!P$6^2*$A17^2</f>
        <v>27569.281599999998</v>
      </c>
      <c r="AR17">
        <f>+emulator!Q$6^2*$A17^2</f>
        <v>52171.128100000009</v>
      </c>
      <c r="AS17">
        <f>+emulator!R$6^2*$A17^2</f>
        <v>24170.920900000001</v>
      </c>
      <c r="AT17">
        <f>+emulator!S$6^2*$A17^2</f>
        <v>28981.657599999999</v>
      </c>
      <c r="AU17">
        <f>+emulator!T$6^2*$A17^2</f>
        <v>162683.1556</v>
      </c>
      <c r="AV17">
        <f>+emulator!U$6^2*$A17^2</f>
        <v>1165104.3599999999</v>
      </c>
    </row>
    <row r="18" spans="1:48" x14ac:dyDescent="0.3">
      <c r="A18">
        <f t="shared" si="3"/>
        <v>7.5</v>
      </c>
      <c r="B18">
        <f>emulator!C$5*$A18</f>
        <v>-81.825000000000003</v>
      </c>
      <c r="C18">
        <f>emulator!D$5*$A18</f>
        <v>-124.05</v>
      </c>
      <c r="D18">
        <f>emulator!E$5*$A18</f>
        <v>-161.02499999999998</v>
      </c>
      <c r="E18">
        <f>emulator!F$5*$A18</f>
        <v>-173.55</v>
      </c>
      <c r="F18">
        <f>emulator!G$5*$A18</f>
        <v>-221.54999999999998</v>
      </c>
      <c r="G18">
        <f>emulator!H$5*$A18</f>
        <v>-294.67500000000001</v>
      </c>
      <c r="H18">
        <f>emulator!I$5*$A18</f>
        <v>-359.7</v>
      </c>
      <c r="I18">
        <f>emulator!J$5*$A18</f>
        <v>-411.90000000000003</v>
      </c>
      <c r="J18">
        <f>emulator!K$5*$A18</f>
        <v>-424.5</v>
      </c>
      <c r="K18">
        <f>emulator!L$5*$A18</f>
        <v>-492.82499999999993</v>
      </c>
      <c r="L18">
        <f>emulator!M$5*$A18</f>
        <v>-581.1</v>
      </c>
      <c r="M18">
        <f>emulator!N$5*$A18</f>
        <v>-621.59999999999991</v>
      </c>
      <c r="N18">
        <f>emulator!O$5*$A18</f>
        <v>-688.65</v>
      </c>
      <c r="O18">
        <f>emulator!P$5*$A18</f>
        <v>-942.75</v>
      </c>
      <c r="P18">
        <f>emulator!Q$5*$A18</f>
        <v>-1275</v>
      </c>
      <c r="Q18">
        <f>emulator!R$5*$A18</f>
        <v>-1614.75</v>
      </c>
      <c r="R18">
        <f>emulator!S$5*$A18</f>
        <v>-1450.5</v>
      </c>
      <c r="S18">
        <f>emulator!T$5*$A18</f>
        <v>-1706.25</v>
      </c>
      <c r="T18">
        <f>emulator!U$5*$A18</f>
        <v>-2466</v>
      </c>
      <c r="V18">
        <f>[2]Sheet2!$BY17</f>
        <v>4.176963301576902E-5</v>
      </c>
      <c r="W18">
        <f>[2]Sheet2!$BW17</f>
        <v>0</v>
      </c>
      <c r="X18">
        <f t="shared" si="13"/>
        <v>-4.176963301576902E-5</v>
      </c>
      <c r="Y18">
        <f>[2]Sheet2!$CA17</f>
        <v>0</v>
      </c>
      <c r="Z18">
        <f t="shared" si="14"/>
        <v>-4.176963301576902E-5</v>
      </c>
      <c r="AA18">
        <f>[2]Sheet2!$CC17</f>
        <v>3.246753246753247E-3</v>
      </c>
      <c r="AB18">
        <f t="shared" si="15"/>
        <v>3.2049836137374782E-3</v>
      </c>
      <c r="AD18">
        <f>+emulator!C$6^2*$A18^2</f>
        <v>539.8652249999999</v>
      </c>
      <c r="AE18">
        <f>+emulator!D$6^2*$A18^2</f>
        <v>1381.6089000000002</v>
      </c>
      <c r="AF18">
        <f>+emulator!E$6^2*$A18^2</f>
        <v>980.00302500000021</v>
      </c>
      <c r="AG18">
        <f>+emulator!F$6^2*$A18^2</f>
        <v>641.48225624999998</v>
      </c>
      <c r="AH18">
        <f>+emulator!G$6^2*$A18^2</f>
        <v>887.44409999999993</v>
      </c>
      <c r="AI18">
        <f>+emulator!H$6^2*$A18^2</f>
        <v>924.46402500000011</v>
      </c>
      <c r="AJ18">
        <f>+emulator!I$6^2*$A18^2</f>
        <v>1694.7630562499999</v>
      </c>
      <c r="AK18">
        <f>+emulator!J$6^2*$A18^2</f>
        <v>1952.0933062500001</v>
      </c>
      <c r="AL18">
        <f>+emulator!K$6^2*$A18^2</f>
        <v>2388.2768999999998</v>
      </c>
      <c r="AM18">
        <f>+emulator!L$6^2*$A18^2</f>
        <v>3305.6750250000005</v>
      </c>
      <c r="AN18">
        <f>+emulator!M$6^2*$A18^2</f>
        <v>4032.5675062500009</v>
      </c>
      <c r="AO18">
        <f>+emulator!N$6^2*$A18^2</f>
        <v>5151.6506250000002</v>
      </c>
      <c r="AP18">
        <f>+emulator!O$6^2*$A18^2</f>
        <v>16065.562499999998</v>
      </c>
      <c r="AQ18">
        <f>+emulator!P$6^2*$A18^2</f>
        <v>31648.409999999996</v>
      </c>
      <c r="AR18">
        <f>+emulator!Q$6^2*$A18^2</f>
        <v>59890.325625000005</v>
      </c>
      <c r="AS18">
        <f>+emulator!R$6^2*$A18^2</f>
        <v>27747.230625</v>
      </c>
      <c r="AT18">
        <f>+emulator!S$6^2*$A18^2</f>
        <v>33269.760000000002</v>
      </c>
      <c r="AU18">
        <f>+emulator!T$6^2*$A18^2</f>
        <v>186753.6225</v>
      </c>
      <c r="AV18">
        <f>+emulator!U$6^2*$A18^2</f>
        <v>1337492.2499999998</v>
      </c>
    </row>
    <row r="19" spans="1:48" x14ac:dyDescent="0.3">
      <c r="A19">
        <f t="shared" si="3"/>
        <v>8</v>
      </c>
      <c r="B19">
        <f>emulator!C$5*$A19</f>
        <v>-87.28</v>
      </c>
      <c r="C19">
        <f>emulator!D$5*$A19</f>
        <v>-132.32</v>
      </c>
      <c r="D19">
        <f>emulator!E$5*$A19</f>
        <v>-171.76</v>
      </c>
      <c r="E19">
        <f>emulator!F$5*$A19</f>
        <v>-185.12</v>
      </c>
      <c r="F19">
        <f>emulator!G$5*$A19</f>
        <v>-236.32</v>
      </c>
      <c r="G19">
        <f>emulator!H$5*$A19</f>
        <v>-314.32</v>
      </c>
      <c r="H19">
        <f>emulator!I$5*$A19</f>
        <v>-383.68</v>
      </c>
      <c r="I19">
        <f>emulator!J$5*$A19</f>
        <v>-439.36</v>
      </c>
      <c r="J19">
        <f>emulator!K$5*$A19</f>
        <v>-452.8</v>
      </c>
      <c r="K19">
        <f>emulator!L$5*$A19</f>
        <v>-525.67999999999995</v>
      </c>
      <c r="L19">
        <f>emulator!M$5*$A19</f>
        <v>-619.84</v>
      </c>
      <c r="M19">
        <f>emulator!N$5*$A19</f>
        <v>-663.04</v>
      </c>
      <c r="N19">
        <f>emulator!O$5*$A19</f>
        <v>-734.56</v>
      </c>
      <c r="O19">
        <f>emulator!P$5*$A19</f>
        <v>-1005.6</v>
      </c>
      <c r="P19">
        <f>emulator!Q$5*$A19</f>
        <v>-1360</v>
      </c>
      <c r="Q19">
        <f>emulator!R$5*$A19</f>
        <v>-1722.4</v>
      </c>
      <c r="R19">
        <f>emulator!S$5*$A19</f>
        <v>-1547.2</v>
      </c>
      <c r="S19">
        <f>emulator!T$5*$A19</f>
        <v>-1820</v>
      </c>
      <c r="T19">
        <f>emulator!U$5*$A19</f>
        <v>-2630.4</v>
      </c>
      <c r="V19">
        <f>[2]Sheet2!$BY18</f>
        <v>4.1269397889635886E-5</v>
      </c>
      <c r="W19">
        <f>[2]Sheet2!$BW18</f>
        <v>0</v>
      </c>
      <c r="X19">
        <f t="shared" si="13"/>
        <v>-4.1269397889635886E-5</v>
      </c>
      <c r="Y19">
        <f>[2]Sheet2!$CA18</f>
        <v>1.0309278350515464E-2</v>
      </c>
      <c r="Z19">
        <f t="shared" si="14"/>
        <v>1.0268008952625828E-2</v>
      </c>
      <c r="AA19">
        <f>[2]Sheet2!$CC18</f>
        <v>1.0822510822510823E-3</v>
      </c>
      <c r="AB19">
        <f t="shared" si="15"/>
        <v>1.0409816843614463E-3</v>
      </c>
      <c r="AD19">
        <f>+emulator!C$6^2*$A19^2</f>
        <v>614.24665599999992</v>
      </c>
      <c r="AE19">
        <f>+emulator!D$6^2*$A19^2</f>
        <v>1571.9639040000002</v>
      </c>
      <c r="AF19">
        <f>+emulator!E$6^2*$A19^2</f>
        <v>1115.0256640000002</v>
      </c>
      <c r="AG19">
        <f>+emulator!F$6^2*$A19^2</f>
        <v>729.86425599999995</v>
      </c>
      <c r="AH19">
        <f>+emulator!G$6^2*$A19^2</f>
        <v>1009.714176</v>
      </c>
      <c r="AI19">
        <f>+emulator!H$6^2*$A19^2</f>
        <v>1051.8346240000001</v>
      </c>
      <c r="AJ19">
        <f>+emulator!I$6^2*$A19^2</f>
        <v>1928.2637439999999</v>
      </c>
      <c r="AK19">
        <f>+emulator!J$6^2*$A19^2</f>
        <v>2221.0483840000002</v>
      </c>
      <c r="AL19">
        <f>+emulator!K$6^2*$A19^2</f>
        <v>2717.3283839999999</v>
      </c>
      <c r="AM19">
        <f>+emulator!L$6^2*$A19^2</f>
        <v>3761.1235840000004</v>
      </c>
      <c r="AN19">
        <f>+emulator!M$6^2*$A19^2</f>
        <v>4588.1656960000009</v>
      </c>
      <c r="AO19">
        <f>+emulator!N$6^2*$A19^2</f>
        <v>5861.4336000000003</v>
      </c>
      <c r="AP19">
        <f>+emulator!O$6^2*$A19^2</f>
        <v>18279.039999999997</v>
      </c>
      <c r="AQ19">
        <f>+emulator!P$6^2*$A19^2</f>
        <v>36008.857599999996</v>
      </c>
      <c r="AR19">
        <f>+emulator!Q$6^2*$A19^2</f>
        <v>68141.881600000008</v>
      </c>
      <c r="AS19">
        <f>+emulator!R$6^2*$A19^2</f>
        <v>31570.182400000002</v>
      </c>
      <c r="AT19">
        <f>+emulator!S$6^2*$A19^2</f>
        <v>37853.5936</v>
      </c>
      <c r="AU19">
        <f>+emulator!T$6^2*$A19^2</f>
        <v>212484.12159999998</v>
      </c>
      <c r="AV19">
        <f>+emulator!U$6^2*$A19^2</f>
        <v>1521768.9599999997</v>
      </c>
    </row>
    <row r="20" spans="1:48" x14ac:dyDescent="0.3">
      <c r="A20">
        <f t="shared" si="3"/>
        <v>8.5</v>
      </c>
      <c r="B20">
        <f>emulator!C$5*$A20</f>
        <v>-92.734999999999999</v>
      </c>
      <c r="C20">
        <f>emulator!D$5*$A20</f>
        <v>-140.59</v>
      </c>
      <c r="D20">
        <f>emulator!E$5*$A20</f>
        <v>-182.495</v>
      </c>
      <c r="E20">
        <f>emulator!F$5*$A20</f>
        <v>-196.69</v>
      </c>
      <c r="F20">
        <f>emulator!G$5*$A20</f>
        <v>-251.09</v>
      </c>
      <c r="G20">
        <f>emulator!H$5*$A20</f>
        <v>-333.96499999999997</v>
      </c>
      <c r="H20">
        <f>emulator!I$5*$A20</f>
        <v>-407.66</v>
      </c>
      <c r="I20">
        <f>emulator!J$5*$A20</f>
        <v>-466.82</v>
      </c>
      <c r="J20">
        <f>emulator!K$5*$A20</f>
        <v>-481.1</v>
      </c>
      <c r="K20">
        <f>emulator!L$5*$A20</f>
        <v>-558.53499999999997</v>
      </c>
      <c r="L20">
        <f>emulator!M$5*$A20</f>
        <v>-658.58</v>
      </c>
      <c r="M20">
        <f>emulator!N$5*$A20</f>
        <v>-704.48</v>
      </c>
      <c r="N20">
        <f>emulator!O$5*$A20</f>
        <v>-780.46999999999991</v>
      </c>
      <c r="O20">
        <f>emulator!P$5*$A20</f>
        <v>-1068.45</v>
      </c>
      <c r="P20">
        <f>emulator!Q$5*$A20</f>
        <v>-1445</v>
      </c>
      <c r="Q20">
        <f>emulator!R$5*$A20</f>
        <v>-1830.0500000000002</v>
      </c>
      <c r="R20">
        <f>emulator!S$5*$A20</f>
        <v>-1643.9</v>
      </c>
      <c r="S20">
        <f>emulator!T$5*$A20</f>
        <v>-1933.75</v>
      </c>
      <c r="T20">
        <f>emulator!U$5*$A20</f>
        <v>-2794.8</v>
      </c>
      <c r="V20">
        <f>[2]Sheet2!$BY19</f>
        <v>0</v>
      </c>
      <c r="W20">
        <f>[2]Sheet2!$BW19</f>
        <v>0</v>
      </c>
      <c r="X20">
        <f t="shared" si="13"/>
        <v>0</v>
      </c>
      <c r="Y20">
        <f>[2]Sheet2!$CA19</f>
        <v>0</v>
      </c>
      <c r="Z20">
        <f t="shared" si="14"/>
        <v>0</v>
      </c>
      <c r="AA20">
        <f>[2]Sheet2!$CC19</f>
        <v>0</v>
      </c>
      <c r="AB20">
        <f t="shared" si="15"/>
        <v>0</v>
      </c>
      <c r="AD20">
        <f>+emulator!C$6^2*$A20^2</f>
        <v>693.42688899999996</v>
      </c>
      <c r="AE20">
        <f>+emulator!D$6^2*$A20^2</f>
        <v>1774.5998760000002</v>
      </c>
      <c r="AF20">
        <f>+emulator!E$6^2*$A20^2</f>
        <v>1258.7594410000002</v>
      </c>
      <c r="AG20">
        <f>+emulator!F$6^2*$A20^2</f>
        <v>823.94832024999994</v>
      </c>
      <c r="AH20">
        <f>+emulator!G$6^2*$A20^2</f>
        <v>1139.872644</v>
      </c>
      <c r="AI20">
        <f>+emulator!H$6^2*$A20^2</f>
        <v>1187.422681</v>
      </c>
      <c r="AJ20">
        <f>+emulator!I$6^2*$A20^2</f>
        <v>2176.8289922499998</v>
      </c>
      <c r="AK20">
        <f>+emulator!J$6^2*$A20^2</f>
        <v>2507.3554022500002</v>
      </c>
      <c r="AL20">
        <f>+emulator!K$6^2*$A20^2</f>
        <v>3067.6089959999999</v>
      </c>
      <c r="AM20">
        <f>+emulator!L$6^2*$A20^2</f>
        <v>4245.9559210000007</v>
      </c>
      <c r="AN20">
        <f>+emulator!M$6^2*$A20^2</f>
        <v>5179.6089302500013</v>
      </c>
      <c r="AO20">
        <f>+emulator!N$6^2*$A20^2</f>
        <v>6617.0090250000003</v>
      </c>
      <c r="AP20">
        <f>+emulator!O$6^2*$A20^2</f>
        <v>20635.322499999998</v>
      </c>
      <c r="AQ20">
        <f>+emulator!P$6^2*$A20^2</f>
        <v>40650.624399999993</v>
      </c>
      <c r="AR20">
        <f>+emulator!Q$6^2*$A20^2</f>
        <v>76925.796025000003</v>
      </c>
      <c r="AS20">
        <f>+emulator!R$6^2*$A20^2</f>
        <v>35639.776225000001</v>
      </c>
      <c r="AT20">
        <f>+emulator!S$6^2*$A20^2</f>
        <v>42733.1584</v>
      </c>
      <c r="AU20">
        <f>+emulator!T$6^2*$A20^2</f>
        <v>239874.65289999999</v>
      </c>
      <c r="AV20">
        <f>+emulator!U$6^2*$A20^2</f>
        <v>1717934.4899999998</v>
      </c>
    </row>
    <row r="21" spans="1:48" x14ac:dyDescent="0.3">
      <c r="A21">
        <f t="shared" si="3"/>
        <v>9</v>
      </c>
      <c r="B21">
        <f>emulator!C$5*$A21</f>
        <v>-98.19</v>
      </c>
      <c r="C21">
        <f>emulator!D$5*$A21</f>
        <v>-148.85999999999999</v>
      </c>
      <c r="D21">
        <f>emulator!E$5*$A21</f>
        <v>-193.23</v>
      </c>
      <c r="E21">
        <f>emulator!F$5*$A21</f>
        <v>-208.26</v>
      </c>
      <c r="F21">
        <f>emulator!G$5*$A21</f>
        <v>-265.86</v>
      </c>
      <c r="G21">
        <f>emulator!H$5*$A21</f>
        <v>-353.61</v>
      </c>
      <c r="H21">
        <f>emulator!I$5*$A21</f>
        <v>-431.64</v>
      </c>
      <c r="I21">
        <f>emulator!J$5*$A21</f>
        <v>-494.28000000000003</v>
      </c>
      <c r="J21">
        <f>emulator!K$5*$A21</f>
        <v>-509.40000000000003</v>
      </c>
      <c r="K21">
        <f>emulator!L$5*$A21</f>
        <v>-591.39</v>
      </c>
      <c r="L21">
        <f>emulator!M$5*$A21</f>
        <v>-697.32</v>
      </c>
      <c r="M21">
        <f>emulator!N$5*$A21</f>
        <v>-745.92</v>
      </c>
      <c r="N21">
        <f>emulator!O$5*$A21</f>
        <v>-826.37999999999988</v>
      </c>
      <c r="O21">
        <f>emulator!P$5*$A21</f>
        <v>-1131.3</v>
      </c>
      <c r="P21">
        <f>emulator!Q$5*$A21</f>
        <v>-1530</v>
      </c>
      <c r="Q21">
        <f>emulator!R$5*$A21</f>
        <v>-1937.7</v>
      </c>
      <c r="R21">
        <f>emulator!S$5*$A21</f>
        <v>-1740.6000000000001</v>
      </c>
      <c r="S21">
        <f>emulator!T$5*$A21</f>
        <v>-2047.5</v>
      </c>
      <c r="T21">
        <f>emulator!U$5*$A21</f>
        <v>-2959.2000000000003</v>
      </c>
      <c r="V21">
        <f>[2]Sheet2!$BY20</f>
        <v>0</v>
      </c>
      <c r="W21">
        <f>[2]Sheet2!$BW20</f>
        <v>0</v>
      </c>
      <c r="X21">
        <f t="shared" si="13"/>
        <v>0</v>
      </c>
      <c r="Y21">
        <f>[2]Sheet2!$CA20</f>
        <v>0</v>
      </c>
      <c r="Z21">
        <f t="shared" si="14"/>
        <v>0</v>
      </c>
      <c r="AA21">
        <f>[2]Sheet2!$CC20</f>
        <v>0</v>
      </c>
      <c r="AB21">
        <f t="shared" si="15"/>
        <v>0</v>
      </c>
      <c r="AD21">
        <f>+emulator!C$6^2*$A21^2</f>
        <v>777.40592399999991</v>
      </c>
      <c r="AE21">
        <f>+emulator!D$6^2*$A21^2</f>
        <v>1989.5168160000003</v>
      </c>
      <c r="AF21">
        <f>+emulator!E$6^2*$A21^2</f>
        <v>1411.2043560000002</v>
      </c>
      <c r="AG21">
        <f>+emulator!F$6^2*$A21^2</f>
        <v>923.73444899999993</v>
      </c>
      <c r="AH21">
        <f>+emulator!G$6^2*$A21^2</f>
        <v>1277.919504</v>
      </c>
      <c r="AI21">
        <f>+emulator!H$6^2*$A21^2</f>
        <v>1331.228196</v>
      </c>
      <c r="AJ21">
        <f>+emulator!I$6^2*$A21^2</f>
        <v>2440.4588009999998</v>
      </c>
      <c r="AK21">
        <f>+emulator!J$6^2*$A21^2</f>
        <v>2811.014361</v>
      </c>
      <c r="AL21">
        <f>+emulator!K$6^2*$A21^2</f>
        <v>3439.1187359999999</v>
      </c>
      <c r="AM21">
        <f>+emulator!L$6^2*$A21^2</f>
        <v>4760.1720360000008</v>
      </c>
      <c r="AN21">
        <f>+emulator!M$6^2*$A21^2</f>
        <v>5806.8972090000016</v>
      </c>
      <c r="AO21">
        <f>+emulator!N$6^2*$A21^2</f>
        <v>7418.3769000000002</v>
      </c>
      <c r="AP21">
        <f>+emulator!O$6^2*$A21^2</f>
        <v>23134.409999999996</v>
      </c>
      <c r="AQ21">
        <f>+emulator!P$6^2*$A21^2</f>
        <v>45573.710399999996</v>
      </c>
      <c r="AR21">
        <f>+emulator!Q$6^2*$A21^2</f>
        <v>86242.068900000013</v>
      </c>
      <c r="AS21">
        <f>+emulator!R$6^2*$A21^2</f>
        <v>39956.0121</v>
      </c>
      <c r="AT21">
        <f>+emulator!S$6^2*$A21^2</f>
        <v>47908.454400000002</v>
      </c>
      <c r="AU21">
        <f>+emulator!T$6^2*$A21^2</f>
        <v>268925.21639999998</v>
      </c>
      <c r="AV21">
        <f>+emulator!U$6^2*$A21^2</f>
        <v>1925988.8399999996</v>
      </c>
    </row>
    <row r="23" spans="1:48" x14ac:dyDescent="0.3">
      <c r="A23" t="s">
        <v>36</v>
      </c>
      <c r="B23">
        <f t="shared" ref="B23:T23" si="16">SUMPRODUCT(B3:B21,$W3:$W21)</f>
        <v>-14.707403314917126</v>
      </c>
      <c r="C23">
        <f t="shared" si="16"/>
        <v>-22.297016574585633</v>
      </c>
      <c r="D23">
        <f t="shared" si="16"/>
        <v>-28.942983425414361</v>
      </c>
      <c r="E23">
        <f t="shared" si="16"/>
        <v>-31.194254143646411</v>
      </c>
      <c r="F23">
        <f t="shared" si="16"/>
        <v>-39.821878453038671</v>
      </c>
      <c r="G23">
        <f t="shared" si="16"/>
        <v>-52.965524861878457</v>
      </c>
      <c r="H23">
        <f t="shared" si="16"/>
        <v>-64.653259668508298</v>
      </c>
      <c r="I23">
        <f t="shared" si="16"/>
        <v>-74.035801104972379</v>
      </c>
      <c r="J23">
        <f t="shared" si="16"/>
        <v>-76.30055248618784</v>
      </c>
      <c r="K23">
        <f t="shared" si="16"/>
        <v>-88.58143646408837</v>
      </c>
      <c r="L23">
        <f t="shared" si="16"/>
        <v>-104.44817679558012</v>
      </c>
      <c r="M23">
        <f t="shared" si="16"/>
        <v>-111.72773480662985</v>
      </c>
      <c r="N23">
        <f t="shared" si="16"/>
        <v>-123.77944751381216</v>
      </c>
      <c r="O23">
        <f t="shared" si="16"/>
        <v>-169.45193370165751</v>
      </c>
      <c r="P23">
        <f t="shared" si="16"/>
        <v>-229.17127071823205</v>
      </c>
      <c r="Q23">
        <f t="shared" si="16"/>
        <v>-290.23867403314921</v>
      </c>
      <c r="R23">
        <f t="shared" si="16"/>
        <v>-260.71602209944751</v>
      </c>
      <c r="S23">
        <f t="shared" si="16"/>
        <v>-306.68508287292821</v>
      </c>
      <c r="T23">
        <f t="shared" si="16"/>
        <v>-443.24419889502764</v>
      </c>
    </row>
    <row r="24" spans="1:48" x14ac:dyDescent="0.3">
      <c r="A24" t="s">
        <v>32</v>
      </c>
      <c r="B24">
        <f t="shared" ref="B24:T24" si="17">SUMPRODUCT(B3:B21,$V3:$V21)</f>
        <v>-16.432058699150375</v>
      </c>
      <c r="C24">
        <f t="shared" si="17"/>
        <v>-24.911663692387453</v>
      </c>
      <c r="D24">
        <f t="shared" si="17"/>
        <v>-32.336966110976945</v>
      </c>
      <c r="E24">
        <f t="shared" si="17"/>
        <v>-34.85223082477907</v>
      </c>
      <c r="F24">
        <f t="shared" si="17"/>
        <v>-44.491568650128507</v>
      </c>
      <c r="G24">
        <f t="shared" si="17"/>
        <v>-59.176497368434298</v>
      </c>
      <c r="H24">
        <f t="shared" si="17"/>
        <v>-72.234787828712371</v>
      </c>
      <c r="I24">
        <f t="shared" si="17"/>
        <v>-82.717567713779886</v>
      </c>
      <c r="J24">
        <f t="shared" si="17"/>
        <v>-85.247893892934087</v>
      </c>
      <c r="K24">
        <f t="shared" si="17"/>
        <v>-98.96888882870492</v>
      </c>
      <c r="L24">
        <f t="shared" si="17"/>
        <v>-116.69623354813662</v>
      </c>
      <c r="M24">
        <f t="shared" si="17"/>
        <v>-124.8294248382752</v>
      </c>
      <c r="N24">
        <f t="shared" si="17"/>
        <v>-138.29437486306023</v>
      </c>
      <c r="O24">
        <f t="shared" si="17"/>
        <v>-189.32261947600378</v>
      </c>
      <c r="P24">
        <f t="shared" si="17"/>
        <v>-256.04491098584447</v>
      </c>
      <c r="Q24">
        <f t="shared" si="17"/>
        <v>-324.27334903089593</v>
      </c>
      <c r="R24">
        <f t="shared" si="17"/>
        <v>-291.28873990977831</v>
      </c>
      <c r="S24">
        <f t="shared" si="17"/>
        <v>-342.64833676046834</v>
      </c>
      <c r="T24">
        <f t="shared" si="17"/>
        <v>-495.22098077732744</v>
      </c>
    </row>
    <row r="26" spans="1:48" x14ac:dyDescent="0.3">
      <c r="A26" t="s">
        <v>100</v>
      </c>
      <c r="B26">
        <f>[3]count!AW$481</f>
        <v>15</v>
      </c>
      <c r="C26">
        <f>[3]count!AX$481</f>
        <v>30</v>
      </c>
      <c r="D26">
        <f>[3]count!AY$481</f>
        <v>45</v>
      </c>
      <c r="E26">
        <f>[3]count!AZ$481</f>
        <v>65</v>
      </c>
      <c r="F26">
        <f>[3]count!BA$481</f>
        <v>75</v>
      </c>
      <c r="G26">
        <f>[3]count!BB$481</f>
        <v>85</v>
      </c>
      <c r="H26">
        <f>[3]count!BC$481</f>
        <v>100</v>
      </c>
      <c r="I26">
        <f>[3]count!BD$481</f>
        <v>130</v>
      </c>
      <c r="J26">
        <f>[3]count!BE$481</f>
        <v>155</v>
      </c>
      <c r="K26">
        <f>[3]count!BF$481</f>
        <v>180</v>
      </c>
      <c r="L26">
        <f>[3]count!BG$481</f>
        <v>215</v>
      </c>
      <c r="M26">
        <f>[3]count!BH$481</f>
        <v>245</v>
      </c>
      <c r="N26">
        <f>[3]count!BI$481</f>
        <v>275</v>
      </c>
      <c r="O26">
        <f>[3]count!BJ$481</f>
        <v>330</v>
      </c>
      <c r="P26">
        <f>[3]count!BK$481</f>
        <v>400</v>
      </c>
      <c r="Q26">
        <f>[3]count!BL$481</f>
        <v>550</v>
      </c>
      <c r="R26">
        <f>[3]count!BM$481</f>
        <v>780</v>
      </c>
      <c r="S26">
        <f>[3]count!BN$481</f>
        <v>960</v>
      </c>
      <c r="T26">
        <f>[3]count!BO$481</f>
        <v>1510</v>
      </c>
    </row>
    <row r="27" spans="1:48" x14ac:dyDescent="0.3">
      <c r="A27" t="s">
        <v>36</v>
      </c>
      <c r="B27">
        <f>B26-B29</f>
        <v>16.724655384233248</v>
      </c>
      <c r="C27">
        <f t="shared" ref="C27:T27" si="18">C26-C29</f>
        <v>32.614647117801823</v>
      </c>
      <c r="D27">
        <f t="shared" si="18"/>
        <v>48.393982685562584</v>
      </c>
      <c r="E27">
        <f t="shared" si="18"/>
        <v>68.657976681132652</v>
      </c>
      <c r="F27">
        <f t="shared" si="18"/>
        <v>79.669690197089835</v>
      </c>
      <c r="G27">
        <f t="shared" si="18"/>
        <v>91.210972506555834</v>
      </c>
      <c r="H27">
        <f t="shared" si="18"/>
        <v>107.58152816020407</v>
      </c>
      <c r="I27">
        <f t="shared" si="18"/>
        <v>138.68176660880749</v>
      </c>
      <c r="J27">
        <f t="shared" si="18"/>
        <v>163.94734140674626</v>
      </c>
      <c r="K27">
        <f t="shared" si="18"/>
        <v>190.38745236461654</v>
      </c>
      <c r="L27">
        <f t="shared" si="18"/>
        <v>227.24805675255649</v>
      </c>
      <c r="M27">
        <f t="shared" si="18"/>
        <v>258.10169003164538</v>
      </c>
      <c r="N27">
        <f t="shared" si="18"/>
        <v>289.51492734924807</v>
      </c>
      <c r="O27">
        <f t="shared" si="18"/>
        <v>349.87068577434627</v>
      </c>
      <c r="P27">
        <f t="shared" si="18"/>
        <v>426.87364026761242</v>
      </c>
      <c r="Q27">
        <f t="shared" si="18"/>
        <v>584.03467499774672</v>
      </c>
      <c r="R27">
        <f t="shared" si="18"/>
        <v>810.5727178103308</v>
      </c>
      <c r="S27">
        <f t="shared" si="18"/>
        <v>995.96325388754008</v>
      </c>
      <c r="T27">
        <f t="shared" si="18"/>
        <v>1561.9767818822997</v>
      </c>
    </row>
    <row r="29" spans="1:48" x14ac:dyDescent="0.3">
      <c r="A29" t="s">
        <v>35</v>
      </c>
      <c r="B29">
        <f>B24-B23</f>
        <v>-1.7246553842332482</v>
      </c>
      <c r="C29">
        <f t="shared" ref="C29:T29" si="19">C24-C23</f>
        <v>-2.6146471178018196</v>
      </c>
      <c r="D29">
        <f t="shared" si="19"/>
        <v>-3.3939826855625839</v>
      </c>
      <c r="E29">
        <f t="shared" si="19"/>
        <v>-3.6579766811326593</v>
      </c>
      <c r="F29">
        <f t="shared" si="19"/>
        <v>-4.6696901970898352</v>
      </c>
      <c r="G29">
        <f t="shared" si="19"/>
        <v>-6.2109725065558408</v>
      </c>
      <c r="H29">
        <f t="shared" si="19"/>
        <v>-7.5815281602040727</v>
      </c>
      <c r="I29">
        <f t="shared" si="19"/>
        <v>-8.6817666088075072</v>
      </c>
      <c r="J29">
        <f t="shared" si="19"/>
        <v>-8.9473414067462471</v>
      </c>
      <c r="K29">
        <f t="shared" si="19"/>
        <v>-10.38745236461655</v>
      </c>
      <c r="L29">
        <f t="shared" si="19"/>
        <v>-12.248056752556494</v>
      </c>
      <c r="M29">
        <f t="shared" si="19"/>
        <v>-13.101690031645347</v>
      </c>
      <c r="N29">
        <f t="shared" si="19"/>
        <v>-14.514927349248069</v>
      </c>
      <c r="O29">
        <f t="shared" si="19"/>
        <v>-19.870685774346271</v>
      </c>
      <c r="P29">
        <f t="shared" si="19"/>
        <v>-26.873640267612416</v>
      </c>
      <c r="Q29">
        <f t="shared" si="19"/>
        <v>-34.03467499774672</v>
      </c>
      <c r="R29">
        <f t="shared" si="19"/>
        <v>-30.572717810330801</v>
      </c>
      <c r="S29">
        <f t="shared" si="19"/>
        <v>-35.963253887540134</v>
      </c>
      <c r="T29">
        <f t="shared" si="19"/>
        <v>-51.976781882299804</v>
      </c>
    </row>
    <row r="30" spans="1:48" x14ac:dyDescent="0.3">
      <c r="B30">
        <f t="shared" ref="B30:T30" si="20">SQRT(SUMPRODUCT($X3:$X21,$X3:$X21,AD3:AD21))</f>
        <v>1.7685067089640969</v>
      </c>
      <c r="C30">
        <f t="shared" si="20"/>
        <v>2.8291540508799438</v>
      </c>
      <c r="D30">
        <f t="shared" si="20"/>
        <v>2.3827459661769339</v>
      </c>
      <c r="E30">
        <f t="shared" si="20"/>
        <v>1.9277750665499533</v>
      </c>
      <c r="F30">
        <f t="shared" si="20"/>
        <v>2.2674333918674607</v>
      </c>
      <c r="G30">
        <f t="shared" si="20"/>
        <v>2.3142434467851674</v>
      </c>
      <c r="H30">
        <f t="shared" si="20"/>
        <v>3.1334194078450381</v>
      </c>
      <c r="I30">
        <f t="shared" si="20"/>
        <v>3.3629028478074554</v>
      </c>
      <c r="J30">
        <f t="shared" si="20"/>
        <v>3.7196868029729044</v>
      </c>
      <c r="K30">
        <f t="shared" si="20"/>
        <v>4.3761692804773293</v>
      </c>
      <c r="L30">
        <f t="shared" si="20"/>
        <v>4.8334235974173696</v>
      </c>
      <c r="M30">
        <f t="shared" si="20"/>
        <v>5.4630759214933544</v>
      </c>
      <c r="N30">
        <f t="shared" si="20"/>
        <v>9.6474381476737356</v>
      </c>
      <c r="O30">
        <f t="shared" si="20"/>
        <v>13.540664666439113</v>
      </c>
      <c r="P30">
        <f t="shared" si="20"/>
        <v>18.626976731277757</v>
      </c>
      <c r="Q30">
        <f t="shared" si="20"/>
        <v>12.67867463075939</v>
      </c>
      <c r="R30">
        <f t="shared" si="20"/>
        <v>13.883177263397947</v>
      </c>
      <c r="S30">
        <f t="shared" si="20"/>
        <v>32.89262639461306</v>
      </c>
      <c r="T30">
        <f t="shared" si="20"/>
        <v>88.025737418419538</v>
      </c>
    </row>
    <row r="31" spans="1:48" x14ac:dyDescent="0.3">
      <c r="B31">
        <f>B29-2*B30</f>
        <v>-5.2616688021614415</v>
      </c>
      <c r="C31">
        <f t="shared" ref="C31:T31" si="21">C29-2*C30</f>
        <v>-8.2729552195617071</v>
      </c>
      <c r="D31">
        <f t="shared" si="21"/>
        <v>-8.1594746179164517</v>
      </c>
      <c r="E31">
        <f t="shared" si="21"/>
        <v>-7.5135268142325664</v>
      </c>
      <c r="F31">
        <f t="shared" si="21"/>
        <v>-9.2045569808247567</v>
      </c>
      <c r="G31">
        <f t="shared" si="21"/>
        <v>-10.839459400126175</v>
      </c>
      <c r="H31">
        <f t="shared" si="21"/>
        <v>-13.848366975894148</v>
      </c>
      <c r="I31">
        <f t="shared" si="21"/>
        <v>-15.407572304422418</v>
      </c>
      <c r="J31">
        <f t="shared" si="21"/>
        <v>-16.386715012692058</v>
      </c>
      <c r="K31">
        <f t="shared" si="21"/>
        <v>-19.139790925571209</v>
      </c>
      <c r="L31">
        <f t="shared" si="21"/>
        <v>-21.914903947391231</v>
      </c>
      <c r="M31">
        <f t="shared" si="21"/>
        <v>-24.027841874632056</v>
      </c>
      <c r="N31">
        <f t="shared" si="21"/>
        <v>-33.80980364459554</v>
      </c>
      <c r="O31">
        <f t="shared" si="21"/>
        <v>-46.952015107224497</v>
      </c>
      <c r="P31">
        <f t="shared" si="21"/>
        <v>-64.127593730167931</v>
      </c>
      <c r="Q31">
        <f t="shared" si="21"/>
        <v>-59.392024259265497</v>
      </c>
      <c r="R31">
        <f t="shared" si="21"/>
        <v>-58.339072337126694</v>
      </c>
      <c r="S31">
        <f t="shared" si="21"/>
        <v>-101.74850667676625</v>
      </c>
      <c r="T31">
        <f t="shared" si="21"/>
        <v>-228.02825671913888</v>
      </c>
    </row>
    <row r="32" spans="1:48" x14ac:dyDescent="0.3">
      <c r="B32">
        <f>B29+2*B30</f>
        <v>1.8123580336949456</v>
      </c>
      <c r="C32">
        <f t="shared" ref="C32:T32" si="22">C29+2*C30</f>
        <v>3.0436609839580679</v>
      </c>
      <c r="D32">
        <f t="shared" si="22"/>
        <v>1.3715092467912839</v>
      </c>
      <c r="E32">
        <f t="shared" si="22"/>
        <v>0.1975734519672474</v>
      </c>
      <c r="F32">
        <f t="shared" si="22"/>
        <v>-0.13482341335491377</v>
      </c>
      <c r="G32">
        <f t="shared" si="22"/>
        <v>-1.5824856129855061</v>
      </c>
      <c r="H32">
        <f t="shared" si="22"/>
        <v>-1.3146893445139964</v>
      </c>
      <c r="I32">
        <f t="shared" si="22"/>
        <v>-1.9559609131925964</v>
      </c>
      <c r="J32">
        <f t="shared" si="22"/>
        <v>-1.5079678008004382</v>
      </c>
      <c r="K32">
        <f t="shared" si="22"/>
        <v>-1.6351138036618913</v>
      </c>
      <c r="L32">
        <f t="shared" si="22"/>
        <v>-2.5812095577217544</v>
      </c>
      <c r="M32">
        <f t="shared" si="22"/>
        <v>-2.1755381886586385</v>
      </c>
      <c r="N32">
        <f t="shared" si="22"/>
        <v>4.7799489460994025</v>
      </c>
      <c r="O32">
        <f t="shared" si="22"/>
        <v>7.2106435585319559</v>
      </c>
      <c r="P32">
        <f t="shared" si="22"/>
        <v>10.380313194943099</v>
      </c>
      <c r="Q32">
        <f t="shared" si="22"/>
        <v>-8.6773257362279388</v>
      </c>
      <c r="R32">
        <f t="shared" si="22"/>
        <v>-2.8063632835349068</v>
      </c>
      <c r="S32">
        <f t="shared" si="22"/>
        <v>29.821998901685987</v>
      </c>
      <c r="T32">
        <f t="shared" si="22"/>
        <v>124.07469295453927</v>
      </c>
    </row>
    <row r="34" spans="1:20" x14ac:dyDescent="0.3">
      <c r="A34" t="s">
        <v>42</v>
      </c>
      <c r="B34">
        <f t="shared" ref="B34:T34" si="23">SUMPRODUCT(B3:B21,$Y3:$Y21)</f>
        <v>-11.753556701030929</v>
      </c>
      <c r="C34">
        <f t="shared" si="23"/>
        <v>-17.818865979381439</v>
      </c>
      <c r="D34">
        <f t="shared" si="23"/>
        <v>-23.130051546391751</v>
      </c>
      <c r="E34">
        <f t="shared" si="23"/>
        <v>-24.929175257731959</v>
      </c>
      <c r="F34">
        <f t="shared" si="23"/>
        <v>-31.824020618556695</v>
      </c>
      <c r="G34">
        <f t="shared" si="23"/>
        <v>-42.327886597938139</v>
      </c>
      <c r="H34">
        <f t="shared" si="23"/>
        <v>-51.668247422680423</v>
      </c>
      <c r="I34">
        <f t="shared" si="23"/>
        <v>-59.166391752577312</v>
      </c>
      <c r="J34">
        <f t="shared" si="23"/>
        <v>-60.976288659793823</v>
      </c>
      <c r="K34">
        <f t="shared" si="23"/>
        <v>-70.790670103092779</v>
      </c>
      <c r="L34">
        <f t="shared" si="23"/>
        <v>-83.470721649484531</v>
      </c>
      <c r="M34">
        <f t="shared" si="23"/>
        <v>-89.288247422680399</v>
      </c>
      <c r="N34">
        <f t="shared" si="23"/>
        <v>-98.91948453608245</v>
      </c>
      <c r="O34">
        <f t="shared" si="23"/>
        <v>-135.41907216494846</v>
      </c>
      <c r="P34">
        <f t="shared" si="23"/>
        <v>-183.14432989690724</v>
      </c>
      <c r="Q34">
        <f t="shared" si="23"/>
        <v>-231.94690721649488</v>
      </c>
      <c r="R34">
        <f t="shared" si="23"/>
        <v>-208.35360824742267</v>
      </c>
      <c r="S34">
        <f t="shared" si="23"/>
        <v>-245.09020618556701</v>
      </c>
      <c r="T34">
        <f t="shared" si="23"/>
        <v>-354.22268041237118</v>
      </c>
    </row>
    <row r="35" spans="1:20" x14ac:dyDescent="0.3">
      <c r="B35">
        <f>B24-B34</f>
        <v>-4.6785019981194456</v>
      </c>
      <c r="C35">
        <f t="shared" ref="C35:T35" si="24">C24-C34</f>
        <v>-7.0927977130060142</v>
      </c>
      <c r="D35">
        <f t="shared" si="24"/>
        <v>-9.206914564585194</v>
      </c>
      <c r="E35">
        <f t="shared" si="24"/>
        <v>-9.9230555670471112</v>
      </c>
      <c r="F35">
        <f t="shared" si="24"/>
        <v>-12.667548031571812</v>
      </c>
      <c r="G35">
        <f t="shared" si="24"/>
        <v>-16.848610770496158</v>
      </c>
      <c r="H35">
        <f t="shared" si="24"/>
        <v>-20.566540406031947</v>
      </c>
      <c r="I35">
        <f t="shared" si="24"/>
        <v>-23.551175961202574</v>
      </c>
      <c r="J35">
        <f t="shared" si="24"/>
        <v>-24.271605233140264</v>
      </c>
      <c r="K35">
        <f t="shared" si="24"/>
        <v>-28.17821872561214</v>
      </c>
      <c r="L35">
        <f t="shared" si="24"/>
        <v>-33.225511898652087</v>
      </c>
      <c r="M35">
        <f t="shared" si="24"/>
        <v>-35.541177415594802</v>
      </c>
      <c r="N35">
        <f t="shared" si="24"/>
        <v>-39.374890326977777</v>
      </c>
      <c r="O35">
        <f t="shared" si="24"/>
        <v>-53.90354731105532</v>
      </c>
      <c r="P35">
        <f t="shared" si="24"/>
        <v>-72.90058108893723</v>
      </c>
      <c r="Q35">
        <f t="shared" si="24"/>
        <v>-92.326441814401051</v>
      </c>
      <c r="R35">
        <f t="shared" si="24"/>
        <v>-82.935131662355644</v>
      </c>
      <c r="S35">
        <f t="shared" si="24"/>
        <v>-97.558130574901327</v>
      </c>
      <c r="T35">
        <f t="shared" si="24"/>
        <v>-140.99830036495626</v>
      </c>
    </row>
    <row r="36" spans="1:20" x14ac:dyDescent="0.3">
      <c r="B36">
        <f t="shared" ref="B36:T36" si="25">SQRT(SUMPRODUCT($Z3:$Z21,$Z3:$Z21,AD3:AD21))</f>
        <v>1.8996148191867712</v>
      </c>
      <c r="C36">
        <f t="shared" si="25"/>
        <v>3.038893171042492</v>
      </c>
      <c r="D36">
        <f t="shared" si="25"/>
        <v>2.5593906569675871</v>
      </c>
      <c r="E36">
        <f t="shared" si="25"/>
        <v>2.0706905243362574</v>
      </c>
      <c r="F36">
        <f t="shared" si="25"/>
        <v>2.4355293937410765</v>
      </c>
      <c r="G36">
        <f t="shared" si="25"/>
        <v>2.4858097085161948</v>
      </c>
      <c r="H36">
        <f t="shared" si="25"/>
        <v>3.365715217080758</v>
      </c>
      <c r="I36">
        <f t="shared" si="25"/>
        <v>3.6122113943929222</v>
      </c>
      <c r="J36">
        <f t="shared" si="25"/>
        <v>3.9954455009105883</v>
      </c>
      <c r="K36">
        <f t="shared" si="25"/>
        <v>4.7005962569030952</v>
      </c>
      <c r="L36">
        <f t="shared" si="25"/>
        <v>5.1917490878161372</v>
      </c>
      <c r="M36">
        <f t="shared" si="25"/>
        <v>5.8680806389985154</v>
      </c>
      <c r="N36">
        <f t="shared" si="25"/>
        <v>10.362650240237713</v>
      </c>
      <c r="O36">
        <f t="shared" si="25"/>
        <v>14.544500810558494</v>
      </c>
      <c r="P36">
        <f t="shared" si="25"/>
        <v>20.007886233074355</v>
      </c>
      <c r="Q36">
        <f t="shared" si="25"/>
        <v>13.618607209211815</v>
      </c>
      <c r="R36">
        <f t="shared" si="25"/>
        <v>14.912405552815457</v>
      </c>
      <c r="S36">
        <f t="shared" si="25"/>
        <v>35.331118748076747</v>
      </c>
      <c r="T36">
        <f t="shared" si="25"/>
        <v>94.551518760038789</v>
      </c>
    </row>
    <row r="37" spans="1:20" x14ac:dyDescent="0.3">
      <c r="B37">
        <f>B35-2*B36</f>
        <v>-8.4777316364929884</v>
      </c>
      <c r="C37">
        <f t="shared" ref="C37:T37" si="26">C35-2*C36</f>
        <v>-13.170584055090998</v>
      </c>
      <c r="D37">
        <f t="shared" si="26"/>
        <v>-14.325695878520367</v>
      </c>
      <c r="E37">
        <f t="shared" si="26"/>
        <v>-14.064436615719625</v>
      </c>
      <c r="F37">
        <f t="shared" si="26"/>
        <v>-17.538606819053964</v>
      </c>
      <c r="G37">
        <f t="shared" si="26"/>
        <v>-21.820230187528548</v>
      </c>
      <c r="H37">
        <f t="shared" si="26"/>
        <v>-27.297970840193464</v>
      </c>
      <c r="I37">
        <f t="shared" si="26"/>
        <v>-30.775598749988418</v>
      </c>
      <c r="J37">
        <f t="shared" si="26"/>
        <v>-32.262496234961439</v>
      </c>
      <c r="K37">
        <f t="shared" si="26"/>
        <v>-37.579411239418334</v>
      </c>
      <c r="L37">
        <f t="shared" si="26"/>
        <v>-43.609010074284363</v>
      </c>
      <c r="M37">
        <f t="shared" si="26"/>
        <v>-47.27733869359183</v>
      </c>
      <c r="N37">
        <f t="shared" si="26"/>
        <v>-60.100190807453203</v>
      </c>
      <c r="O37">
        <f t="shared" si="26"/>
        <v>-82.992548932172312</v>
      </c>
      <c r="P37">
        <f t="shared" si="26"/>
        <v>-112.91635355508595</v>
      </c>
      <c r="Q37">
        <f t="shared" si="26"/>
        <v>-119.56365623282468</v>
      </c>
      <c r="R37">
        <f t="shared" si="26"/>
        <v>-112.75994276798656</v>
      </c>
      <c r="S37">
        <f t="shared" si="26"/>
        <v>-168.22036807105482</v>
      </c>
      <c r="T37">
        <f t="shared" si="26"/>
        <v>-330.10133788503384</v>
      </c>
    </row>
    <row r="38" spans="1:20" x14ac:dyDescent="0.3">
      <c r="B38">
        <f>B35+2*B36</f>
        <v>-0.87927235974590312</v>
      </c>
      <c r="C38">
        <f t="shared" ref="C38:T38" si="27">C35+2*C36</f>
        <v>-1.0150113709210302</v>
      </c>
      <c r="D38">
        <f t="shared" si="27"/>
        <v>-4.0881332506500199</v>
      </c>
      <c r="E38">
        <f t="shared" si="27"/>
        <v>-5.7816745183745963</v>
      </c>
      <c r="F38">
        <f t="shared" si="27"/>
        <v>-7.7964892440896589</v>
      </c>
      <c r="G38">
        <f t="shared" si="27"/>
        <v>-11.876991353463769</v>
      </c>
      <c r="H38">
        <f t="shared" si="27"/>
        <v>-13.83510997187043</v>
      </c>
      <c r="I38">
        <f t="shared" si="27"/>
        <v>-16.32675317241673</v>
      </c>
      <c r="J38">
        <f t="shared" si="27"/>
        <v>-16.280714231319088</v>
      </c>
      <c r="K38">
        <f t="shared" si="27"/>
        <v>-18.77702621180595</v>
      </c>
      <c r="L38">
        <f t="shared" si="27"/>
        <v>-22.842013723019811</v>
      </c>
      <c r="M38">
        <f t="shared" si="27"/>
        <v>-23.805016137597772</v>
      </c>
      <c r="N38">
        <f t="shared" si="27"/>
        <v>-18.649589846502352</v>
      </c>
      <c r="O38">
        <f t="shared" si="27"/>
        <v>-24.814545689938331</v>
      </c>
      <c r="P38">
        <f t="shared" si="27"/>
        <v>-32.884808622788519</v>
      </c>
      <c r="Q38">
        <f t="shared" si="27"/>
        <v>-65.089227395977417</v>
      </c>
      <c r="R38">
        <f t="shared" si="27"/>
        <v>-53.11032055672473</v>
      </c>
      <c r="S38">
        <f t="shared" si="27"/>
        <v>-26.895893078747832</v>
      </c>
      <c r="T38">
        <f t="shared" si="27"/>
        <v>48.104737155121313</v>
      </c>
    </row>
    <row r="40" spans="1:20" x14ac:dyDescent="0.3">
      <c r="A40" t="s">
        <v>43</v>
      </c>
      <c r="B40">
        <f t="shared" ref="B40:T40" si="28">SUMPRODUCT(B3:B21,$AA3:$AA21)</f>
        <v>-8.9972077922077904</v>
      </c>
      <c r="C40">
        <f t="shared" si="28"/>
        <v>-13.640129870129865</v>
      </c>
      <c r="D40">
        <f t="shared" si="28"/>
        <v>-17.70577922077922</v>
      </c>
      <c r="E40">
        <f t="shared" si="28"/>
        <v>-19.082987012987019</v>
      </c>
      <c r="F40">
        <f t="shared" si="28"/>
        <v>-24.36090909090909</v>
      </c>
      <c r="G40">
        <f t="shared" si="28"/>
        <v>-32.401493506493509</v>
      </c>
      <c r="H40">
        <f t="shared" si="28"/>
        <v>-39.55142857142858</v>
      </c>
      <c r="I40">
        <f t="shared" si="28"/>
        <v>-45.291168831168832</v>
      </c>
      <c r="J40">
        <f t="shared" si="28"/>
        <v>-46.676623376623382</v>
      </c>
      <c r="K40">
        <f t="shared" si="28"/>
        <v>-54.189415584415585</v>
      </c>
      <c r="L40">
        <f t="shared" si="28"/>
        <v>-63.895844155844159</v>
      </c>
      <c r="M40">
        <f t="shared" si="28"/>
        <v>-68.349090909090918</v>
      </c>
      <c r="N40">
        <f t="shared" si="28"/>
        <v>-75.721688311688311</v>
      </c>
      <c r="O40">
        <f t="shared" si="28"/>
        <v>-103.66168831168831</v>
      </c>
      <c r="P40">
        <f t="shared" si="28"/>
        <v>-140.19480519480518</v>
      </c>
      <c r="Q40">
        <f t="shared" si="28"/>
        <v>-177.5525974025974</v>
      </c>
      <c r="R40">
        <f t="shared" si="28"/>
        <v>-159.49220779220784</v>
      </c>
      <c r="S40">
        <f t="shared" si="28"/>
        <v>-187.6136363636364</v>
      </c>
      <c r="T40">
        <f t="shared" si="28"/>
        <v>-271.15324675324678</v>
      </c>
    </row>
    <row r="41" spans="1:20" x14ac:dyDescent="0.3">
      <c r="B41">
        <f>B24-B40</f>
        <v>-7.4348509069425841</v>
      </c>
      <c r="C41">
        <f t="shared" ref="C41:T41" si="29">C24-C40</f>
        <v>-11.271533822257588</v>
      </c>
      <c r="D41">
        <f t="shared" si="29"/>
        <v>-14.631186890197725</v>
      </c>
      <c r="E41">
        <f t="shared" si="29"/>
        <v>-15.769243811792052</v>
      </c>
      <c r="F41">
        <f t="shared" si="29"/>
        <v>-20.130659559219417</v>
      </c>
      <c r="G41">
        <f t="shared" si="29"/>
        <v>-26.775003861940789</v>
      </c>
      <c r="H41">
        <f t="shared" si="29"/>
        <v>-32.68335925728379</v>
      </c>
      <c r="I41">
        <f t="shared" si="29"/>
        <v>-37.426398882611053</v>
      </c>
      <c r="J41">
        <f t="shared" si="29"/>
        <v>-38.571270516310705</v>
      </c>
      <c r="K41">
        <f t="shared" si="29"/>
        <v>-44.779473244289335</v>
      </c>
      <c r="L41">
        <f t="shared" si="29"/>
        <v>-52.800389392292459</v>
      </c>
      <c r="M41">
        <f t="shared" si="29"/>
        <v>-56.480333929184283</v>
      </c>
      <c r="N41">
        <f t="shared" si="29"/>
        <v>-62.572686551371916</v>
      </c>
      <c r="O41">
        <f t="shared" si="29"/>
        <v>-85.660931164315471</v>
      </c>
      <c r="P41">
        <f t="shared" si="29"/>
        <v>-115.85010579103928</v>
      </c>
      <c r="Q41">
        <f t="shared" si="29"/>
        <v>-146.72075162829853</v>
      </c>
      <c r="R41">
        <f t="shared" si="29"/>
        <v>-131.79653211757048</v>
      </c>
      <c r="S41">
        <f t="shared" si="29"/>
        <v>-155.03470039683194</v>
      </c>
      <c r="T41">
        <f t="shared" si="29"/>
        <v>-224.06773402408066</v>
      </c>
    </row>
    <row r="42" spans="1:20" x14ac:dyDescent="0.3">
      <c r="B42">
        <f t="shared" ref="B42:T42" si="30">SQRT(SUMPRODUCT($AB3:$AB21,$AB3:$AB21,AD3:AD21))</f>
        <v>1.9518531412522369</v>
      </c>
      <c r="C42">
        <f t="shared" si="30"/>
        <v>3.1224609967869879</v>
      </c>
      <c r="D42">
        <f t="shared" si="30"/>
        <v>2.6297724375683793</v>
      </c>
      <c r="E42">
        <f t="shared" si="30"/>
        <v>2.1276333305386714</v>
      </c>
      <c r="F42">
        <f t="shared" si="30"/>
        <v>2.5025050603789172</v>
      </c>
      <c r="G42">
        <f t="shared" si="30"/>
        <v>2.55416805507959</v>
      </c>
      <c r="H42">
        <f t="shared" si="30"/>
        <v>3.4582704623413587</v>
      </c>
      <c r="I42">
        <f t="shared" si="30"/>
        <v>3.7115451436788027</v>
      </c>
      <c r="J42">
        <f t="shared" si="30"/>
        <v>4.1053179691412458</v>
      </c>
      <c r="K42">
        <f t="shared" si="30"/>
        <v>4.8298599679921406</v>
      </c>
      <c r="L42">
        <f t="shared" si="30"/>
        <v>5.3345192211048076</v>
      </c>
      <c r="M42">
        <f t="shared" si="30"/>
        <v>6.0294495034809259</v>
      </c>
      <c r="N42">
        <f t="shared" si="30"/>
        <v>10.647617200504456</v>
      </c>
      <c r="O42">
        <f t="shared" si="30"/>
        <v>14.944466271950633</v>
      </c>
      <c r="P42">
        <f t="shared" si="30"/>
        <v>20.55809167174322</v>
      </c>
      <c r="Q42">
        <f t="shared" si="30"/>
        <v>13.993111125633373</v>
      </c>
      <c r="R42">
        <f t="shared" si="30"/>
        <v>15.322488184394581</v>
      </c>
      <c r="S42">
        <f t="shared" si="30"/>
        <v>36.302704325033538</v>
      </c>
      <c r="T42">
        <f t="shared" si="30"/>
        <v>97.151631498093892</v>
      </c>
    </row>
    <row r="43" spans="1:20" x14ac:dyDescent="0.3">
      <c r="B43">
        <f>B41-2*B42</f>
        <v>-11.338557189447059</v>
      </c>
      <c r="C43">
        <f t="shared" ref="C43:T43" si="31">C41-2*C42</f>
        <v>-17.516455815831563</v>
      </c>
      <c r="D43">
        <f t="shared" si="31"/>
        <v>-19.890731765334483</v>
      </c>
      <c r="E43">
        <f t="shared" si="31"/>
        <v>-20.024510472869395</v>
      </c>
      <c r="F43">
        <f t="shared" si="31"/>
        <v>-25.135669679977251</v>
      </c>
      <c r="G43">
        <f t="shared" si="31"/>
        <v>-31.883339972099968</v>
      </c>
      <c r="H43">
        <f t="shared" si="31"/>
        <v>-39.599900181966504</v>
      </c>
      <c r="I43">
        <f t="shared" si="31"/>
        <v>-44.849489169968656</v>
      </c>
      <c r="J43">
        <f t="shared" si="31"/>
        <v>-46.781906454593198</v>
      </c>
      <c r="K43">
        <f t="shared" si="31"/>
        <v>-54.43919318027362</v>
      </c>
      <c r="L43">
        <f t="shared" si="31"/>
        <v>-63.469427834502071</v>
      </c>
      <c r="M43">
        <f t="shared" si="31"/>
        <v>-68.539232936146135</v>
      </c>
      <c r="N43">
        <f t="shared" si="31"/>
        <v>-83.867920952380828</v>
      </c>
      <c r="O43">
        <f t="shared" si="31"/>
        <v>-115.54986370821673</v>
      </c>
      <c r="P43">
        <f t="shared" si="31"/>
        <v>-156.96628913452571</v>
      </c>
      <c r="Q43">
        <f t="shared" si="31"/>
        <v>-174.70697387956528</v>
      </c>
      <c r="R43">
        <f t="shared" si="31"/>
        <v>-162.44150848635965</v>
      </c>
      <c r="S43">
        <f t="shared" si="31"/>
        <v>-227.640109046899</v>
      </c>
      <c r="T43">
        <f t="shared" si="31"/>
        <v>-418.37099702026842</v>
      </c>
    </row>
    <row r="44" spans="1:20" x14ac:dyDescent="0.3">
      <c r="B44">
        <f>B41+2*B42</f>
        <v>-3.5311446244381104</v>
      </c>
      <c r="C44">
        <f t="shared" ref="C44:T44" si="32">C41+2*C42</f>
        <v>-5.0266118286836123</v>
      </c>
      <c r="D44">
        <f t="shared" si="32"/>
        <v>-9.3716420150609672</v>
      </c>
      <c r="E44">
        <f t="shared" si="32"/>
        <v>-11.513977150714709</v>
      </c>
      <c r="F44">
        <f t="shared" si="32"/>
        <v>-15.125649438461583</v>
      </c>
      <c r="G44">
        <f t="shared" si="32"/>
        <v>-21.66666775178161</v>
      </c>
      <c r="H44">
        <f t="shared" si="32"/>
        <v>-25.766818332601073</v>
      </c>
      <c r="I44">
        <f t="shared" si="32"/>
        <v>-30.003308595253447</v>
      </c>
      <c r="J44">
        <f t="shared" si="32"/>
        <v>-30.360634578028211</v>
      </c>
      <c r="K44">
        <f t="shared" si="32"/>
        <v>-35.11975330830505</v>
      </c>
      <c r="L44">
        <f t="shared" si="32"/>
        <v>-42.131350950082847</v>
      </c>
      <c r="M44">
        <f t="shared" si="32"/>
        <v>-44.421434922222431</v>
      </c>
      <c r="N44">
        <f t="shared" si="32"/>
        <v>-41.277452150363004</v>
      </c>
      <c r="O44">
        <f t="shared" si="32"/>
        <v>-55.771998620414209</v>
      </c>
      <c r="P44">
        <f t="shared" si="32"/>
        <v>-74.733922447552843</v>
      </c>
      <c r="Q44">
        <f t="shared" si="32"/>
        <v>-118.73452937703178</v>
      </c>
      <c r="R44">
        <f t="shared" si="32"/>
        <v>-101.15155574878132</v>
      </c>
      <c r="S44">
        <f t="shared" si="32"/>
        <v>-82.429291746764861</v>
      </c>
      <c r="T44">
        <f t="shared" si="32"/>
        <v>-29.764471027892881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8ACF-37BA-4356-86F0-6E76BF96F58D}">
  <dimension ref="A1:T46"/>
  <sheetViews>
    <sheetView workbookViewId="0">
      <selection activeCell="J23" sqref="J23"/>
    </sheetView>
  </sheetViews>
  <sheetFormatPr defaultRowHeight="13" x14ac:dyDescent="0.3"/>
  <sheetData>
    <row r="1" spans="1:20" x14ac:dyDescent="0.3"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</row>
    <row r="2" spans="1:20" x14ac:dyDescent="0.3">
      <c r="A2">
        <v>0</v>
      </c>
      <c r="B2">
        <f>emulator!$C$7*$A2+emulator!$C$5*B$1</f>
        <v>0</v>
      </c>
      <c r="C2">
        <f>emulator!$C$7*$A2+emulator!$C$5*C$1</f>
        <v>-5.4550000000000001</v>
      </c>
      <c r="D2">
        <f>emulator!$C$7*$A2+emulator!$C$5*D$1</f>
        <v>-10.91</v>
      </c>
      <c r="E2">
        <f>emulator!$C$7*$A2+emulator!$C$5*E$1</f>
        <v>-16.365000000000002</v>
      </c>
      <c r="F2">
        <f>emulator!$C$7*$A2+emulator!$C$5*F$1</f>
        <v>-21.82</v>
      </c>
      <c r="G2">
        <f>emulator!$C$7*$A2+emulator!$C$5*G$1</f>
        <v>-27.274999999999999</v>
      </c>
      <c r="H2">
        <f>emulator!$C$7*$A2+emulator!$C$5*H$1</f>
        <v>-32.730000000000004</v>
      </c>
      <c r="I2">
        <f>emulator!$C$7*$A2+emulator!$C$5*I$1</f>
        <v>-38.185000000000002</v>
      </c>
      <c r="J2">
        <f>emulator!$C$7*$A2+emulator!$C$5*J$1</f>
        <v>-43.64</v>
      </c>
      <c r="K2">
        <f>emulator!$C$7*$A2+emulator!$C$5*K$1</f>
        <v>-49.094999999999999</v>
      </c>
      <c r="L2">
        <f>emulator!$C$7*$A2+emulator!$C$5*L$1</f>
        <v>-54.55</v>
      </c>
      <c r="M2">
        <f>emulator!$C$7*$A2+emulator!$C$5*M$1</f>
        <v>-60.005000000000003</v>
      </c>
      <c r="N2">
        <f>emulator!$C$7*$A2+emulator!$C$5*N$1</f>
        <v>-65.460000000000008</v>
      </c>
      <c r="O2">
        <f>emulator!$C$7*$A2+emulator!$C$5*O$1</f>
        <v>-70.915000000000006</v>
      </c>
      <c r="P2">
        <f>emulator!$C$7*$A2+emulator!$C$5*P$1</f>
        <v>-76.37</v>
      </c>
      <c r="Q2">
        <f>emulator!$C$7*$A2+emulator!$C$5*Q$1</f>
        <v>-81.825000000000003</v>
      </c>
      <c r="R2">
        <f>emulator!$C$7*$A2+emulator!$C$5*R$1</f>
        <v>-87.28</v>
      </c>
      <c r="S2">
        <f>emulator!$C$7*$A2+emulator!$C$5*S$1</f>
        <v>-92.734999999999999</v>
      </c>
      <c r="T2">
        <f>emulator!$C$7*$A2+emulator!$C$5*T$1</f>
        <v>-98.19</v>
      </c>
    </row>
    <row r="3" spans="1:20" x14ac:dyDescent="0.3">
      <c r="A3">
        <f>0.5+A2</f>
        <v>0.5</v>
      </c>
      <c r="B3">
        <f>emulator!$C$7*$A3+emulator!$C$5*B$1</f>
        <v>-7.4349999999999996</v>
      </c>
      <c r="C3">
        <f>emulator!$C$7*$A3+emulator!$C$5*C$1</f>
        <v>-12.89</v>
      </c>
      <c r="D3">
        <f>emulator!$C$7*$A3+emulator!$C$5*D$1</f>
        <v>-18.344999999999999</v>
      </c>
      <c r="E3">
        <f>emulator!$C$7*$A3+emulator!$C$5*E$1</f>
        <v>-23.8</v>
      </c>
      <c r="F3">
        <f>emulator!$C$7*$A3+emulator!$C$5*F$1</f>
        <v>-29.254999999999999</v>
      </c>
      <c r="G3">
        <f>emulator!$C$7*$A3+emulator!$C$5*G$1</f>
        <v>-34.71</v>
      </c>
      <c r="H3">
        <f>emulator!$C$7*$A3+emulator!$C$5*H$1</f>
        <v>-40.165000000000006</v>
      </c>
      <c r="I3">
        <f>emulator!$C$7*$A3+emulator!$C$5*I$1</f>
        <v>-45.620000000000005</v>
      </c>
      <c r="J3">
        <f>emulator!$C$7*$A3+emulator!$C$5*J$1</f>
        <v>-51.075000000000003</v>
      </c>
      <c r="K3">
        <f>emulator!$C$7*$A3+emulator!$C$5*K$1</f>
        <v>-56.53</v>
      </c>
      <c r="L3">
        <f>emulator!$C$7*$A3+emulator!$C$5*L$1</f>
        <v>-61.984999999999999</v>
      </c>
      <c r="M3">
        <f>emulator!$C$7*$A3+emulator!$C$5*M$1</f>
        <v>-67.44</v>
      </c>
      <c r="N3">
        <f>emulator!$C$7*$A3+emulator!$C$5*N$1</f>
        <v>-72.89500000000001</v>
      </c>
      <c r="O3">
        <f>emulator!$C$7*$A3+emulator!$C$5*O$1</f>
        <v>-78.350000000000009</v>
      </c>
      <c r="P3">
        <f>emulator!$C$7*$A3+emulator!$C$5*P$1</f>
        <v>-83.805000000000007</v>
      </c>
      <c r="Q3">
        <f>emulator!$C$7*$A3+emulator!$C$5*Q$1</f>
        <v>-89.26</v>
      </c>
      <c r="R3">
        <f>emulator!$C$7*$A3+emulator!$C$5*R$1</f>
        <v>-94.715000000000003</v>
      </c>
      <c r="S3">
        <f>emulator!$C$7*$A3+emulator!$C$5*S$1</f>
        <v>-100.17</v>
      </c>
      <c r="T3">
        <f>emulator!$C$7*$A3+emulator!$C$5*T$1</f>
        <v>-105.625</v>
      </c>
    </row>
    <row r="4" spans="1:20" x14ac:dyDescent="0.3">
      <c r="A4">
        <f t="shared" ref="A4:A22" si="0">0.5+A3</f>
        <v>1</v>
      </c>
      <c r="B4">
        <f>emulator!$C$7*$A4+emulator!$C$5*B$1</f>
        <v>-14.87</v>
      </c>
      <c r="C4">
        <f>emulator!$C$7*$A4+emulator!$C$5*C$1</f>
        <v>-20.324999999999999</v>
      </c>
      <c r="D4">
        <f>emulator!$C$7*$A4+emulator!$C$5*D$1</f>
        <v>-25.78</v>
      </c>
      <c r="E4">
        <f>emulator!$C$7*$A4+emulator!$C$5*E$1</f>
        <v>-31.234999999999999</v>
      </c>
      <c r="F4">
        <f>emulator!$C$7*$A4+emulator!$C$5*F$1</f>
        <v>-36.69</v>
      </c>
      <c r="G4">
        <f>emulator!$C$7*$A4+emulator!$C$5*G$1</f>
        <v>-42.144999999999996</v>
      </c>
      <c r="H4">
        <f>emulator!$C$7*$A4+emulator!$C$5*H$1</f>
        <v>-47.6</v>
      </c>
      <c r="I4">
        <f>emulator!$C$7*$A4+emulator!$C$5*I$1</f>
        <v>-53.055</v>
      </c>
      <c r="J4">
        <f>emulator!$C$7*$A4+emulator!$C$5*J$1</f>
        <v>-58.51</v>
      </c>
      <c r="K4">
        <f>emulator!$C$7*$A4+emulator!$C$5*K$1</f>
        <v>-63.964999999999996</v>
      </c>
      <c r="L4">
        <f>emulator!$C$7*$A4+emulator!$C$5*L$1</f>
        <v>-69.42</v>
      </c>
      <c r="M4">
        <f>emulator!$C$7*$A4+emulator!$C$5*M$1</f>
        <v>-74.875</v>
      </c>
      <c r="N4">
        <f>emulator!$C$7*$A4+emulator!$C$5*N$1</f>
        <v>-80.330000000000013</v>
      </c>
      <c r="O4">
        <f>emulator!$C$7*$A4+emulator!$C$5*O$1</f>
        <v>-85.785000000000011</v>
      </c>
      <c r="P4">
        <f>emulator!$C$7*$A4+emulator!$C$5*P$1</f>
        <v>-91.240000000000009</v>
      </c>
      <c r="Q4">
        <f>emulator!$C$7*$A4+emulator!$C$5*Q$1</f>
        <v>-96.695000000000007</v>
      </c>
      <c r="R4">
        <f>emulator!$C$7*$A4+emulator!$C$5*R$1</f>
        <v>-102.15</v>
      </c>
      <c r="S4">
        <f>emulator!$C$7*$A4+emulator!$C$5*S$1</f>
        <v>-107.605</v>
      </c>
      <c r="T4">
        <f>emulator!$C$7*$A4+emulator!$C$5*T$1</f>
        <v>-113.06</v>
      </c>
    </row>
    <row r="5" spans="1:20" x14ac:dyDescent="0.3">
      <c r="A5">
        <f t="shared" si="0"/>
        <v>1.5</v>
      </c>
      <c r="B5">
        <f>emulator!$C$7*$A5+emulator!$C$5*B$1</f>
        <v>-22.305</v>
      </c>
      <c r="C5">
        <f>emulator!$C$7*$A5+emulator!$C$5*C$1</f>
        <v>-27.759999999999998</v>
      </c>
      <c r="D5">
        <f>emulator!$C$7*$A5+emulator!$C$5*D$1</f>
        <v>-33.215000000000003</v>
      </c>
      <c r="E5">
        <f>emulator!$C$7*$A5+emulator!$C$5*E$1</f>
        <v>-38.67</v>
      </c>
      <c r="F5">
        <f>emulator!$C$7*$A5+emulator!$C$5*F$1</f>
        <v>-44.125</v>
      </c>
      <c r="G5">
        <f>emulator!$C$7*$A5+emulator!$C$5*G$1</f>
        <v>-49.58</v>
      </c>
      <c r="H5">
        <f>emulator!$C$7*$A5+emulator!$C$5*H$1</f>
        <v>-55.035000000000004</v>
      </c>
      <c r="I5">
        <f>emulator!$C$7*$A5+emulator!$C$5*I$1</f>
        <v>-60.49</v>
      </c>
      <c r="J5">
        <f>emulator!$C$7*$A5+emulator!$C$5*J$1</f>
        <v>-65.944999999999993</v>
      </c>
      <c r="K5">
        <f>emulator!$C$7*$A5+emulator!$C$5*K$1</f>
        <v>-71.400000000000006</v>
      </c>
      <c r="L5">
        <f>emulator!$C$7*$A5+emulator!$C$5*L$1</f>
        <v>-76.85499999999999</v>
      </c>
      <c r="M5">
        <f>emulator!$C$7*$A5+emulator!$C$5*M$1</f>
        <v>-82.31</v>
      </c>
      <c r="N5">
        <f>emulator!$C$7*$A5+emulator!$C$5*N$1</f>
        <v>-87.765000000000015</v>
      </c>
      <c r="O5">
        <f>emulator!$C$7*$A5+emulator!$C$5*O$1</f>
        <v>-93.22</v>
      </c>
      <c r="P5">
        <f>emulator!$C$7*$A5+emulator!$C$5*P$1</f>
        <v>-98.675000000000011</v>
      </c>
      <c r="Q5">
        <f>emulator!$C$7*$A5+emulator!$C$5*Q$1</f>
        <v>-104.13</v>
      </c>
      <c r="R5">
        <f>emulator!$C$7*$A5+emulator!$C$5*R$1</f>
        <v>-109.58500000000001</v>
      </c>
      <c r="S5">
        <f>emulator!$C$7*$A5+emulator!$C$5*S$1</f>
        <v>-115.03999999999999</v>
      </c>
      <c r="T5">
        <f>emulator!$C$7*$A5+emulator!$C$5*T$1</f>
        <v>-120.495</v>
      </c>
    </row>
    <row r="6" spans="1:20" x14ac:dyDescent="0.3">
      <c r="A6">
        <f t="shared" si="0"/>
        <v>2</v>
      </c>
      <c r="B6">
        <f>emulator!$C$7*$A6+emulator!$C$5*B$1</f>
        <v>-29.74</v>
      </c>
      <c r="C6">
        <f>emulator!$C$7*$A6+emulator!$C$5*C$1</f>
        <v>-35.195</v>
      </c>
      <c r="D6">
        <f>emulator!$C$7*$A6+emulator!$C$5*D$1</f>
        <v>-40.65</v>
      </c>
      <c r="E6">
        <f>emulator!$C$7*$A6+emulator!$C$5*E$1</f>
        <v>-46.105000000000004</v>
      </c>
      <c r="F6">
        <f>emulator!$C$7*$A6+emulator!$C$5*F$1</f>
        <v>-51.56</v>
      </c>
      <c r="G6">
        <f>emulator!$C$7*$A6+emulator!$C$5*G$1</f>
        <v>-57.015000000000001</v>
      </c>
      <c r="H6">
        <f>emulator!$C$7*$A6+emulator!$C$5*H$1</f>
        <v>-62.47</v>
      </c>
      <c r="I6">
        <f>emulator!$C$7*$A6+emulator!$C$5*I$1</f>
        <v>-67.924999999999997</v>
      </c>
      <c r="J6">
        <f>emulator!$C$7*$A6+emulator!$C$5*J$1</f>
        <v>-73.38</v>
      </c>
      <c r="K6">
        <f>emulator!$C$7*$A6+emulator!$C$5*K$1</f>
        <v>-78.834999999999994</v>
      </c>
      <c r="L6">
        <f>emulator!$C$7*$A6+emulator!$C$5*L$1</f>
        <v>-84.289999999999992</v>
      </c>
      <c r="M6">
        <f>emulator!$C$7*$A6+emulator!$C$5*M$1</f>
        <v>-89.745000000000005</v>
      </c>
      <c r="N6">
        <f>emulator!$C$7*$A6+emulator!$C$5*N$1</f>
        <v>-95.2</v>
      </c>
      <c r="O6">
        <f>emulator!$C$7*$A6+emulator!$C$5*O$1</f>
        <v>-100.655</v>
      </c>
      <c r="P6">
        <f>emulator!$C$7*$A6+emulator!$C$5*P$1</f>
        <v>-106.11</v>
      </c>
      <c r="Q6">
        <f>emulator!$C$7*$A6+emulator!$C$5*Q$1</f>
        <v>-111.565</v>
      </c>
      <c r="R6">
        <f>emulator!$C$7*$A6+emulator!$C$5*R$1</f>
        <v>-117.02</v>
      </c>
      <c r="S6">
        <f>emulator!$C$7*$A6+emulator!$C$5*S$1</f>
        <v>-122.47499999999999</v>
      </c>
      <c r="T6">
        <f>emulator!$C$7*$A6+emulator!$C$5*T$1</f>
        <v>-127.92999999999999</v>
      </c>
    </row>
    <row r="7" spans="1:20" x14ac:dyDescent="0.3">
      <c r="A7">
        <f t="shared" si="0"/>
        <v>2.5</v>
      </c>
      <c r="B7">
        <f>emulator!$C$7*$A7+emulator!$C$5*B$1</f>
        <v>-37.174999999999997</v>
      </c>
      <c r="C7">
        <f>emulator!$C$7*$A7+emulator!$C$5*C$1</f>
        <v>-42.629999999999995</v>
      </c>
      <c r="D7">
        <f>emulator!$C$7*$A7+emulator!$C$5*D$1</f>
        <v>-48.084999999999994</v>
      </c>
      <c r="E7">
        <f>emulator!$C$7*$A7+emulator!$C$5*E$1</f>
        <v>-53.54</v>
      </c>
      <c r="F7">
        <f>emulator!$C$7*$A7+emulator!$C$5*F$1</f>
        <v>-58.994999999999997</v>
      </c>
      <c r="G7">
        <f>emulator!$C$7*$A7+emulator!$C$5*G$1</f>
        <v>-64.449999999999989</v>
      </c>
      <c r="H7">
        <f>emulator!$C$7*$A7+emulator!$C$5*H$1</f>
        <v>-69.905000000000001</v>
      </c>
      <c r="I7">
        <f>emulator!$C$7*$A7+emulator!$C$5*I$1</f>
        <v>-75.36</v>
      </c>
      <c r="J7">
        <f>emulator!$C$7*$A7+emulator!$C$5*J$1</f>
        <v>-80.814999999999998</v>
      </c>
      <c r="K7">
        <f>emulator!$C$7*$A7+emulator!$C$5*K$1</f>
        <v>-86.27</v>
      </c>
      <c r="L7">
        <f>emulator!$C$7*$A7+emulator!$C$5*L$1</f>
        <v>-91.724999999999994</v>
      </c>
      <c r="M7">
        <f>emulator!$C$7*$A7+emulator!$C$5*M$1</f>
        <v>-97.18</v>
      </c>
      <c r="N7">
        <f>emulator!$C$7*$A7+emulator!$C$5*N$1</f>
        <v>-102.63500000000001</v>
      </c>
      <c r="O7">
        <f>emulator!$C$7*$A7+emulator!$C$5*O$1</f>
        <v>-108.09</v>
      </c>
      <c r="P7">
        <f>emulator!$C$7*$A7+emulator!$C$5*P$1</f>
        <v>-113.545</v>
      </c>
      <c r="Q7">
        <f>emulator!$C$7*$A7+emulator!$C$5*Q$1</f>
        <v>-119</v>
      </c>
      <c r="R7">
        <f>emulator!$C$7*$A7+emulator!$C$5*R$1</f>
        <v>-124.455</v>
      </c>
      <c r="S7">
        <f>emulator!$C$7*$A7+emulator!$C$5*S$1</f>
        <v>-129.91</v>
      </c>
      <c r="T7">
        <f>emulator!$C$7*$A7+emulator!$C$5*T$1</f>
        <v>-135.36500000000001</v>
      </c>
    </row>
    <row r="8" spans="1:20" x14ac:dyDescent="0.3">
      <c r="A8">
        <f t="shared" si="0"/>
        <v>3</v>
      </c>
      <c r="B8">
        <f>emulator!$C$7*$A8+emulator!$C$5*B$1</f>
        <v>-44.61</v>
      </c>
      <c r="C8">
        <f>emulator!$C$7*$A8+emulator!$C$5*C$1</f>
        <v>-50.064999999999998</v>
      </c>
      <c r="D8">
        <f>emulator!$C$7*$A8+emulator!$C$5*D$1</f>
        <v>-55.519999999999996</v>
      </c>
      <c r="E8">
        <f>emulator!$C$7*$A8+emulator!$C$5*E$1</f>
        <v>-60.975000000000001</v>
      </c>
      <c r="F8">
        <f>emulator!$C$7*$A8+emulator!$C$5*F$1</f>
        <v>-66.430000000000007</v>
      </c>
      <c r="G8">
        <f>emulator!$C$7*$A8+emulator!$C$5*G$1</f>
        <v>-71.884999999999991</v>
      </c>
      <c r="H8">
        <f>emulator!$C$7*$A8+emulator!$C$5*H$1</f>
        <v>-77.34</v>
      </c>
      <c r="I8">
        <f>emulator!$C$7*$A8+emulator!$C$5*I$1</f>
        <v>-82.795000000000002</v>
      </c>
      <c r="J8">
        <f>emulator!$C$7*$A8+emulator!$C$5*J$1</f>
        <v>-88.25</v>
      </c>
      <c r="K8">
        <f>emulator!$C$7*$A8+emulator!$C$5*K$1</f>
        <v>-93.704999999999998</v>
      </c>
      <c r="L8">
        <f>emulator!$C$7*$A8+emulator!$C$5*L$1</f>
        <v>-99.16</v>
      </c>
      <c r="M8">
        <f>emulator!$C$7*$A8+emulator!$C$5*M$1</f>
        <v>-104.61500000000001</v>
      </c>
      <c r="N8">
        <f>emulator!$C$7*$A8+emulator!$C$5*N$1</f>
        <v>-110.07000000000001</v>
      </c>
      <c r="O8">
        <f>emulator!$C$7*$A8+emulator!$C$5*O$1</f>
        <v>-115.52500000000001</v>
      </c>
      <c r="P8">
        <f>emulator!$C$7*$A8+emulator!$C$5*P$1</f>
        <v>-120.98</v>
      </c>
      <c r="Q8">
        <f>emulator!$C$7*$A8+emulator!$C$5*Q$1</f>
        <v>-126.435</v>
      </c>
      <c r="R8">
        <f>emulator!$C$7*$A8+emulator!$C$5*R$1</f>
        <v>-131.88999999999999</v>
      </c>
      <c r="S8">
        <f>emulator!$C$7*$A8+emulator!$C$5*S$1</f>
        <v>-137.345</v>
      </c>
      <c r="T8">
        <f>emulator!$C$7*$A8+emulator!$C$5*T$1</f>
        <v>-142.80000000000001</v>
      </c>
    </row>
    <row r="9" spans="1:20" x14ac:dyDescent="0.3">
      <c r="A9">
        <f t="shared" si="0"/>
        <v>3.5</v>
      </c>
      <c r="B9">
        <f>emulator!$C$7*$A9+emulator!$C$5*B$1</f>
        <v>-52.044999999999995</v>
      </c>
      <c r="C9">
        <f>emulator!$C$7*$A9+emulator!$C$5*C$1</f>
        <v>-57.499999999999993</v>
      </c>
      <c r="D9">
        <f>emulator!$C$7*$A9+emulator!$C$5*D$1</f>
        <v>-62.954999999999998</v>
      </c>
      <c r="E9">
        <f>emulator!$C$7*$A9+emulator!$C$5*E$1</f>
        <v>-68.41</v>
      </c>
      <c r="F9">
        <f>emulator!$C$7*$A9+emulator!$C$5*F$1</f>
        <v>-73.864999999999995</v>
      </c>
      <c r="G9">
        <f>emulator!$C$7*$A9+emulator!$C$5*G$1</f>
        <v>-79.319999999999993</v>
      </c>
      <c r="H9">
        <f>emulator!$C$7*$A9+emulator!$C$5*H$1</f>
        <v>-84.775000000000006</v>
      </c>
      <c r="I9">
        <f>emulator!$C$7*$A9+emulator!$C$5*I$1</f>
        <v>-90.22999999999999</v>
      </c>
      <c r="J9">
        <f>emulator!$C$7*$A9+emulator!$C$5*J$1</f>
        <v>-95.685000000000002</v>
      </c>
      <c r="K9">
        <f>emulator!$C$7*$A9+emulator!$C$5*K$1</f>
        <v>-101.13999999999999</v>
      </c>
      <c r="L9">
        <f>emulator!$C$7*$A9+emulator!$C$5*L$1</f>
        <v>-106.595</v>
      </c>
      <c r="M9">
        <f>emulator!$C$7*$A9+emulator!$C$5*M$1</f>
        <v>-112.05</v>
      </c>
      <c r="N9">
        <f>emulator!$C$7*$A9+emulator!$C$5*N$1</f>
        <v>-117.505</v>
      </c>
      <c r="O9">
        <f>emulator!$C$7*$A9+emulator!$C$5*O$1</f>
        <v>-122.96000000000001</v>
      </c>
      <c r="P9">
        <f>emulator!$C$7*$A9+emulator!$C$5*P$1</f>
        <v>-128.41499999999999</v>
      </c>
      <c r="Q9">
        <f>emulator!$C$7*$A9+emulator!$C$5*Q$1</f>
        <v>-133.87</v>
      </c>
      <c r="R9">
        <f>emulator!$C$7*$A9+emulator!$C$5*R$1</f>
        <v>-139.32499999999999</v>
      </c>
      <c r="S9">
        <f>emulator!$C$7*$A9+emulator!$C$5*S$1</f>
        <v>-144.78</v>
      </c>
      <c r="T9">
        <f>emulator!$C$7*$A9+emulator!$C$5*T$1</f>
        <v>-150.23499999999999</v>
      </c>
    </row>
    <row r="10" spans="1:20" x14ac:dyDescent="0.3">
      <c r="A10">
        <f t="shared" si="0"/>
        <v>4</v>
      </c>
      <c r="B10">
        <f>emulator!$C$7*$A10+emulator!$C$5*B$1</f>
        <v>-59.48</v>
      </c>
      <c r="C10">
        <f>emulator!$C$7*$A10+emulator!$C$5*C$1</f>
        <v>-64.935000000000002</v>
      </c>
      <c r="D10">
        <f>emulator!$C$7*$A10+emulator!$C$5*D$1</f>
        <v>-70.39</v>
      </c>
      <c r="E10">
        <f>emulator!$C$7*$A10+emulator!$C$5*E$1</f>
        <v>-75.844999999999999</v>
      </c>
      <c r="F10">
        <f>emulator!$C$7*$A10+emulator!$C$5*F$1</f>
        <v>-81.3</v>
      </c>
      <c r="G10">
        <f>emulator!$C$7*$A10+emulator!$C$5*G$1</f>
        <v>-86.754999999999995</v>
      </c>
      <c r="H10">
        <f>emulator!$C$7*$A10+emulator!$C$5*H$1</f>
        <v>-92.210000000000008</v>
      </c>
      <c r="I10">
        <f>emulator!$C$7*$A10+emulator!$C$5*I$1</f>
        <v>-97.664999999999992</v>
      </c>
      <c r="J10">
        <f>emulator!$C$7*$A10+emulator!$C$5*J$1</f>
        <v>-103.12</v>
      </c>
      <c r="K10">
        <f>emulator!$C$7*$A10+emulator!$C$5*K$1</f>
        <v>-108.57499999999999</v>
      </c>
      <c r="L10">
        <f>emulator!$C$7*$A10+emulator!$C$5*L$1</f>
        <v>-114.03</v>
      </c>
      <c r="M10">
        <f>emulator!$C$7*$A10+emulator!$C$5*M$1</f>
        <v>-119.485</v>
      </c>
      <c r="N10">
        <f>emulator!$C$7*$A10+emulator!$C$5*N$1</f>
        <v>-124.94</v>
      </c>
      <c r="O10">
        <f>emulator!$C$7*$A10+emulator!$C$5*O$1</f>
        <v>-130.39500000000001</v>
      </c>
      <c r="P10">
        <f>emulator!$C$7*$A10+emulator!$C$5*P$1</f>
        <v>-135.85</v>
      </c>
      <c r="Q10">
        <f>emulator!$C$7*$A10+emulator!$C$5*Q$1</f>
        <v>-141.30500000000001</v>
      </c>
      <c r="R10">
        <f>emulator!$C$7*$A10+emulator!$C$5*R$1</f>
        <v>-146.76</v>
      </c>
      <c r="S10">
        <f>emulator!$C$7*$A10+emulator!$C$5*S$1</f>
        <v>-152.215</v>
      </c>
      <c r="T10">
        <f>emulator!$C$7*$A10+emulator!$C$5*T$1</f>
        <v>-157.66999999999999</v>
      </c>
    </row>
    <row r="11" spans="1:20" x14ac:dyDescent="0.3">
      <c r="A11">
        <f t="shared" si="0"/>
        <v>4.5</v>
      </c>
      <c r="B11">
        <f>emulator!$C$7*$A11+emulator!$C$5*B$1</f>
        <v>-66.914999999999992</v>
      </c>
      <c r="C11">
        <f>emulator!$C$7*$A11+emulator!$C$5*C$1</f>
        <v>-72.36999999999999</v>
      </c>
      <c r="D11">
        <f>emulator!$C$7*$A11+emulator!$C$5*D$1</f>
        <v>-77.824999999999989</v>
      </c>
      <c r="E11">
        <f>emulator!$C$7*$A11+emulator!$C$5*E$1</f>
        <v>-83.28</v>
      </c>
      <c r="F11">
        <f>emulator!$C$7*$A11+emulator!$C$5*F$1</f>
        <v>-88.734999999999985</v>
      </c>
      <c r="G11">
        <f>emulator!$C$7*$A11+emulator!$C$5*G$1</f>
        <v>-94.19</v>
      </c>
      <c r="H11">
        <f>emulator!$C$7*$A11+emulator!$C$5*H$1</f>
        <v>-99.644999999999996</v>
      </c>
      <c r="I11">
        <f>emulator!$C$7*$A11+emulator!$C$5*I$1</f>
        <v>-105.1</v>
      </c>
      <c r="J11">
        <f>emulator!$C$7*$A11+emulator!$C$5*J$1</f>
        <v>-110.55499999999999</v>
      </c>
      <c r="K11">
        <f>emulator!$C$7*$A11+emulator!$C$5*K$1</f>
        <v>-116.00999999999999</v>
      </c>
      <c r="L11">
        <f>emulator!$C$7*$A11+emulator!$C$5*L$1</f>
        <v>-121.46499999999999</v>
      </c>
      <c r="M11">
        <f>emulator!$C$7*$A11+emulator!$C$5*M$1</f>
        <v>-126.91999999999999</v>
      </c>
      <c r="N11">
        <f>emulator!$C$7*$A11+emulator!$C$5*N$1</f>
        <v>-132.375</v>
      </c>
      <c r="O11">
        <f>emulator!$C$7*$A11+emulator!$C$5*O$1</f>
        <v>-137.82999999999998</v>
      </c>
      <c r="P11">
        <f>emulator!$C$7*$A11+emulator!$C$5*P$1</f>
        <v>-143.285</v>
      </c>
      <c r="Q11">
        <f>emulator!$C$7*$A11+emulator!$C$5*Q$1</f>
        <v>-148.74</v>
      </c>
      <c r="R11">
        <f>emulator!$C$7*$A11+emulator!$C$5*R$1</f>
        <v>-154.19499999999999</v>
      </c>
      <c r="S11">
        <f>emulator!$C$7*$A11+emulator!$C$5*S$1</f>
        <v>-159.64999999999998</v>
      </c>
      <c r="T11">
        <f>emulator!$C$7*$A11+emulator!$C$5*T$1</f>
        <v>-165.10499999999999</v>
      </c>
    </row>
    <row r="12" spans="1:20" x14ac:dyDescent="0.3">
      <c r="A12">
        <f t="shared" si="0"/>
        <v>5</v>
      </c>
      <c r="B12">
        <f>emulator!$C$7*$A12+emulator!$C$5*B$1</f>
        <v>-74.349999999999994</v>
      </c>
      <c r="C12">
        <f>emulator!$C$7*$A12+emulator!$C$5*C$1</f>
        <v>-79.804999999999993</v>
      </c>
      <c r="D12">
        <f>emulator!$C$7*$A12+emulator!$C$5*D$1</f>
        <v>-85.259999999999991</v>
      </c>
      <c r="E12">
        <f>emulator!$C$7*$A12+emulator!$C$5*E$1</f>
        <v>-90.715000000000003</v>
      </c>
      <c r="F12">
        <f>emulator!$C$7*$A12+emulator!$C$5*F$1</f>
        <v>-96.169999999999987</v>
      </c>
      <c r="G12">
        <f>emulator!$C$7*$A12+emulator!$C$5*G$1</f>
        <v>-101.625</v>
      </c>
      <c r="H12">
        <f>emulator!$C$7*$A12+emulator!$C$5*H$1</f>
        <v>-107.08</v>
      </c>
      <c r="I12">
        <f>emulator!$C$7*$A12+emulator!$C$5*I$1</f>
        <v>-112.535</v>
      </c>
      <c r="J12">
        <f>emulator!$C$7*$A12+emulator!$C$5*J$1</f>
        <v>-117.99</v>
      </c>
      <c r="K12">
        <f>emulator!$C$7*$A12+emulator!$C$5*K$1</f>
        <v>-123.44499999999999</v>
      </c>
      <c r="L12">
        <f>emulator!$C$7*$A12+emulator!$C$5*L$1</f>
        <v>-128.89999999999998</v>
      </c>
      <c r="M12">
        <f>emulator!$C$7*$A12+emulator!$C$5*M$1</f>
        <v>-134.35499999999999</v>
      </c>
      <c r="N12">
        <f>emulator!$C$7*$A12+emulator!$C$5*N$1</f>
        <v>-139.81</v>
      </c>
      <c r="O12">
        <f>emulator!$C$7*$A12+emulator!$C$5*O$1</f>
        <v>-145.26499999999999</v>
      </c>
      <c r="P12">
        <f>emulator!$C$7*$A12+emulator!$C$5*P$1</f>
        <v>-150.72</v>
      </c>
      <c r="Q12">
        <f>emulator!$C$7*$A12+emulator!$C$5*Q$1</f>
        <v>-156.17500000000001</v>
      </c>
      <c r="R12">
        <f>emulator!$C$7*$A12+emulator!$C$5*R$1</f>
        <v>-161.63</v>
      </c>
      <c r="S12">
        <f>emulator!$C$7*$A12+emulator!$C$5*S$1</f>
        <v>-167.08499999999998</v>
      </c>
      <c r="T12">
        <f>emulator!$C$7*$A12+emulator!$C$5*T$1</f>
        <v>-172.54</v>
      </c>
    </row>
    <row r="13" spans="1:20" x14ac:dyDescent="0.3">
      <c r="A13">
        <f t="shared" si="0"/>
        <v>5.5</v>
      </c>
      <c r="B13">
        <f>emulator!$C$7*$A13+emulator!$C$5*B$1</f>
        <v>-81.784999999999997</v>
      </c>
      <c r="C13">
        <f>emulator!$C$7*$A13+emulator!$C$5*C$1</f>
        <v>-87.24</v>
      </c>
      <c r="D13">
        <f>emulator!$C$7*$A13+emulator!$C$5*D$1</f>
        <v>-92.694999999999993</v>
      </c>
      <c r="E13">
        <f>emulator!$C$7*$A13+emulator!$C$5*E$1</f>
        <v>-98.15</v>
      </c>
      <c r="F13">
        <f>emulator!$C$7*$A13+emulator!$C$5*F$1</f>
        <v>-103.60499999999999</v>
      </c>
      <c r="G13">
        <f>emulator!$C$7*$A13+emulator!$C$5*G$1</f>
        <v>-109.06</v>
      </c>
      <c r="H13">
        <f>emulator!$C$7*$A13+emulator!$C$5*H$1</f>
        <v>-114.515</v>
      </c>
      <c r="I13">
        <f>emulator!$C$7*$A13+emulator!$C$5*I$1</f>
        <v>-119.97</v>
      </c>
      <c r="J13">
        <f>emulator!$C$7*$A13+emulator!$C$5*J$1</f>
        <v>-125.425</v>
      </c>
      <c r="K13">
        <f>emulator!$C$7*$A13+emulator!$C$5*K$1</f>
        <v>-130.88</v>
      </c>
      <c r="L13">
        <f>emulator!$C$7*$A13+emulator!$C$5*L$1</f>
        <v>-136.33499999999998</v>
      </c>
      <c r="M13">
        <f>emulator!$C$7*$A13+emulator!$C$5*M$1</f>
        <v>-141.79</v>
      </c>
      <c r="N13">
        <f>emulator!$C$7*$A13+emulator!$C$5*N$1</f>
        <v>-147.245</v>
      </c>
      <c r="O13">
        <f>emulator!$C$7*$A13+emulator!$C$5*O$1</f>
        <v>-152.69999999999999</v>
      </c>
      <c r="P13">
        <f>emulator!$C$7*$A13+emulator!$C$5*P$1</f>
        <v>-158.155</v>
      </c>
      <c r="Q13">
        <f>emulator!$C$7*$A13+emulator!$C$5*Q$1</f>
        <v>-163.61000000000001</v>
      </c>
      <c r="R13">
        <f>emulator!$C$7*$A13+emulator!$C$5*R$1</f>
        <v>-169.065</v>
      </c>
      <c r="S13">
        <f>emulator!$C$7*$A13+emulator!$C$5*S$1</f>
        <v>-174.51999999999998</v>
      </c>
      <c r="T13">
        <f>emulator!$C$7*$A13+emulator!$C$5*T$1</f>
        <v>-179.97499999999999</v>
      </c>
    </row>
    <row r="14" spans="1:20" x14ac:dyDescent="0.3">
      <c r="A14">
        <f t="shared" si="0"/>
        <v>6</v>
      </c>
      <c r="B14">
        <f>emulator!$C$7*$A14+emulator!$C$5*B$1</f>
        <v>-89.22</v>
      </c>
      <c r="C14">
        <f>emulator!$C$7*$A14+emulator!$C$5*C$1</f>
        <v>-94.674999999999997</v>
      </c>
      <c r="D14">
        <f>emulator!$C$7*$A14+emulator!$C$5*D$1</f>
        <v>-100.13</v>
      </c>
      <c r="E14">
        <f>emulator!$C$7*$A14+emulator!$C$5*E$1</f>
        <v>-105.58500000000001</v>
      </c>
      <c r="F14">
        <f>emulator!$C$7*$A14+emulator!$C$5*F$1</f>
        <v>-111.03999999999999</v>
      </c>
      <c r="G14">
        <f>emulator!$C$7*$A14+emulator!$C$5*G$1</f>
        <v>-116.495</v>
      </c>
      <c r="H14">
        <f>emulator!$C$7*$A14+emulator!$C$5*H$1</f>
        <v>-121.95</v>
      </c>
      <c r="I14">
        <f>emulator!$C$7*$A14+emulator!$C$5*I$1</f>
        <v>-127.405</v>
      </c>
      <c r="J14">
        <f>emulator!$C$7*$A14+emulator!$C$5*J$1</f>
        <v>-132.86000000000001</v>
      </c>
      <c r="K14">
        <f>emulator!$C$7*$A14+emulator!$C$5*K$1</f>
        <v>-138.315</v>
      </c>
      <c r="L14">
        <f>emulator!$C$7*$A14+emulator!$C$5*L$1</f>
        <v>-143.76999999999998</v>
      </c>
      <c r="M14">
        <f>emulator!$C$7*$A14+emulator!$C$5*M$1</f>
        <v>-149.22499999999999</v>
      </c>
      <c r="N14">
        <f>emulator!$C$7*$A14+emulator!$C$5*N$1</f>
        <v>-154.68</v>
      </c>
      <c r="O14">
        <f>emulator!$C$7*$A14+emulator!$C$5*O$1</f>
        <v>-160.13499999999999</v>
      </c>
      <c r="P14">
        <f>emulator!$C$7*$A14+emulator!$C$5*P$1</f>
        <v>-165.59</v>
      </c>
      <c r="Q14">
        <f>emulator!$C$7*$A14+emulator!$C$5*Q$1</f>
        <v>-171.04500000000002</v>
      </c>
      <c r="R14">
        <f>emulator!$C$7*$A14+emulator!$C$5*R$1</f>
        <v>-176.5</v>
      </c>
      <c r="S14">
        <f>emulator!$C$7*$A14+emulator!$C$5*S$1</f>
        <v>-181.95499999999998</v>
      </c>
      <c r="T14">
        <f>emulator!$C$7*$A14+emulator!$C$5*T$1</f>
        <v>-187.41</v>
      </c>
    </row>
    <row r="15" spans="1:20" x14ac:dyDescent="0.3">
      <c r="A15">
        <f t="shared" si="0"/>
        <v>6.5</v>
      </c>
      <c r="B15">
        <f>emulator!$C$7*$A15+emulator!$C$5*B$1</f>
        <v>-96.655000000000001</v>
      </c>
      <c r="C15">
        <f>emulator!$C$7*$A15+emulator!$C$5*C$1</f>
        <v>-102.11</v>
      </c>
      <c r="D15">
        <f>emulator!$C$7*$A15+emulator!$C$5*D$1</f>
        <v>-107.565</v>
      </c>
      <c r="E15">
        <f>emulator!$C$7*$A15+emulator!$C$5*E$1</f>
        <v>-113.02000000000001</v>
      </c>
      <c r="F15">
        <f>emulator!$C$7*$A15+emulator!$C$5*F$1</f>
        <v>-118.47499999999999</v>
      </c>
      <c r="G15">
        <f>emulator!$C$7*$A15+emulator!$C$5*G$1</f>
        <v>-123.93</v>
      </c>
      <c r="H15">
        <f>emulator!$C$7*$A15+emulator!$C$5*H$1</f>
        <v>-129.38499999999999</v>
      </c>
      <c r="I15">
        <f>emulator!$C$7*$A15+emulator!$C$5*I$1</f>
        <v>-134.84</v>
      </c>
      <c r="J15">
        <f>emulator!$C$7*$A15+emulator!$C$5*J$1</f>
        <v>-140.29500000000002</v>
      </c>
      <c r="K15">
        <f>emulator!$C$7*$A15+emulator!$C$5*K$1</f>
        <v>-145.75</v>
      </c>
      <c r="L15">
        <f>emulator!$C$7*$A15+emulator!$C$5*L$1</f>
        <v>-151.20499999999998</v>
      </c>
      <c r="M15">
        <f>emulator!$C$7*$A15+emulator!$C$5*M$1</f>
        <v>-156.66</v>
      </c>
      <c r="N15">
        <f>emulator!$C$7*$A15+emulator!$C$5*N$1</f>
        <v>-162.11500000000001</v>
      </c>
      <c r="O15">
        <f>emulator!$C$7*$A15+emulator!$C$5*O$1</f>
        <v>-167.57</v>
      </c>
      <c r="P15">
        <f>emulator!$C$7*$A15+emulator!$C$5*P$1</f>
        <v>-173.02500000000001</v>
      </c>
      <c r="Q15">
        <f>emulator!$C$7*$A15+emulator!$C$5*Q$1</f>
        <v>-178.48000000000002</v>
      </c>
      <c r="R15">
        <f>emulator!$C$7*$A15+emulator!$C$5*R$1</f>
        <v>-183.935</v>
      </c>
      <c r="S15">
        <f>emulator!$C$7*$A15+emulator!$C$5*S$1</f>
        <v>-189.39</v>
      </c>
      <c r="T15">
        <f>emulator!$C$7*$A15+emulator!$C$5*T$1</f>
        <v>-194.845</v>
      </c>
    </row>
    <row r="16" spans="1:20" x14ac:dyDescent="0.3">
      <c r="A16">
        <f t="shared" si="0"/>
        <v>7</v>
      </c>
      <c r="B16">
        <f>emulator!$C$7*$A16+emulator!$C$5*B$1</f>
        <v>-104.08999999999999</v>
      </c>
      <c r="C16">
        <f>emulator!$C$7*$A16+emulator!$C$5*C$1</f>
        <v>-109.54499999999999</v>
      </c>
      <c r="D16">
        <f>emulator!$C$7*$A16+emulator!$C$5*D$1</f>
        <v>-114.99999999999999</v>
      </c>
      <c r="E16">
        <f>emulator!$C$7*$A16+emulator!$C$5*E$1</f>
        <v>-120.45499999999998</v>
      </c>
      <c r="F16">
        <f>emulator!$C$7*$A16+emulator!$C$5*F$1</f>
        <v>-125.91</v>
      </c>
      <c r="G16">
        <f>emulator!$C$7*$A16+emulator!$C$5*G$1</f>
        <v>-131.36499999999998</v>
      </c>
      <c r="H16">
        <f>emulator!$C$7*$A16+emulator!$C$5*H$1</f>
        <v>-136.82</v>
      </c>
      <c r="I16">
        <f>emulator!$C$7*$A16+emulator!$C$5*I$1</f>
        <v>-142.27499999999998</v>
      </c>
      <c r="J16">
        <f>emulator!$C$7*$A16+emulator!$C$5*J$1</f>
        <v>-147.72999999999999</v>
      </c>
      <c r="K16">
        <f>emulator!$C$7*$A16+emulator!$C$5*K$1</f>
        <v>-153.185</v>
      </c>
      <c r="L16">
        <f>emulator!$C$7*$A16+emulator!$C$5*L$1</f>
        <v>-158.63999999999999</v>
      </c>
      <c r="M16">
        <f>emulator!$C$7*$A16+emulator!$C$5*M$1</f>
        <v>-164.095</v>
      </c>
      <c r="N16">
        <f>emulator!$C$7*$A16+emulator!$C$5*N$1</f>
        <v>-169.55</v>
      </c>
      <c r="O16">
        <f>emulator!$C$7*$A16+emulator!$C$5*O$1</f>
        <v>-175.005</v>
      </c>
      <c r="P16">
        <f>emulator!$C$7*$A16+emulator!$C$5*P$1</f>
        <v>-180.45999999999998</v>
      </c>
      <c r="Q16">
        <f>emulator!$C$7*$A16+emulator!$C$5*Q$1</f>
        <v>-185.91499999999999</v>
      </c>
      <c r="R16">
        <f>emulator!$C$7*$A16+emulator!$C$5*R$1</f>
        <v>-191.37</v>
      </c>
      <c r="S16">
        <f>emulator!$C$7*$A16+emulator!$C$5*S$1</f>
        <v>-196.82499999999999</v>
      </c>
      <c r="T16">
        <f>emulator!$C$7*$A16+emulator!$C$5*T$1</f>
        <v>-202.27999999999997</v>
      </c>
    </row>
    <row r="17" spans="1:20" x14ac:dyDescent="0.3">
      <c r="A17">
        <f t="shared" si="0"/>
        <v>7.5</v>
      </c>
      <c r="B17">
        <f>emulator!$C$7*$A17+emulator!$C$5*B$1</f>
        <v>-111.52499999999999</v>
      </c>
      <c r="C17">
        <f>emulator!$C$7*$A17+emulator!$C$5*C$1</f>
        <v>-116.97999999999999</v>
      </c>
      <c r="D17">
        <f>emulator!$C$7*$A17+emulator!$C$5*D$1</f>
        <v>-122.43499999999999</v>
      </c>
      <c r="E17">
        <f>emulator!$C$7*$A17+emulator!$C$5*E$1</f>
        <v>-127.88999999999999</v>
      </c>
      <c r="F17">
        <f>emulator!$C$7*$A17+emulator!$C$5*F$1</f>
        <v>-133.345</v>
      </c>
      <c r="G17">
        <f>emulator!$C$7*$A17+emulator!$C$5*G$1</f>
        <v>-138.79999999999998</v>
      </c>
      <c r="H17">
        <f>emulator!$C$7*$A17+emulator!$C$5*H$1</f>
        <v>-144.255</v>
      </c>
      <c r="I17">
        <f>emulator!$C$7*$A17+emulator!$C$5*I$1</f>
        <v>-149.70999999999998</v>
      </c>
      <c r="J17">
        <f>emulator!$C$7*$A17+emulator!$C$5*J$1</f>
        <v>-155.16499999999999</v>
      </c>
      <c r="K17">
        <f>emulator!$C$7*$A17+emulator!$C$5*K$1</f>
        <v>-160.62</v>
      </c>
      <c r="L17">
        <f>emulator!$C$7*$A17+emulator!$C$5*L$1</f>
        <v>-166.07499999999999</v>
      </c>
      <c r="M17">
        <f>emulator!$C$7*$A17+emulator!$C$5*M$1</f>
        <v>-171.53</v>
      </c>
      <c r="N17">
        <f>emulator!$C$7*$A17+emulator!$C$5*N$1</f>
        <v>-176.98500000000001</v>
      </c>
      <c r="O17">
        <f>emulator!$C$7*$A17+emulator!$C$5*O$1</f>
        <v>-182.44</v>
      </c>
      <c r="P17">
        <f>emulator!$C$7*$A17+emulator!$C$5*P$1</f>
        <v>-187.89499999999998</v>
      </c>
      <c r="Q17">
        <f>emulator!$C$7*$A17+emulator!$C$5*Q$1</f>
        <v>-193.35</v>
      </c>
      <c r="R17">
        <f>emulator!$C$7*$A17+emulator!$C$5*R$1</f>
        <v>-198.80500000000001</v>
      </c>
      <c r="S17">
        <f>emulator!$C$7*$A17+emulator!$C$5*S$1</f>
        <v>-204.26</v>
      </c>
      <c r="T17">
        <f>emulator!$C$7*$A17+emulator!$C$5*T$1</f>
        <v>-209.71499999999997</v>
      </c>
    </row>
    <row r="18" spans="1:20" x14ac:dyDescent="0.3">
      <c r="A18">
        <f t="shared" si="0"/>
        <v>8</v>
      </c>
      <c r="B18">
        <f>emulator!$C$7*$A18+emulator!$C$5*B$1</f>
        <v>-118.96</v>
      </c>
      <c r="C18">
        <f>emulator!$C$7*$A18+emulator!$C$5*C$1</f>
        <v>-124.41499999999999</v>
      </c>
      <c r="D18">
        <f>emulator!$C$7*$A18+emulator!$C$5*D$1</f>
        <v>-129.87</v>
      </c>
      <c r="E18">
        <f>emulator!$C$7*$A18+emulator!$C$5*E$1</f>
        <v>-135.32499999999999</v>
      </c>
      <c r="F18">
        <f>emulator!$C$7*$A18+emulator!$C$5*F$1</f>
        <v>-140.78</v>
      </c>
      <c r="G18">
        <f>emulator!$C$7*$A18+emulator!$C$5*G$1</f>
        <v>-146.23499999999999</v>
      </c>
      <c r="H18">
        <f>emulator!$C$7*$A18+emulator!$C$5*H$1</f>
        <v>-151.69</v>
      </c>
      <c r="I18">
        <f>emulator!$C$7*$A18+emulator!$C$5*I$1</f>
        <v>-157.14499999999998</v>
      </c>
      <c r="J18">
        <f>emulator!$C$7*$A18+emulator!$C$5*J$1</f>
        <v>-162.6</v>
      </c>
      <c r="K18">
        <f>emulator!$C$7*$A18+emulator!$C$5*K$1</f>
        <v>-168.05500000000001</v>
      </c>
      <c r="L18">
        <f>emulator!$C$7*$A18+emulator!$C$5*L$1</f>
        <v>-173.51</v>
      </c>
      <c r="M18">
        <f>emulator!$C$7*$A18+emulator!$C$5*M$1</f>
        <v>-178.965</v>
      </c>
      <c r="N18">
        <f>emulator!$C$7*$A18+emulator!$C$5*N$1</f>
        <v>-184.42000000000002</v>
      </c>
      <c r="O18">
        <f>emulator!$C$7*$A18+emulator!$C$5*O$1</f>
        <v>-189.875</v>
      </c>
      <c r="P18">
        <f>emulator!$C$7*$A18+emulator!$C$5*P$1</f>
        <v>-195.32999999999998</v>
      </c>
      <c r="Q18">
        <f>emulator!$C$7*$A18+emulator!$C$5*Q$1</f>
        <v>-200.785</v>
      </c>
      <c r="R18">
        <f>emulator!$C$7*$A18+emulator!$C$5*R$1</f>
        <v>-206.24</v>
      </c>
      <c r="S18">
        <f>emulator!$C$7*$A18+emulator!$C$5*S$1</f>
        <v>-211.69499999999999</v>
      </c>
      <c r="T18">
        <f>emulator!$C$7*$A18+emulator!$C$5*T$1</f>
        <v>-217.14999999999998</v>
      </c>
    </row>
    <row r="19" spans="1:20" x14ac:dyDescent="0.3">
      <c r="A19">
        <f t="shared" si="0"/>
        <v>8.5</v>
      </c>
      <c r="B19">
        <f>emulator!$C$7*$A19+emulator!$C$5*B$1</f>
        <v>-126.395</v>
      </c>
      <c r="C19">
        <f>emulator!$C$7*$A19+emulator!$C$5*C$1</f>
        <v>-131.85</v>
      </c>
      <c r="D19">
        <f>emulator!$C$7*$A19+emulator!$C$5*D$1</f>
        <v>-137.30500000000001</v>
      </c>
      <c r="E19">
        <f>emulator!$C$7*$A19+emulator!$C$5*E$1</f>
        <v>-142.76</v>
      </c>
      <c r="F19">
        <f>emulator!$C$7*$A19+emulator!$C$5*F$1</f>
        <v>-148.215</v>
      </c>
      <c r="G19">
        <f>emulator!$C$7*$A19+emulator!$C$5*G$1</f>
        <v>-153.66999999999999</v>
      </c>
      <c r="H19">
        <f>emulator!$C$7*$A19+emulator!$C$5*H$1</f>
        <v>-159.125</v>
      </c>
      <c r="I19">
        <f>emulator!$C$7*$A19+emulator!$C$5*I$1</f>
        <v>-164.57999999999998</v>
      </c>
      <c r="J19">
        <f>emulator!$C$7*$A19+emulator!$C$5*J$1</f>
        <v>-170.035</v>
      </c>
      <c r="K19">
        <f>emulator!$C$7*$A19+emulator!$C$5*K$1</f>
        <v>-175.49</v>
      </c>
      <c r="L19">
        <f>emulator!$C$7*$A19+emulator!$C$5*L$1</f>
        <v>-180.94499999999999</v>
      </c>
      <c r="M19">
        <f>emulator!$C$7*$A19+emulator!$C$5*M$1</f>
        <v>-186.4</v>
      </c>
      <c r="N19">
        <f>emulator!$C$7*$A19+emulator!$C$5*N$1</f>
        <v>-191.85500000000002</v>
      </c>
      <c r="O19">
        <f>emulator!$C$7*$A19+emulator!$C$5*O$1</f>
        <v>-197.31</v>
      </c>
      <c r="P19">
        <f>emulator!$C$7*$A19+emulator!$C$5*P$1</f>
        <v>-202.76499999999999</v>
      </c>
      <c r="Q19">
        <f>emulator!$C$7*$A19+emulator!$C$5*Q$1</f>
        <v>-208.22</v>
      </c>
      <c r="R19">
        <f>emulator!$C$7*$A19+emulator!$C$5*R$1</f>
        <v>-213.67500000000001</v>
      </c>
      <c r="S19">
        <f>emulator!$C$7*$A19+emulator!$C$5*S$1</f>
        <v>-219.13</v>
      </c>
      <c r="T19">
        <f>emulator!$C$7*$A19+emulator!$C$5*T$1</f>
        <v>-224.58499999999998</v>
      </c>
    </row>
    <row r="20" spans="1:20" x14ac:dyDescent="0.3">
      <c r="A20">
        <f t="shared" si="0"/>
        <v>9</v>
      </c>
      <c r="B20">
        <f>emulator!$C$7*$A20+emulator!$C$5*B$1</f>
        <v>-133.82999999999998</v>
      </c>
      <c r="C20">
        <f>emulator!$C$7*$A20+emulator!$C$5*C$1</f>
        <v>-139.285</v>
      </c>
      <c r="D20">
        <f>emulator!$C$7*$A20+emulator!$C$5*D$1</f>
        <v>-144.73999999999998</v>
      </c>
      <c r="E20">
        <f>emulator!$C$7*$A20+emulator!$C$5*E$1</f>
        <v>-150.19499999999999</v>
      </c>
      <c r="F20">
        <f>emulator!$C$7*$A20+emulator!$C$5*F$1</f>
        <v>-155.64999999999998</v>
      </c>
      <c r="G20">
        <f>emulator!$C$7*$A20+emulator!$C$5*G$1</f>
        <v>-161.10499999999999</v>
      </c>
      <c r="H20">
        <f>emulator!$C$7*$A20+emulator!$C$5*H$1</f>
        <v>-166.56</v>
      </c>
      <c r="I20">
        <f>emulator!$C$7*$A20+emulator!$C$5*I$1</f>
        <v>-172.01499999999999</v>
      </c>
      <c r="J20">
        <f>emulator!$C$7*$A20+emulator!$C$5*J$1</f>
        <v>-177.46999999999997</v>
      </c>
      <c r="K20">
        <f>emulator!$C$7*$A20+emulator!$C$5*K$1</f>
        <v>-182.92499999999998</v>
      </c>
      <c r="L20">
        <f>emulator!$C$7*$A20+emulator!$C$5*L$1</f>
        <v>-188.38</v>
      </c>
      <c r="M20">
        <f>emulator!$C$7*$A20+emulator!$C$5*M$1</f>
        <v>-193.83499999999998</v>
      </c>
      <c r="N20">
        <f>emulator!$C$7*$A20+emulator!$C$5*N$1</f>
        <v>-199.29</v>
      </c>
      <c r="O20">
        <f>emulator!$C$7*$A20+emulator!$C$5*O$1</f>
        <v>-204.745</v>
      </c>
      <c r="P20">
        <f>emulator!$C$7*$A20+emulator!$C$5*P$1</f>
        <v>-210.2</v>
      </c>
      <c r="Q20">
        <f>emulator!$C$7*$A20+emulator!$C$5*Q$1</f>
        <v>-215.65499999999997</v>
      </c>
      <c r="R20">
        <f>emulator!$C$7*$A20+emulator!$C$5*R$1</f>
        <v>-221.10999999999999</v>
      </c>
      <c r="S20">
        <f>emulator!$C$7*$A20+emulator!$C$5*S$1</f>
        <v>-226.565</v>
      </c>
      <c r="T20">
        <f>emulator!$C$7*$A20+emulator!$C$5*T$1</f>
        <v>-232.01999999999998</v>
      </c>
    </row>
    <row r="21" spans="1:20" x14ac:dyDescent="0.3">
      <c r="A21">
        <f t="shared" si="0"/>
        <v>9.5</v>
      </c>
      <c r="B21">
        <f>emulator!$C$7*$A21+emulator!$C$5*B$1</f>
        <v>-141.26499999999999</v>
      </c>
      <c r="C21">
        <f>emulator!$C$7*$A21+emulator!$C$5*C$1</f>
        <v>-146.72</v>
      </c>
      <c r="D21">
        <f>emulator!$C$7*$A21+emulator!$C$5*D$1</f>
        <v>-152.17499999999998</v>
      </c>
      <c r="E21">
        <f>emulator!$C$7*$A21+emulator!$C$5*E$1</f>
        <v>-157.63</v>
      </c>
      <c r="F21">
        <f>emulator!$C$7*$A21+emulator!$C$5*F$1</f>
        <v>-163.08499999999998</v>
      </c>
      <c r="G21">
        <f>emulator!$C$7*$A21+emulator!$C$5*G$1</f>
        <v>-168.54</v>
      </c>
      <c r="H21">
        <f>emulator!$C$7*$A21+emulator!$C$5*H$1</f>
        <v>-173.995</v>
      </c>
      <c r="I21">
        <f>emulator!$C$7*$A21+emulator!$C$5*I$1</f>
        <v>-179.45</v>
      </c>
      <c r="J21">
        <f>emulator!$C$7*$A21+emulator!$C$5*J$1</f>
        <v>-184.90499999999997</v>
      </c>
      <c r="K21">
        <f>emulator!$C$7*$A21+emulator!$C$5*K$1</f>
        <v>-190.35999999999999</v>
      </c>
      <c r="L21">
        <f>emulator!$C$7*$A21+emulator!$C$5*L$1</f>
        <v>-195.815</v>
      </c>
      <c r="M21">
        <f>emulator!$C$7*$A21+emulator!$C$5*M$1</f>
        <v>-201.26999999999998</v>
      </c>
      <c r="N21">
        <f>emulator!$C$7*$A21+emulator!$C$5*N$1</f>
        <v>-206.72499999999999</v>
      </c>
      <c r="O21">
        <f>emulator!$C$7*$A21+emulator!$C$5*O$1</f>
        <v>-212.18</v>
      </c>
      <c r="P21">
        <f>emulator!$C$7*$A21+emulator!$C$5*P$1</f>
        <v>-217.63499999999999</v>
      </c>
      <c r="Q21">
        <f>emulator!$C$7*$A21+emulator!$C$5*Q$1</f>
        <v>-223.08999999999997</v>
      </c>
      <c r="R21">
        <f>emulator!$C$7*$A21+emulator!$C$5*R$1</f>
        <v>-228.54499999999999</v>
      </c>
      <c r="S21">
        <f>emulator!$C$7*$A21+emulator!$C$5*S$1</f>
        <v>-234</v>
      </c>
      <c r="T21">
        <f>emulator!$C$7*$A21+emulator!$C$5*T$1</f>
        <v>-239.45499999999998</v>
      </c>
    </row>
    <row r="22" spans="1:20" x14ac:dyDescent="0.3">
      <c r="A22">
        <f t="shared" si="0"/>
        <v>10</v>
      </c>
      <c r="B22">
        <f>emulator!$C$7*$A22+emulator!$C$5*B$1</f>
        <v>-148.69999999999999</v>
      </c>
      <c r="C22">
        <f>emulator!$C$7*$A22+emulator!$C$5*C$1</f>
        <v>-154.155</v>
      </c>
      <c r="D22">
        <f>emulator!$C$7*$A22+emulator!$C$5*D$1</f>
        <v>-159.60999999999999</v>
      </c>
      <c r="E22">
        <f>emulator!$C$7*$A22+emulator!$C$5*E$1</f>
        <v>-165.065</v>
      </c>
      <c r="F22">
        <f>emulator!$C$7*$A22+emulator!$C$5*F$1</f>
        <v>-170.51999999999998</v>
      </c>
      <c r="G22">
        <f>emulator!$C$7*$A22+emulator!$C$5*G$1</f>
        <v>-175.97499999999999</v>
      </c>
      <c r="H22">
        <f>emulator!$C$7*$A22+emulator!$C$5*H$1</f>
        <v>-181.43</v>
      </c>
      <c r="I22">
        <f>emulator!$C$7*$A22+emulator!$C$5*I$1</f>
        <v>-186.88499999999999</v>
      </c>
      <c r="J22">
        <f>emulator!$C$7*$A22+emulator!$C$5*J$1</f>
        <v>-192.33999999999997</v>
      </c>
      <c r="K22">
        <f>emulator!$C$7*$A22+emulator!$C$5*K$1</f>
        <v>-197.79499999999999</v>
      </c>
      <c r="L22">
        <f>emulator!$C$7*$A22+emulator!$C$5*L$1</f>
        <v>-203.25</v>
      </c>
      <c r="M22">
        <f>emulator!$C$7*$A22+emulator!$C$5*M$1</f>
        <v>-208.70499999999998</v>
      </c>
      <c r="N22">
        <f>emulator!$C$7*$A22+emulator!$C$5*N$1</f>
        <v>-214.16</v>
      </c>
      <c r="O22">
        <f>emulator!$C$7*$A22+emulator!$C$5*O$1</f>
        <v>-219.61500000000001</v>
      </c>
      <c r="P22">
        <f>emulator!$C$7*$A22+emulator!$C$5*P$1</f>
        <v>-225.07</v>
      </c>
      <c r="Q22">
        <f>emulator!$C$7*$A22+emulator!$C$5*Q$1</f>
        <v>-230.52499999999998</v>
      </c>
      <c r="R22">
        <f>emulator!$C$7*$A22+emulator!$C$5*R$1</f>
        <v>-235.98</v>
      </c>
      <c r="S22">
        <f>emulator!$C$7*$A22+emulator!$C$5*S$1</f>
        <v>-241.435</v>
      </c>
      <c r="T22">
        <f>emulator!$C$7*$A22+emulator!$C$5*T$1</f>
        <v>-246.89</v>
      </c>
    </row>
    <row r="24" spans="1:20" x14ac:dyDescent="0.3">
      <c r="B24">
        <f>B2*([2]csvD!B2-[2]csvL!B2)</f>
        <v>0</v>
      </c>
      <c r="C24">
        <f>C2*([2]csvD!C2-[2]csvL!C2)</f>
        <v>1.0708714137762529E-4</v>
      </c>
      <c r="D24">
        <f>D2*([2]csvD!D2-[2]csvL!D2)</f>
        <v>-4.5487225177419051E-2</v>
      </c>
      <c r="E24">
        <f>E2*([2]csvD!E2-[2]csvL!E2)</f>
        <v>3.4613024498198051E-2</v>
      </c>
      <c r="F24">
        <f>F2*([2]csvD!F2-[2]csvL!F2)</f>
        <v>-0.19088262776850426</v>
      </c>
      <c r="G24">
        <f>G2*([2]csvD!G2-[2]csvL!G2)</f>
        <v>1.2599977809904621E-3</v>
      </c>
      <c r="H24">
        <f>H2*([2]csvD!H2-[2]csvL!H2)</f>
        <v>-5.2210053087289161E-2</v>
      </c>
      <c r="I24">
        <f>I2*([2]csvD!I2-[2]csvL!I2)</f>
        <v>1.6173782710142629E-3</v>
      </c>
      <c r="J24">
        <f>J2*([2]csvD!J2-[2]csvL!J2)</f>
        <v>4.0921268743721153E-3</v>
      </c>
      <c r="K24">
        <f>K2*([2]csvD!K2-[2]csvL!K2)</f>
        <v>3.4658105807448494E-4</v>
      </c>
      <c r="L24">
        <f>L2*([2]csvD!L2-[2]csvL!L2)</f>
        <v>-0.29661732665606716</v>
      </c>
      <c r="M24">
        <f>M2*([2]csvD!M2-[2]csvL!M2)</f>
        <v>0</v>
      </c>
      <c r="N24">
        <f>N2*([2]csvD!N2-[2]csvL!N2)</f>
        <v>7.5403862934368974E-4</v>
      </c>
      <c r="O24">
        <f>O2*([2]csvD!O2-[2]csvL!O2)</f>
        <v>0</v>
      </c>
      <c r="P24">
        <f>P2*([2]csvD!P2-[2]csvL!P2)</f>
        <v>0</v>
      </c>
      <c r="Q24">
        <f>Q2*([2]csvD!Q2-[2]csvL!Q2)</f>
        <v>0</v>
      </c>
      <c r="R24">
        <f>R2*([2]csvD!R2-[2]csvL!R2)</f>
        <v>6.7025655941661301E-4</v>
      </c>
      <c r="S24">
        <f>S2*([2]csvD!S2-[2]csvL!S2)</f>
        <v>0</v>
      </c>
      <c r="T24">
        <f>T2*([2]csvD!T2-[2]csvL!T2)</f>
        <v>0</v>
      </c>
    </row>
    <row r="25" spans="1:20" x14ac:dyDescent="0.3">
      <c r="B25">
        <f>B3*([2]csvD!B3-[2]csvL!B3)</f>
        <v>-0.26820279882222592</v>
      </c>
      <c r="C25">
        <f>C3*([2]csvD!C3-[2]csvL!C3)</f>
        <v>-0.19548098002252434</v>
      </c>
      <c r="D25">
        <f>D3*([2]csvD!D3-[2]csvL!D3)</f>
        <v>-0.68305447951341169</v>
      </c>
      <c r="E25">
        <f>E3*([2]csvD!E3-[2]csvL!E3)</f>
        <v>0.25970922700693799</v>
      </c>
      <c r="F25">
        <f>F3*([2]csvD!F3-[2]csvL!F3)</f>
        <v>-0.7856583865536606</v>
      </c>
      <c r="G25">
        <f>G3*([2]csvD!G3-[2]csvL!G3)</f>
        <v>0.10140336214323067</v>
      </c>
      <c r="H25">
        <f>H3*([2]csvD!H3-[2]csvL!H3)</f>
        <v>-0.21407638847599195</v>
      </c>
      <c r="I25">
        <f>I3*([2]csvD!I3-[2]csvL!I3)</f>
        <v>2.2543475931460642E-3</v>
      </c>
      <c r="J25">
        <f>J3*([2]csvD!J3-[2]csvL!J3)</f>
        <v>-0.27626834844718118</v>
      </c>
      <c r="K25">
        <f>K3*([2]csvD!K3-[2]csvL!K3)</f>
        <v>2.445526943717333E-3</v>
      </c>
      <c r="L25">
        <f>L3*([2]csvD!L3-[2]csvL!L3)</f>
        <v>-0.13534763726291008</v>
      </c>
      <c r="M25">
        <f>M3*([2]csvD!M3-[2]csvL!M3)</f>
        <v>0</v>
      </c>
      <c r="N25">
        <f>N3*([2]csvD!N3-[2]csvL!N3)</f>
        <v>3.1441461560214524E-2</v>
      </c>
      <c r="O25">
        <f>O3*([2]csvD!O3-[2]csvL!O3)</f>
        <v>0</v>
      </c>
      <c r="P25">
        <f>P3*([2]csvD!P3-[2]csvL!P3)</f>
        <v>-0.46301104972375695</v>
      </c>
      <c r="Q25">
        <f>Q3*([2]csvD!Q3-[2]csvL!Q3)</f>
        <v>0</v>
      </c>
      <c r="R25">
        <f>R3*([2]csvD!R3-[2]csvL!R3)</f>
        <v>7.2735277297369971E-4</v>
      </c>
      <c r="S25">
        <f>S3*([2]csvD!S3-[2]csvL!S3)</f>
        <v>0</v>
      </c>
      <c r="T25">
        <f>T3*([2]csvD!T3-[2]csvL!T3)</f>
        <v>0</v>
      </c>
    </row>
    <row r="26" spans="1:20" x14ac:dyDescent="0.3">
      <c r="B26">
        <f>B4*([2]csvD!B4-[2]csvL!B4)</f>
        <v>-0.46595388745020805</v>
      </c>
      <c r="C26">
        <f>C4*([2]csvD!C4-[2]csvL!C4)</f>
        <v>-0.98372671448799487</v>
      </c>
      <c r="D26">
        <f>D4*([2]csvD!D4-[2]csvL!D4)</f>
        <v>1.6286755555212362</v>
      </c>
      <c r="E26">
        <f>E4*([2]csvD!E4-[2]csvL!E4)</f>
        <v>1.9456032488528179</v>
      </c>
      <c r="F26">
        <f>F4*([2]csvD!F4-[2]csvL!F4)</f>
        <v>-1.0082716102366527</v>
      </c>
      <c r="G26">
        <f>G4*([2]csvD!G4-[2]csvL!G4)</f>
        <v>0.70070872193803435</v>
      </c>
      <c r="H26">
        <f>H4*([2]csvD!H4-[2]csvL!H4)</f>
        <v>4.3394955888905118</v>
      </c>
      <c r="I26">
        <f>I4*([2]csvD!I4-[2]csvL!I4)</f>
        <v>2.9844999154391268E-2</v>
      </c>
      <c r="J26">
        <f>J4*([2]csvD!J4-[2]csvL!J4)</f>
        <v>-0.25094329729173587</v>
      </c>
      <c r="K26">
        <f>K4*([2]csvD!K4-[2]csvL!K4)</f>
        <v>0.17220680986893122</v>
      </c>
      <c r="L26">
        <f>L4*([2]csvD!L4-[2]csvL!L4)</f>
        <v>0.38498541494222621</v>
      </c>
      <c r="M26">
        <f>M4*([2]csvD!M4-[2]csvL!M4)</f>
        <v>0</v>
      </c>
      <c r="N26">
        <f>N4*([2]csvD!N4-[2]csvL!N4)</f>
        <v>1.5422121166915827E-3</v>
      </c>
      <c r="O26">
        <f>O4*([2]csvD!O4-[2]csvL!O4)</f>
        <v>0</v>
      </c>
      <c r="P26">
        <f>P4*([2]csvD!P4-[2]csvL!P4)</f>
        <v>7.0066691660370967E-4</v>
      </c>
      <c r="Q26">
        <f>Q4*([2]csvD!Q4-[2]csvL!Q4)</f>
        <v>4.1335725970576805E-3</v>
      </c>
      <c r="R26">
        <f>R4*([2]csvD!R4-[2]csvL!R4)</f>
        <v>-0.56358019189744712</v>
      </c>
      <c r="S26">
        <f>S4*([2]csvD!S4-[2]csvL!S4)</f>
        <v>0</v>
      </c>
      <c r="T26">
        <f>T4*([2]csvD!T4-[2]csvL!T4)</f>
        <v>0</v>
      </c>
    </row>
    <row r="27" spans="1:20" x14ac:dyDescent="0.3">
      <c r="B27">
        <f>B5*([2]csvD!B5-[2]csvL!B5)</f>
        <v>-0.62572783577522273</v>
      </c>
      <c r="C27">
        <f>C5*([2]csvD!C5-[2]csvL!C5)</f>
        <v>-0.6521739888467204</v>
      </c>
      <c r="D27">
        <f>D5*([2]csvD!D5-[2]csvL!D5)</f>
        <v>2.8855326786709639E-2</v>
      </c>
      <c r="E27">
        <f>E5*([2]csvD!E5-[2]csvL!E5)</f>
        <v>6.4577740716756953</v>
      </c>
      <c r="F27">
        <f>F5*([2]csvD!F5-[2]csvL!F5)</f>
        <v>-0.25052500099567321</v>
      </c>
      <c r="G27">
        <f>G5*([2]csvD!G5-[2]csvL!G5)</f>
        <v>7.7526104522064338E-3</v>
      </c>
      <c r="H27">
        <f>H5*([2]csvD!H5-[2]csvL!H5)</f>
        <v>1.2702029628188304E-2</v>
      </c>
      <c r="I27">
        <f>I5*([2]csvD!I5-[2]csvL!I5)</f>
        <v>1.8767293611032937E-2</v>
      </c>
      <c r="J27">
        <f>J5*([2]csvD!J5-[2]csvL!J5)</f>
        <v>0.40146660908162951</v>
      </c>
      <c r="K27">
        <f>K5*([2]csvD!K5-[2]csvL!K5)</f>
        <v>1.5121226731755714E-3</v>
      </c>
      <c r="L27">
        <f>L5*([2]csvD!L5-[2]csvL!L5)</f>
        <v>0.11168918467904836</v>
      </c>
      <c r="M27">
        <f>M5*([2]csvD!M5-[2]csvL!M5)</f>
        <v>0</v>
      </c>
      <c r="N27">
        <f>N5*([2]csvD!N5-[2]csvL!N5)</f>
        <v>0</v>
      </c>
      <c r="O27">
        <f>O5*([2]csvD!O5-[2]csvL!O5)</f>
        <v>0</v>
      </c>
      <c r="P27">
        <f>P5*([2]csvD!P5-[2]csvL!P5)</f>
        <v>3.7888156508039813E-4</v>
      </c>
      <c r="Q27">
        <f>Q5*([2]csvD!Q5-[2]csvL!Q5)</f>
        <v>0</v>
      </c>
      <c r="R27">
        <f>R5*([2]csvD!R5-[2]csvL!R5)</f>
        <v>8.4154520008787289E-4</v>
      </c>
      <c r="S27">
        <f>S5*([2]csvD!S5-[2]csvL!S5)</f>
        <v>0</v>
      </c>
      <c r="T27">
        <f>T5*([2]csvD!T5-[2]csvL!T5)</f>
        <v>0</v>
      </c>
    </row>
    <row r="28" spans="1:20" x14ac:dyDescent="0.3">
      <c r="B28">
        <f>B6*([2]csvD!B6-[2]csvL!B6)</f>
        <v>-3.2156920625572765</v>
      </c>
      <c r="C28">
        <f>C6*([2]csvD!C6-[2]csvL!C6)</f>
        <v>-0.94175698050489598</v>
      </c>
      <c r="D28">
        <f>D6*([2]csvD!D6-[2]csvL!D6)</f>
        <v>0.51431749904608004</v>
      </c>
      <c r="E28">
        <f>E6*([2]csvD!E6-[2]csvL!E6)</f>
        <v>4.8505631519556776</v>
      </c>
      <c r="F28">
        <f>F6*([2]csvD!F6-[2]csvL!F6)</f>
        <v>-0.8943360554534423</v>
      </c>
      <c r="G28">
        <f>G6*([2]csvD!G6-[2]csvL!G6)</f>
        <v>-0.62857360555675001</v>
      </c>
      <c r="H28">
        <f>H6*([2]csvD!H6-[2]csvL!H6)</f>
        <v>0.24728394446189961</v>
      </c>
      <c r="I28">
        <f>I6*([2]csvD!I6-[2]csvL!I6)</f>
        <v>2.3975474457388112E-3</v>
      </c>
      <c r="J28">
        <f>J6*([2]csvD!J6-[2]csvL!J6)</f>
        <v>-0.37084523861863306</v>
      </c>
      <c r="K28">
        <f>K6*([2]csvD!K6-[2]csvL!K6)</f>
        <v>5.5652750205320328E-4</v>
      </c>
      <c r="L28">
        <f>L6*([2]csvD!L6-[2]csvL!L6)</f>
        <v>3.6271756944014871E-3</v>
      </c>
      <c r="M28">
        <f>M6*([2]csvD!M6-[2]csvL!M6)</f>
        <v>0</v>
      </c>
      <c r="N28">
        <f>N6*([2]csvD!N6-[2]csvL!N6)</f>
        <v>7.3107727379080622E-4</v>
      </c>
      <c r="O28">
        <f>O6*([2]csvD!O6-[2]csvL!O6)</f>
        <v>0</v>
      </c>
      <c r="P28">
        <f>P6*([2]csvD!P6-[2]csvL!P6)</f>
        <v>1.222289015576824E-3</v>
      </c>
      <c r="Q28">
        <f>Q6*([2]csvD!Q6-[2]csvL!Q6)</f>
        <v>0</v>
      </c>
      <c r="R28">
        <f>R6*([2]csvD!R6-[2]csvL!R6)</f>
        <v>8.9864141364495937E-4</v>
      </c>
      <c r="S28">
        <f>S6*([2]csvD!S6-[2]csvL!S6)</f>
        <v>0</v>
      </c>
      <c r="T28">
        <f>T6*([2]csvD!T6-[2]csvL!T6)</f>
        <v>0</v>
      </c>
    </row>
    <row r="29" spans="1:20" x14ac:dyDescent="0.3">
      <c r="B29">
        <f>B7*([2]csvD!B7-[2]csvL!B7)</f>
        <v>1.6444992506525806E-2</v>
      </c>
      <c r="C29">
        <f>C7*([2]csvD!C7-[2]csvL!C7)</f>
        <v>3.1201302592735016E-3</v>
      </c>
      <c r="D29">
        <f>D7*([2]csvD!D7-[2]csvL!D7)</f>
        <v>-0.25276001829781519</v>
      </c>
      <c r="E29">
        <f>E7*([2]csvD!E7-[2]csvL!E7)</f>
        <v>2.3239070749608199E-2</v>
      </c>
      <c r="F29">
        <f>F7*([2]csvD!F7-[2]csvL!F7)</f>
        <v>-0.31138753360546223</v>
      </c>
      <c r="G29">
        <f>G7*([2]csvD!G7-[2]csvL!G7)</f>
        <v>1.8199123489480028E-3</v>
      </c>
      <c r="H29">
        <f>H7*([2]csvD!H7-[2]csvL!H7)</f>
        <v>3.6833793031120516E-3</v>
      </c>
      <c r="I29">
        <f>I7*([2]csvD!I7-[2]csvL!I7)</f>
        <v>4.7879649012819775E-3</v>
      </c>
      <c r="J29">
        <f>J7*([2]csvD!J7-[2]csvL!J7)</f>
        <v>3.6877353394530517E-3</v>
      </c>
      <c r="K29">
        <f>K7*([2]csvD!K7-[2]csvL!K7)</f>
        <v>1.8270423391436488E-3</v>
      </c>
      <c r="L29">
        <f>L7*([2]csvD!L7-[2]csvL!L7)</f>
        <v>2.243009110981963E-3</v>
      </c>
      <c r="M29">
        <f>M7*([2]csvD!M7-[2]csvL!M7)</f>
        <v>0</v>
      </c>
      <c r="N29">
        <f>N7*([2]csvD!N7-[2]csvL!N7)</f>
        <v>0</v>
      </c>
      <c r="O29">
        <f>O7*([2]csvD!O7-[2]csvL!O7)</f>
        <v>0</v>
      </c>
      <c r="P29">
        <f>P7*([2]csvD!P7-[2]csvL!P7)</f>
        <v>4.3597777863748472E-4</v>
      </c>
      <c r="Q29">
        <f>Q7*([2]csvD!Q7-[2]csvL!Q7)</f>
        <v>0</v>
      </c>
      <c r="R29">
        <f>R7*([2]csvD!R7-[2]csvL!R7)</f>
        <v>0</v>
      </c>
      <c r="S29">
        <f>S7*([2]csvD!S7-[2]csvL!S7)</f>
        <v>0</v>
      </c>
      <c r="T29">
        <f>T7*([2]csvD!T7-[2]csvL!T7)</f>
        <v>0</v>
      </c>
    </row>
    <row r="30" spans="1:20" x14ac:dyDescent="0.3">
      <c r="B30">
        <f>B8*([2]csvD!B8-[2]csvL!B8)</f>
        <v>-0.3583531473100659</v>
      </c>
      <c r="C30">
        <f>C8*([2]csvD!C8-[2]csvL!C8)</f>
        <v>5.4521974734847998E-3</v>
      </c>
      <c r="D30">
        <f>D8*([2]csvD!D8-[2]csvL!D8)</f>
        <v>-0.35189258520015676</v>
      </c>
      <c r="E30">
        <f>E8*([2]csvD!E8-[2]csvL!E8)</f>
        <v>0.17007559395166599</v>
      </c>
      <c r="F30">
        <f>F8*([2]csvD!F8-[2]csvL!F8)</f>
        <v>-0.27707809446901593</v>
      </c>
      <c r="G30">
        <f>G8*([2]csvD!G8-[2]csvL!G8)</f>
        <v>1.5669618526235718E-3</v>
      </c>
      <c r="H30">
        <f>H8*([2]csvD!H8-[2]csvL!H8)</f>
        <v>6.4635476026406333E-2</v>
      </c>
      <c r="I30">
        <f>I8*([2]csvD!I8-[2]csvL!I8)</f>
        <v>4.0913789779598499E-3</v>
      </c>
      <c r="J30">
        <f>J8*([2]csvD!J8-[2]csvL!J8)</f>
        <v>0.29867401154136097</v>
      </c>
      <c r="K30">
        <f>K8*([2]csvD!K8-[2]csvL!K8)</f>
        <v>0</v>
      </c>
      <c r="L30">
        <f>L8*([2]csvD!L8-[2]csvL!L8)</f>
        <v>1.4000194609905662E-3</v>
      </c>
      <c r="M30">
        <f>M8*([2]csvD!M8-[2]csvL!M8)</f>
        <v>0</v>
      </c>
      <c r="N30">
        <f>N8*([2]csvD!N8-[2]csvL!N8)</f>
        <v>4.226348504524897E-4</v>
      </c>
      <c r="O30">
        <f>O8*([2]csvD!O8-[2]csvL!O8)</f>
        <v>0</v>
      </c>
      <c r="P30">
        <f>P8*([2]csvD!P8-[2]csvL!P8)</f>
        <v>0</v>
      </c>
      <c r="Q30">
        <f>Q8*([2]csvD!Q8-[2]csvL!Q8)</f>
        <v>0</v>
      </c>
      <c r="R30">
        <f>R8*([2]csvD!R8-[2]csvL!R8)</f>
        <v>0</v>
      </c>
      <c r="S30">
        <f>S8*([2]csvD!S8-[2]csvL!S8)</f>
        <v>0</v>
      </c>
      <c r="T30">
        <f>T8*([2]csvD!T8-[2]csvL!T8)</f>
        <v>0</v>
      </c>
    </row>
    <row r="31" spans="1:20" x14ac:dyDescent="0.3">
      <c r="B31">
        <f>B9*([2]csvD!B9-[2]csvL!B9)</f>
        <v>0</v>
      </c>
      <c r="C31">
        <f>C9*([2]csvD!C9-[2]csvL!C9)</f>
        <v>3.3425147895407258E-3</v>
      </c>
      <c r="D31">
        <f>D9*([2]csvD!D9-[2]csvL!D9)</f>
        <v>0</v>
      </c>
      <c r="E31">
        <f>E9*([2]csvD!E9-[2]csvL!E9)</f>
        <v>0.22391254923252318</v>
      </c>
      <c r="F31">
        <f>F9*([2]csvD!F9-[2]csvL!F9)</f>
        <v>0</v>
      </c>
      <c r="G31">
        <f>G9*([2]csvD!G9-[2]csvL!G9)</f>
        <v>5.5995130922635995E-4</v>
      </c>
      <c r="H31">
        <f>H9*([2]csvD!H9-[2]csvL!H9)</f>
        <v>2.3938412627163225E-3</v>
      </c>
      <c r="I31">
        <f>I9*([2]csvD!I9-[2]csvL!I9)</f>
        <v>0</v>
      </c>
      <c r="J31">
        <f>J9*([2]csvD!J9-[2]csvL!J9)</f>
        <v>6.7547832858452165E-4</v>
      </c>
      <c r="K31">
        <f>K9*([2]csvD!K9-[2]csvL!K9)</f>
        <v>2.141962005111726E-3</v>
      </c>
      <c r="L31">
        <f>L9*([2]csvD!L9-[2]csvL!L9)</f>
        <v>7.5249634148996268E-4</v>
      </c>
      <c r="M31">
        <f>M9*([2]csvD!M9-[2]csvL!M9)</f>
        <v>7.9100534794268324E-4</v>
      </c>
      <c r="N31">
        <f>N9*([2]csvD!N9-[2]csvL!N9)</f>
        <v>0</v>
      </c>
      <c r="O31">
        <f>O9*([2]csvD!O9-[2]csvL!O9)</f>
        <v>0</v>
      </c>
      <c r="P31">
        <f>P9*([2]csvD!P9-[2]csvL!P9)</f>
        <v>0</v>
      </c>
      <c r="Q31">
        <f>Q9*([2]csvD!Q9-[2]csvL!Q9)</f>
        <v>0</v>
      </c>
      <c r="R31">
        <f>R9*([2]csvD!R9-[2]csvL!R9)</f>
        <v>0</v>
      </c>
      <c r="S31">
        <f>S9*([2]csvD!S9-[2]csvL!S9)</f>
        <v>0</v>
      </c>
      <c r="T31">
        <f>T9*([2]csvD!T9-[2]csvL!T9)</f>
        <v>0</v>
      </c>
    </row>
    <row r="32" spans="1:20" x14ac:dyDescent="0.3">
      <c r="B32">
        <f>B10*([2]csvD!B10-[2]csvL!B10)</f>
        <v>1.284006933440862E-2</v>
      </c>
      <c r="C32">
        <f>C10*([2]csvD!C10-[2]csvL!C10)</f>
        <v>7.479911151303466E-4</v>
      </c>
      <c r="D32">
        <f>D10*([2]csvD!D10-[2]csvL!D10)</f>
        <v>1.9005309117265709E-2</v>
      </c>
      <c r="E32">
        <f>E10*([2]csvD!E10-[2]csvL!E10)</f>
        <v>-0.26178329694772007</v>
      </c>
      <c r="F32">
        <f>F10*([2]csvD!F10-[2]csvL!F10)</f>
        <v>3.1216692415542298E-4</v>
      </c>
      <c r="G32">
        <f>G10*([2]csvD!G10-[2]csvL!G10)</f>
        <v>6.1243792022103952E-4</v>
      </c>
      <c r="H32">
        <f>H10*([2]csvD!H10-[2]csvL!H10)</f>
        <v>1.6418328039438174E-2</v>
      </c>
      <c r="I32">
        <f>I10*([2]csvD!I10-[2]csvL!I10)</f>
        <v>6.8945593312648066E-4</v>
      </c>
      <c r="J32">
        <f>J10*([2]csvD!J10-[2]csvL!J10)</f>
        <v>1.8518788732409023E-3</v>
      </c>
      <c r="K32">
        <f>K10*([2]csvD!K10-[2]csvL!K10)</f>
        <v>7.6647394603192168E-4</v>
      </c>
      <c r="L32">
        <f>L10*([2]csvD!L10-[2]csvL!L10)</f>
        <v>8.0498295248464236E-4</v>
      </c>
      <c r="M32">
        <f>M10*([2]csvD!M10-[2]csvL!M10)</f>
        <v>0</v>
      </c>
      <c r="N32">
        <f>N10*([2]csvD!N10-[2]csvL!N10)</f>
        <v>-1.3747317492778623</v>
      </c>
      <c r="O32">
        <f>O10*([2]csvD!O10-[2]csvL!O10)</f>
        <v>0</v>
      </c>
      <c r="P32">
        <f>P10*([2]csvD!P10-[2]csvL!P10)</f>
        <v>0</v>
      </c>
      <c r="Q32">
        <f>Q10*([2]csvD!Q10-[2]csvL!Q10)</f>
        <v>0</v>
      </c>
      <c r="R32">
        <f>R10*([2]csvD!R10-[2]csvL!R10)</f>
        <v>5.6351313393665286E-4</v>
      </c>
      <c r="S32">
        <f>S10*([2]csvD!S10-[2]csvL!S10)</f>
        <v>0</v>
      </c>
      <c r="T32">
        <f>T10*([2]csvD!T10-[2]csvL!T10)</f>
        <v>0</v>
      </c>
    </row>
    <row r="33" spans="2:20" x14ac:dyDescent="0.3">
      <c r="B33">
        <f>B11*([2]csvD!B11-[2]csvL!B11)</f>
        <v>0</v>
      </c>
      <c r="C33">
        <f>C11*([2]csvD!C11-[2]csvL!C11)</f>
        <v>1.0217770108096739E-3</v>
      </c>
      <c r="D33">
        <f>D11*([2]csvD!D11-[2]csvL!D11)</f>
        <v>3.3269071551374312E-3</v>
      </c>
      <c r="E33">
        <f>E11*([2]csvD!E11-[2]csvL!E11)</f>
        <v>0</v>
      </c>
      <c r="F33">
        <f>F11*([2]csvD!F11-[2]csvL!F11)</f>
        <v>0</v>
      </c>
      <c r="G33">
        <f>G11*([2]csvD!G11-[2]csvL!G11)</f>
        <v>0</v>
      </c>
      <c r="H33">
        <f>H11*([2]csvD!H11-[2]csvL!H11)</f>
        <v>0</v>
      </c>
      <c r="I33">
        <f>I11*([2]csvD!I11-[2]csvL!I11)</f>
        <v>0</v>
      </c>
      <c r="J33">
        <f>J11*([2]csvD!J11-[2]csvL!J11)</f>
        <v>1.5609031011477616E-3</v>
      </c>
      <c r="K33">
        <f>K11*([2]csvD!K11-[2]csvL!K11)</f>
        <v>2.4568816710798039E-3</v>
      </c>
      <c r="L33">
        <f>L11*([2]csvD!L11-[2]csvL!L11)</f>
        <v>8.5746956347932182E-4</v>
      </c>
      <c r="M33">
        <f>M11*([2]csvD!M11-[2]csvL!M11)</f>
        <v>0</v>
      </c>
      <c r="N33">
        <f>N11*([2]csvD!N11-[2]csvL!N11)</f>
        <v>0</v>
      </c>
      <c r="O33">
        <f>O11*([2]csvD!O11-[2]csvL!O11)</f>
        <v>0</v>
      </c>
      <c r="P33">
        <f>P11*([2]csvD!P11-[2]csvL!P11)</f>
        <v>0</v>
      </c>
      <c r="Q33">
        <f>Q11*([2]csvD!Q11-[2]csvL!Q11)</f>
        <v>0</v>
      </c>
      <c r="R33">
        <f>R11*([2]csvD!R11-[2]csvL!R11)</f>
        <v>0</v>
      </c>
      <c r="S33">
        <f>S11*([2]csvD!S11-[2]csvL!S11)</f>
        <v>0</v>
      </c>
      <c r="T33">
        <f>T11*([2]csvD!T11-[2]csvL!T11)</f>
        <v>0</v>
      </c>
    </row>
    <row r="34" spans="2:20" x14ac:dyDescent="0.3">
      <c r="B34">
        <f>B12*([2]csvD!B12-[2]csvL!B12)</f>
        <v>-0.40797807645010176</v>
      </c>
      <c r="C34">
        <f>C12*([2]csvD!C12-[2]csvL!C12)</f>
        <v>2.3442989642787279E-3</v>
      </c>
      <c r="D34">
        <f>D12*([2]csvD!D12-[2]csvL!D12)</f>
        <v>-0.47039497955140808</v>
      </c>
      <c r="E34">
        <f>E12*([2]csvD!E12-[2]csvL!E12)</f>
        <v>0</v>
      </c>
      <c r="F34">
        <f>F12*([2]csvD!F12-[2]csvL!F12)</f>
        <v>3.6926313771250957E-4</v>
      </c>
      <c r="G34">
        <f>G12*([2]csvD!G12-[2]csvL!G12)</f>
        <v>0</v>
      </c>
      <c r="H34">
        <f>H12*([2]csvD!H12-[2]csvL!H12)</f>
        <v>1.5118402973262387E-3</v>
      </c>
      <c r="I34">
        <f>I12*([2]csvD!I12-[2]csvL!I12)</f>
        <v>7.9442915511583991E-4</v>
      </c>
      <c r="J34">
        <f>J12*([2]csvD!J12-[2]csvL!J12)</f>
        <v>0</v>
      </c>
      <c r="K34">
        <f>K12*([2]csvD!K12-[2]csvL!K12)</f>
        <v>0</v>
      </c>
      <c r="L34">
        <f>L12*([2]csvD!L12-[2]csvL!L12)</f>
        <v>9.099561744740014E-4</v>
      </c>
      <c r="M34">
        <f>M12*([2]csvD!M12-[2]csvL!M12)</f>
        <v>0</v>
      </c>
      <c r="N34">
        <f>N12*([2]csvD!N12-[2]csvL!N12)</f>
        <v>9.8697418737944275E-4</v>
      </c>
      <c r="O34">
        <f>O12*([2]csvD!O12-[2]csvL!O12)</f>
        <v>0</v>
      </c>
      <c r="P34">
        <f>P12*([2]csvD!P12-[2]csvL!P12)</f>
        <v>0</v>
      </c>
      <c r="Q34">
        <f>Q12*([2]csvD!Q12-[2]csvL!Q12)</f>
        <v>0</v>
      </c>
      <c r="R34">
        <f>R12*([2]csvD!R12-[2]csvL!R12)</f>
        <v>0</v>
      </c>
      <c r="S34">
        <f>S12*([2]csvD!S12-[2]csvL!S12)</f>
        <v>0</v>
      </c>
      <c r="T34">
        <f>T12*([2]csvD!T12-[2]csvL!T12)</f>
        <v>0</v>
      </c>
    </row>
    <row r="35" spans="2:20" x14ac:dyDescent="0.3">
      <c r="B35">
        <f>B13*([2]csvD!B13-[2]csvL!B13)</f>
        <v>0</v>
      </c>
      <c r="C35">
        <f>C13*([2]csvD!C13-[2]csvL!C13)</f>
        <v>0</v>
      </c>
      <c r="D35">
        <f>D13*([2]csvD!D13-[2]csvL!D13)</f>
        <v>0</v>
      </c>
      <c r="E35">
        <f>E13*([2]csvD!E13-[2]csvL!E13)</f>
        <v>0</v>
      </c>
      <c r="F35">
        <f>F13*([2]csvD!F13-[2]csvL!F13)</f>
        <v>0</v>
      </c>
      <c r="G35">
        <f>G13*([2]csvD!G13-[2]csvL!G13)</f>
        <v>0</v>
      </c>
      <c r="H35">
        <f>H13*([2]csvD!H13-[2]csvL!H13)</f>
        <v>0</v>
      </c>
      <c r="I35">
        <f>I13*([2]csvD!I13-[2]csvL!I13)</f>
        <v>0</v>
      </c>
      <c r="J35">
        <f>J13*([2]csvD!J13-[2]csvL!J13)</f>
        <v>8.8542477256324005E-4</v>
      </c>
      <c r="K35">
        <f>K13*([2]csvD!K13-[2]csvL!K13)</f>
        <v>0</v>
      </c>
      <c r="L35">
        <f>L13*([2]csvD!L13-[2]csvL!L13)</f>
        <v>0</v>
      </c>
      <c r="M35">
        <f>M13*([2]csvD!M13-[2]csvL!M13)</f>
        <v>0</v>
      </c>
      <c r="N35">
        <f>N13*([2]csvD!N13-[2]csvL!N13)</f>
        <v>0</v>
      </c>
      <c r="O35">
        <f>O13*([2]csvD!O13-[2]csvL!O13)</f>
        <v>0</v>
      </c>
      <c r="P35">
        <f>P13*([2]csvD!P13-[2]csvL!P13)</f>
        <v>0</v>
      </c>
      <c r="Q35">
        <f>Q13*([2]csvD!Q13-[2]csvL!Q13)</f>
        <v>0</v>
      </c>
      <c r="R35">
        <f>R13*([2]csvD!R13-[2]csvL!R13)</f>
        <v>0</v>
      </c>
      <c r="S35">
        <f>S13*([2]csvD!S13-[2]csvL!S13)</f>
        <v>0</v>
      </c>
      <c r="T35">
        <f>T13*([2]csvD!T13-[2]csvL!T13)</f>
        <v>0</v>
      </c>
    </row>
    <row r="36" spans="2:20" x14ac:dyDescent="0.3">
      <c r="B36">
        <f>B14*([2]csvD!B14-[2]csvL!B14)</f>
        <v>0</v>
      </c>
      <c r="C36">
        <f>C14*([2]csvD!C14-[2]csvL!C14)</f>
        <v>0</v>
      </c>
      <c r="D36">
        <f>D14*([2]csvD!D14-[2]csvL!D14)</f>
        <v>0</v>
      </c>
      <c r="E36">
        <f>E14*([2]csvD!E14-[2]csvL!E14)</f>
        <v>0</v>
      </c>
      <c r="F36">
        <f>F14*([2]csvD!F14-[2]csvL!F14)</f>
        <v>0</v>
      </c>
      <c r="G36">
        <f>G14*([2]csvD!G14-[2]csvL!G14)</f>
        <v>0</v>
      </c>
      <c r="H36">
        <f>H14*([2]csvD!H14-[2]csvL!H14)</f>
        <v>0</v>
      </c>
      <c r="I36">
        <f>I14*([2]csvD!I14-[2]csvL!I14)</f>
        <v>0</v>
      </c>
      <c r="J36">
        <f>J14*([2]csvD!J14-[2]csvL!J14)</f>
        <v>0</v>
      </c>
      <c r="K36">
        <f>K14*([2]csvD!K14-[2]csvL!K14)</f>
        <v>0</v>
      </c>
      <c r="L36">
        <f>L14*([2]csvD!L14-[2]csvL!L14)</f>
        <v>0</v>
      </c>
      <c r="M36">
        <f>M14*([2]csvD!M14-[2]csvL!M14)</f>
        <v>1.0534384029160812E-3</v>
      </c>
      <c r="N36">
        <f>N14*([2]csvD!N14-[2]csvL!N14)</f>
        <v>0</v>
      </c>
      <c r="O36">
        <f>O14*([2]csvD!O14-[2]csvL!O14)</f>
        <v>0</v>
      </c>
      <c r="P36">
        <f>P14*([2]csvD!P14-[2]csvL!P14)</f>
        <v>0</v>
      </c>
      <c r="Q36">
        <f>Q14*([2]csvD!Q14-[2]csvL!Q14)</f>
        <v>0</v>
      </c>
      <c r="R36">
        <f>R14*([2]csvD!R14-[2]csvL!R14)</f>
        <v>0</v>
      </c>
      <c r="S36">
        <f>S14*([2]csvD!S14-[2]csvL!S14)</f>
        <v>0</v>
      </c>
      <c r="T36">
        <f>T14*([2]csvD!T14-[2]csvL!T14)</f>
        <v>0</v>
      </c>
    </row>
    <row r="37" spans="2:20" x14ac:dyDescent="0.3">
      <c r="B37">
        <f>B15*([2]csvD!B15-[2]csvL!B15)</f>
        <v>0</v>
      </c>
      <c r="C37">
        <f>C15*([2]csvD!C15-[2]csvL!C15)</f>
        <v>0</v>
      </c>
      <c r="D37">
        <f>D15*([2]csvD!D15-[2]csvL!D15)</f>
        <v>0</v>
      </c>
      <c r="E37">
        <f>E15*([2]csvD!E15-[2]csvL!E15)</f>
        <v>0</v>
      </c>
      <c r="F37">
        <f>F15*([2]csvD!F15-[2]csvL!F15)</f>
        <v>0</v>
      </c>
      <c r="G37">
        <f>G15*([2]csvD!G15-[2]csvL!G15)</f>
        <v>0</v>
      </c>
      <c r="H37">
        <f>H15*([2]csvD!H15-[2]csvL!H15)</f>
        <v>0</v>
      </c>
      <c r="I37">
        <f>I15*([2]csvD!I15-[2]csvL!I15)</f>
        <v>0</v>
      </c>
      <c r="J37">
        <f>J15*([2]csvD!J15-[2]csvL!J15)</f>
        <v>0</v>
      </c>
      <c r="K37">
        <f>K15*([2]csvD!K15-[2]csvL!K15)</f>
        <v>0</v>
      </c>
      <c r="L37">
        <f>L15*([2]csvD!L15-[2]csvL!L15)</f>
        <v>1.0674160074580403E-3</v>
      </c>
      <c r="M37">
        <f>M15*([2]csvD!M15-[2]csvL!M15)</f>
        <v>0</v>
      </c>
      <c r="N37">
        <f>N15*([2]csvD!N15-[2]csvL!N15)</f>
        <v>1.1444340203634815E-3</v>
      </c>
      <c r="O37">
        <f>O15*([2]csvD!O15-[2]csvL!O15)</f>
        <v>0</v>
      </c>
      <c r="P37">
        <f>P15*([2]csvD!P15-[2]csvL!P15)</f>
        <v>0</v>
      </c>
      <c r="Q37">
        <f>Q15*([2]csvD!Q15-[2]csvL!Q15)</f>
        <v>0</v>
      </c>
      <c r="R37">
        <f>R15*([2]csvD!R15-[2]csvL!R15)</f>
        <v>0</v>
      </c>
      <c r="S37">
        <f>S15*([2]csvD!S15-[2]csvL!S15)</f>
        <v>0</v>
      </c>
      <c r="T37">
        <f>T15*([2]csvD!T15-[2]csvL!T15)</f>
        <v>0</v>
      </c>
    </row>
    <row r="38" spans="2:20" x14ac:dyDescent="0.3">
      <c r="B38">
        <f>B16*([2]csvD!B16-[2]csvL!B16)</f>
        <v>0</v>
      </c>
      <c r="C38">
        <f>C16*([2]csvD!C16-[2]csvL!C16)</f>
        <v>5.594605093886788E-3</v>
      </c>
      <c r="D38">
        <f>D16*([2]csvD!D16-[2]csvL!D16)</f>
        <v>0</v>
      </c>
      <c r="E38">
        <f>E16*([2]csvD!E16-[2]csvL!E16)</f>
        <v>0</v>
      </c>
      <c r="F38">
        <f>F16*([2]csvD!F16-[2]csvL!F16)</f>
        <v>0</v>
      </c>
      <c r="G38">
        <f>G16*([2]csvD!G16-[2]csvL!G16)</f>
        <v>0</v>
      </c>
      <c r="H38">
        <f>H16*([2]csvD!H16-[2]csvL!H16)</f>
        <v>0</v>
      </c>
      <c r="I38">
        <f>I16*([2]csvD!I16-[2]csvL!I16)</f>
        <v>0</v>
      </c>
      <c r="J38">
        <f>J16*([2]csvD!J16-[2]csvL!J16)</f>
        <v>0</v>
      </c>
      <c r="K38">
        <f>K16*([2]csvD!K16-[2]csvL!K16)</f>
        <v>0</v>
      </c>
      <c r="L38">
        <f>L16*([2]csvD!L16-[2]csvL!L16)</f>
        <v>0</v>
      </c>
      <c r="M38">
        <f>M16*([2]csvD!M16-[2]csvL!M16)</f>
        <v>0</v>
      </c>
      <c r="N38">
        <f>N16*([2]csvD!N16-[2]csvL!N16)</f>
        <v>0</v>
      </c>
      <c r="O38">
        <f>O16*([2]csvD!O16-[2]csvL!O16)</f>
        <v>0</v>
      </c>
      <c r="P38">
        <f>P16*([2]csvD!P16-[2]csvL!P16)</f>
        <v>0</v>
      </c>
      <c r="Q38">
        <f>Q16*([2]csvD!Q16-[2]csvL!Q16)</f>
        <v>0</v>
      </c>
      <c r="R38">
        <f>R16*([2]csvD!R16-[2]csvL!R16)</f>
        <v>0</v>
      </c>
      <c r="S38">
        <f>S16*([2]csvD!S16-[2]csvL!S16)</f>
        <v>0</v>
      </c>
      <c r="T38">
        <f>T16*([2]csvD!T16-[2]csvL!T16)</f>
        <v>0</v>
      </c>
    </row>
    <row r="39" spans="2:20" x14ac:dyDescent="0.3">
      <c r="B39">
        <f>B17*([2]csvD!B17-[2]csvL!B17)</f>
        <v>0</v>
      </c>
      <c r="C39">
        <f>C17*([2]csvD!C17-[2]csvL!C17)</f>
        <v>0</v>
      </c>
      <c r="D39">
        <f>D17*([2]csvD!D17-[2]csvL!D17)</f>
        <v>0</v>
      </c>
      <c r="E39">
        <f>E17*([2]csvD!E17-[2]csvL!E17)</f>
        <v>0</v>
      </c>
      <c r="F39">
        <f>F17*([2]csvD!F17-[2]csvL!F17)</f>
        <v>0</v>
      </c>
      <c r="G39">
        <f>G17*([2]csvD!G17-[2]csvL!G17)</f>
        <v>0</v>
      </c>
      <c r="H39">
        <f>H17*([2]csvD!H17-[2]csvL!H17)</f>
        <v>0</v>
      </c>
      <c r="I39">
        <f>I17*([2]csvD!I17-[2]csvL!I17)</f>
        <v>0</v>
      </c>
      <c r="J39">
        <f>J17*([2]csvD!J17-[2]csvL!J17)</f>
        <v>0</v>
      </c>
      <c r="K39">
        <f>K17*([2]csvD!K17-[2]csvL!K17)</f>
        <v>0</v>
      </c>
      <c r="L39">
        <f>L17*([2]csvD!L17-[2]csvL!L17)</f>
        <v>0</v>
      </c>
      <c r="M39">
        <f>M17*([2]csvD!M17-[2]csvL!M17)</f>
        <v>0</v>
      </c>
      <c r="N39">
        <f>N17*([2]csvD!N17-[2]csvL!N17)</f>
        <v>0</v>
      </c>
      <c r="O39">
        <f>O17*([2]csvD!O17-[2]csvL!O17)</f>
        <v>0</v>
      </c>
      <c r="P39">
        <f>P17*([2]csvD!P17-[2]csvL!P17)</f>
        <v>0</v>
      </c>
      <c r="Q39">
        <f>Q17*([2]csvD!Q17-[2]csvL!Q17)</f>
        <v>0</v>
      </c>
      <c r="R39">
        <f>R17*([2]csvD!R17-[2]csvL!R17)</f>
        <v>0</v>
      </c>
      <c r="S39">
        <f>S17*([2]csvD!S17-[2]csvL!S17)</f>
        <v>0</v>
      </c>
      <c r="T39">
        <f>T17*([2]csvD!T17-[2]csvL!T17)</f>
        <v>0</v>
      </c>
    </row>
    <row r="40" spans="2:20" x14ac:dyDescent="0.3">
      <c r="B40">
        <f>B18*([2]csvD!B18-[2]csvL!B18)</f>
        <v>0</v>
      </c>
      <c r="C40">
        <f>C18*([2]csvD!C18-[2]csvL!C18)</f>
        <v>0</v>
      </c>
      <c r="D40">
        <f>D18*([2]csvD!D18-[2]csvL!D18)</f>
        <v>0</v>
      </c>
      <c r="E40">
        <f>E18*([2]csvD!E18-[2]csvL!E18)</f>
        <v>0</v>
      </c>
      <c r="F40">
        <f>F18*([2]csvD!F18-[2]csvL!F18)</f>
        <v>0</v>
      </c>
      <c r="G40">
        <f>G18*([2]csvD!G18-[2]csvL!G18)</f>
        <v>0</v>
      </c>
      <c r="H40">
        <f>H18*([2]csvD!H18-[2]csvL!H18)</f>
        <v>0</v>
      </c>
      <c r="I40">
        <f>I18*([2]csvD!I18-[2]csvL!I18)</f>
        <v>0</v>
      </c>
      <c r="J40">
        <f>J18*([2]csvD!J18-[2]csvL!J18)</f>
        <v>0</v>
      </c>
      <c r="K40">
        <f>K18*([2]csvD!K18-[2]csvL!K18)</f>
        <v>1.1863668339893588E-3</v>
      </c>
      <c r="L40">
        <f>L18*([2]csvD!L18-[2]csvL!L18)</f>
        <v>0</v>
      </c>
      <c r="M40">
        <f>M18*([2]csvD!M18-[2]csvL!M18)</f>
        <v>0</v>
      </c>
      <c r="N40">
        <f>N18*([2]csvD!N18-[2]csvL!N18)</f>
        <v>0</v>
      </c>
      <c r="O40">
        <f>O18*([2]csvD!O18-[2]csvL!O18)</f>
        <v>0</v>
      </c>
      <c r="P40">
        <f>P18*([2]csvD!P18-[2]csvL!P18)</f>
        <v>0</v>
      </c>
      <c r="Q40">
        <f>Q18*([2]csvD!Q18-[2]csvL!Q18)</f>
        <v>0</v>
      </c>
      <c r="R40">
        <f>R18*([2]csvD!R18-[2]csvL!R18)</f>
        <v>0</v>
      </c>
      <c r="S40">
        <f>S18*([2]csvD!S18-[2]csvL!S18)</f>
        <v>0</v>
      </c>
      <c r="T40">
        <f>T18*([2]csvD!T18-[2]csvL!T18)</f>
        <v>0</v>
      </c>
    </row>
    <row r="41" spans="2:20" x14ac:dyDescent="0.3">
      <c r="B41">
        <f>B19*([2]csvD!B19-[2]csvL!B19)</f>
        <v>0</v>
      </c>
      <c r="C41">
        <f>C19*([2]csvD!C19-[2]csvL!C19)</f>
        <v>0</v>
      </c>
      <c r="D41">
        <f>D19*([2]csvD!D19-[2]csvL!D19)</f>
        <v>0</v>
      </c>
      <c r="E41">
        <f>E19*([2]csvD!E19-[2]csvL!E19)</f>
        <v>0</v>
      </c>
      <c r="F41">
        <f>F19*([2]csvD!F19-[2]csvL!F19)</f>
        <v>0</v>
      </c>
      <c r="G41">
        <f>G19*([2]csvD!G19-[2]csvL!G19)</f>
        <v>0</v>
      </c>
      <c r="H41">
        <f>H19*([2]csvD!H19-[2]csvL!H19)</f>
        <v>0</v>
      </c>
      <c r="I41">
        <f>I19*([2]csvD!I19-[2]csvL!I19)</f>
        <v>0</v>
      </c>
      <c r="J41">
        <f>J19*([2]csvD!J19-[2]csvL!J19)</f>
        <v>0</v>
      </c>
      <c r="K41">
        <f>K19*([2]csvD!K19-[2]csvL!K19)</f>
        <v>0</v>
      </c>
      <c r="L41">
        <f>L19*([2]csvD!L19-[2]csvL!L19)</f>
        <v>0</v>
      </c>
      <c r="M41">
        <f>M19*([2]csvD!M19-[2]csvL!M19)</f>
        <v>0</v>
      </c>
      <c r="N41">
        <f>N19*([2]csvD!N19-[2]csvL!N19)</f>
        <v>0</v>
      </c>
      <c r="O41">
        <f>O19*([2]csvD!O19-[2]csvL!O19)</f>
        <v>0</v>
      </c>
      <c r="P41">
        <f>P19*([2]csvD!P19-[2]csvL!P19)</f>
        <v>0</v>
      </c>
      <c r="Q41">
        <f>Q19*([2]csvD!Q19-[2]csvL!Q19)</f>
        <v>0</v>
      </c>
      <c r="R41">
        <f>R19*([2]csvD!R19-[2]csvL!R19)</f>
        <v>0</v>
      </c>
      <c r="S41">
        <f>S19*([2]csvD!S19-[2]csvL!S19)</f>
        <v>0</v>
      </c>
      <c r="T41">
        <f>T19*([2]csvD!T19-[2]csvL!T19)</f>
        <v>0</v>
      </c>
    </row>
    <row r="42" spans="2:20" x14ac:dyDescent="0.3">
      <c r="B42">
        <f>B20*([2]csvD!B20-[2]csvL!B20)</f>
        <v>0</v>
      </c>
      <c r="C42">
        <f>C20*([2]csvD!C20-[2]csvL!C20)</f>
        <v>0</v>
      </c>
      <c r="D42">
        <f>D20*([2]csvD!D20-[2]csvL!D20)</f>
        <v>0</v>
      </c>
      <c r="E42">
        <f>E20*([2]csvD!E20-[2]csvL!E20)</f>
        <v>0</v>
      </c>
      <c r="F42">
        <f>F20*([2]csvD!F20-[2]csvL!F20)</f>
        <v>0</v>
      </c>
      <c r="G42">
        <f>G20*([2]csvD!G20-[2]csvL!G20)</f>
        <v>0</v>
      </c>
      <c r="H42">
        <f>H20*([2]csvD!H20-[2]csvL!H20)</f>
        <v>0</v>
      </c>
      <c r="I42">
        <f>I20*([2]csvD!I20-[2]csvL!I20)</f>
        <v>0</v>
      </c>
      <c r="J42">
        <f>J20*([2]csvD!J20-[2]csvL!J20)</f>
        <v>0</v>
      </c>
      <c r="K42">
        <f>K20*([2]csvD!K20-[2]csvL!K20)</f>
        <v>0</v>
      </c>
      <c r="L42">
        <f>L20*([2]csvD!L20-[2]csvL!L20)</f>
        <v>0</v>
      </c>
      <c r="M42">
        <f>M20*([2]csvD!M20-[2]csvL!M20)</f>
        <v>0</v>
      </c>
      <c r="N42">
        <f>N20*([2]csvD!N20-[2]csvL!N20)</f>
        <v>0</v>
      </c>
      <c r="O42">
        <f>O20*([2]csvD!O20-[2]csvL!O20)</f>
        <v>0</v>
      </c>
      <c r="P42">
        <f>P20*([2]csvD!P20-[2]csvL!P20)</f>
        <v>0</v>
      </c>
      <c r="Q42">
        <f>Q20*([2]csvD!Q20-[2]csvL!Q20)</f>
        <v>0</v>
      </c>
      <c r="R42">
        <f>R20*([2]csvD!R20-[2]csvL!R20)</f>
        <v>0</v>
      </c>
      <c r="S42">
        <f>S20*([2]csvD!S20-[2]csvL!S20)</f>
        <v>0</v>
      </c>
      <c r="T42">
        <f>T20*([2]csvD!T20-[2]csvL!T20)</f>
        <v>0</v>
      </c>
    </row>
    <row r="43" spans="2:20" x14ac:dyDescent="0.3">
      <c r="B43">
        <f>B21*([2]csvD!B21-[2]csvL!B21)</f>
        <v>0</v>
      </c>
      <c r="C43">
        <f>C21*([2]csvD!C21-[2]csvL!C21)</f>
        <v>0</v>
      </c>
      <c r="D43">
        <f>D21*([2]csvD!D21-[2]csvL!D21)</f>
        <v>0</v>
      </c>
      <c r="E43">
        <f>E21*([2]csvD!E21-[2]csvL!E21)</f>
        <v>0</v>
      </c>
      <c r="F43">
        <f>F21*([2]csvD!F21-[2]csvL!F21)</f>
        <v>0</v>
      </c>
      <c r="G43">
        <f>G21*([2]csvD!G21-[2]csvL!G21)</f>
        <v>0</v>
      </c>
      <c r="H43">
        <f>H21*([2]csvD!H21-[2]csvL!H21)</f>
        <v>0</v>
      </c>
      <c r="I43">
        <f>I21*([2]csvD!I21-[2]csvL!I21)</f>
        <v>0</v>
      </c>
      <c r="J43">
        <f>J21*([2]csvD!J21-[2]csvL!J21)</f>
        <v>0</v>
      </c>
      <c r="K43">
        <f>K21*([2]csvD!K21-[2]csvL!K21)</f>
        <v>0</v>
      </c>
      <c r="L43">
        <f>L21*([2]csvD!L21-[2]csvL!L21)</f>
        <v>0</v>
      </c>
      <c r="M43">
        <f>M21*([2]csvD!M21-[2]csvL!M21)</f>
        <v>0</v>
      </c>
      <c r="N43">
        <f>N21*([2]csvD!N21-[2]csvL!N21)</f>
        <v>0</v>
      </c>
      <c r="O43">
        <f>O21*([2]csvD!O21-[2]csvL!O21)</f>
        <v>0</v>
      </c>
      <c r="P43">
        <f>P21*([2]csvD!P21-[2]csvL!P21)</f>
        <v>0</v>
      </c>
      <c r="Q43">
        <f>Q21*([2]csvD!Q21-[2]csvL!Q21)</f>
        <v>0</v>
      </c>
      <c r="R43">
        <f>R21*([2]csvD!R21-[2]csvL!R21)</f>
        <v>0</v>
      </c>
      <c r="S43">
        <f>S21*([2]csvD!S21-[2]csvL!S21)</f>
        <v>0</v>
      </c>
      <c r="T43">
        <f>T21*([2]csvD!T21-[2]csvL!T21)</f>
        <v>0</v>
      </c>
    </row>
    <row r="44" spans="2:20" x14ac:dyDescent="0.3">
      <c r="B44">
        <f>B22*([2]csvD!B22-[2]csvL!B22)</f>
        <v>0</v>
      </c>
      <c r="C44">
        <f>C22*([2]csvD!C22-[2]csvL!C22)</f>
        <v>3.9364477988411972E-3</v>
      </c>
      <c r="D44">
        <f>D22*([2]csvD!D22-[2]csvL!D22)</f>
        <v>0</v>
      </c>
      <c r="E44">
        <f>E22*([2]csvD!E22-[2]csvL!E22)</f>
        <v>8.4675504718960765E-2</v>
      </c>
      <c r="F44">
        <f>F22*([2]csvD!F22-[2]csvL!F22)</f>
        <v>0</v>
      </c>
      <c r="G44">
        <f>G22*([2]csvD!G22-[2]csvL!G22)</f>
        <v>0</v>
      </c>
      <c r="H44">
        <f>H22*([2]csvD!H22-[2]csvL!H22)</f>
        <v>0</v>
      </c>
      <c r="I44">
        <f>I22*([2]csvD!I22-[2]csvL!I22)</f>
        <v>0</v>
      </c>
      <c r="J44">
        <f>J22*([2]csvD!J22-[2]csvL!J22)</f>
        <v>0</v>
      </c>
      <c r="K44">
        <f>K22*([2]csvD!K22-[2]csvL!K22)</f>
        <v>0</v>
      </c>
      <c r="L44">
        <f>L22*([2]csvD!L22-[2]csvL!L22)</f>
        <v>0</v>
      </c>
      <c r="M44">
        <f>M22*([2]csvD!M22-[2]csvL!M22)</f>
        <v>0</v>
      </c>
      <c r="N44">
        <f>N22*([2]csvD!N22-[2]csvL!N22)</f>
        <v>0</v>
      </c>
      <c r="O44">
        <f>O22*([2]csvD!O22-[2]csvL!O22)</f>
        <v>0</v>
      </c>
      <c r="P44">
        <f>P22*([2]csvD!P22-[2]csvL!P22)</f>
        <v>0</v>
      </c>
      <c r="Q44">
        <f>Q22*([2]csvD!Q22-[2]csvL!Q22)</f>
        <v>0</v>
      </c>
      <c r="R44">
        <f>R22*([2]csvD!R22-[2]csvL!R22)</f>
        <v>0</v>
      </c>
      <c r="S44">
        <f>S22*([2]csvD!S22-[2]csvL!S22)</f>
        <v>0</v>
      </c>
      <c r="T44">
        <f>T22*([2]csvD!T22-[2]csvL!T22)</f>
        <v>0</v>
      </c>
    </row>
    <row r="46" spans="2:20" x14ac:dyDescent="0.3">
      <c r="B46">
        <f>SUM(B24:T44)</f>
        <v>4.8003870692454278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B0090-C4AA-483A-90CA-2FA80631C307}">
  <dimension ref="A1:AV43"/>
  <sheetViews>
    <sheetView topLeftCell="A16" workbookViewId="0">
      <selection activeCell="K34" sqref="K34"/>
    </sheetView>
  </sheetViews>
  <sheetFormatPr defaultRowHeight="13" x14ac:dyDescent="0.3"/>
  <sheetData>
    <row r="1" spans="1:48" x14ac:dyDescent="0.3">
      <c r="A1" t="s">
        <v>31</v>
      </c>
      <c r="V1" t="s">
        <v>32</v>
      </c>
      <c r="W1" t="s">
        <v>36</v>
      </c>
      <c r="X1" t="s">
        <v>35</v>
      </c>
      <c r="Y1" t="s">
        <v>42</v>
      </c>
      <c r="Z1" t="s">
        <v>35</v>
      </c>
      <c r="AA1" t="s">
        <v>41</v>
      </c>
      <c r="AB1" t="s">
        <v>35</v>
      </c>
    </row>
    <row r="2" spans="1:48" x14ac:dyDescent="0.3">
      <c r="B2" s="5">
        <v>0.05</v>
      </c>
      <c r="C2" s="6">
        <f>5%+B2</f>
        <v>0.1</v>
      </c>
      <c r="D2" s="6">
        <f>5%+C2</f>
        <v>0.15000000000000002</v>
      </c>
      <c r="E2" s="6">
        <f t="shared" ref="E2:T2" si="0">5%+D2</f>
        <v>0.2</v>
      </c>
      <c r="F2" s="6">
        <f t="shared" si="0"/>
        <v>0.25</v>
      </c>
      <c r="G2" s="6">
        <f t="shared" si="0"/>
        <v>0.3</v>
      </c>
      <c r="H2" s="6">
        <f t="shared" si="0"/>
        <v>0.35</v>
      </c>
      <c r="I2" s="6">
        <f t="shared" si="0"/>
        <v>0.39999999999999997</v>
      </c>
      <c r="J2" s="6">
        <f t="shared" si="0"/>
        <v>0.44999999999999996</v>
      </c>
      <c r="K2" s="6">
        <f t="shared" si="0"/>
        <v>0.49999999999999994</v>
      </c>
      <c r="L2" s="6">
        <f t="shared" si="0"/>
        <v>0.54999999999999993</v>
      </c>
      <c r="M2" s="6">
        <f t="shared" si="0"/>
        <v>0.6</v>
      </c>
      <c r="N2" s="6">
        <f t="shared" si="0"/>
        <v>0.65</v>
      </c>
      <c r="O2" s="6">
        <f t="shared" si="0"/>
        <v>0.70000000000000007</v>
      </c>
      <c r="P2" s="6">
        <f t="shared" si="0"/>
        <v>0.75000000000000011</v>
      </c>
      <c r="Q2" s="6">
        <f t="shared" si="0"/>
        <v>0.80000000000000016</v>
      </c>
      <c r="R2" s="6">
        <f t="shared" si="0"/>
        <v>0.8500000000000002</v>
      </c>
      <c r="S2" s="6">
        <f t="shared" si="0"/>
        <v>0.90000000000000024</v>
      </c>
      <c r="T2" s="6">
        <f t="shared" si="0"/>
        <v>0.95000000000000029</v>
      </c>
    </row>
    <row r="3" spans="1:48" x14ac:dyDescent="0.3">
      <c r="A3">
        <v>0</v>
      </c>
      <c r="B3">
        <f>emulator!C$7*$A3</f>
        <v>0</v>
      </c>
      <c r="C3">
        <f>emulator!D$7*$A3</f>
        <v>0</v>
      </c>
      <c r="D3">
        <f>emulator!E$7*$A3</f>
        <v>0</v>
      </c>
      <c r="E3">
        <f>emulator!F$7*$A3</f>
        <v>0</v>
      </c>
      <c r="F3">
        <f>emulator!G$7*$A3</f>
        <v>0</v>
      </c>
      <c r="G3">
        <f>emulator!H$7*$A3</f>
        <v>0</v>
      </c>
      <c r="H3">
        <f>emulator!I$7*$A3</f>
        <v>0</v>
      </c>
      <c r="I3">
        <f>emulator!J$7*$A3</f>
        <v>0</v>
      </c>
      <c r="J3">
        <f>emulator!K$7*$A3</f>
        <v>0</v>
      </c>
      <c r="K3">
        <f>emulator!L$7*$A3</f>
        <v>0</v>
      </c>
      <c r="L3">
        <f>emulator!M$7*$A3</f>
        <v>0</v>
      </c>
      <c r="M3">
        <f>emulator!N$7*$A3</f>
        <v>0</v>
      </c>
      <c r="N3">
        <f>emulator!O$7*$A3</f>
        <v>0</v>
      </c>
      <c r="O3">
        <f>emulator!P$7*$A3</f>
        <v>0</v>
      </c>
      <c r="P3">
        <f>emulator!Q$7*$A3</f>
        <v>0</v>
      </c>
      <c r="Q3">
        <f>emulator!R$7*$A3</f>
        <v>0</v>
      </c>
      <c r="R3">
        <f>emulator!S$7*$A3</f>
        <v>0</v>
      </c>
      <c r="S3">
        <f>emulator!T$7*$A3</f>
        <v>0</v>
      </c>
      <c r="T3">
        <f>emulator!U$7*$A3</f>
        <v>0</v>
      </c>
      <c r="V3">
        <f>[2]Sheet2!$BM2</f>
        <v>0.21660506621903247</v>
      </c>
      <c r="W3">
        <f>[2]Sheet2!$BI2</f>
        <v>5.5248618784530384E-2</v>
      </c>
      <c r="X3">
        <f t="shared" ref="X3:X23" si="1">W3-V3</f>
        <v>-0.16135644743450209</v>
      </c>
      <c r="Y3">
        <f>[2]Sheet2!$BQ2</f>
        <v>6.0109289617486336E-2</v>
      </c>
      <c r="Z3">
        <f>Y3-V3</f>
        <v>-0.15649577660154612</v>
      </c>
      <c r="AA3">
        <f>[2]Sheet2!$BS2</f>
        <v>0.20650127332888454</v>
      </c>
      <c r="AB3">
        <f t="shared" ref="AB3:AB23" si="2">AA3-V3</f>
        <v>-1.0103792890147928E-2</v>
      </c>
      <c r="AD3">
        <f>emulator!B$8^2*$A3^2</f>
        <v>0</v>
      </c>
      <c r="AE3">
        <f>emulator!C$8^2*$A3^2</f>
        <v>0</v>
      </c>
      <c r="AF3">
        <f>emulator!D$8^2*$A3^2</f>
        <v>0</v>
      </c>
      <c r="AG3">
        <f>emulator!E$8^2*$A3^2</f>
        <v>0</v>
      </c>
      <c r="AH3">
        <f>emulator!F$8^2*$A3^2</f>
        <v>0</v>
      </c>
      <c r="AI3">
        <f>emulator!G$8^2*$A3^2</f>
        <v>0</v>
      </c>
      <c r="AJ3">
        <f>emulator!H$8^2*$A3^2</f>
        <v>0</v>
      </c>
      <c r="AK3">
        <f>emulator!I$8^2*$A3^2</f>
        <v>0</v>
      </c>
      <c r="AL3">
        <f>emulator!J$8^2*$A3^2</f>
        <v>0</v>
      </c>
      <c r="AM3">
        <f>emulator!K$8^2*$A3^2</f>
        <v>0</v>
      </c>
      <c r="AN3">
        <f>emulator!L$8^2*$A3^2</f>
        <v>0</v>
      </c>
      <c r="AO3">
        <f>emulator!M$8^2*$A3^2</f>
        <v>0</v>
      </c>
      <c r="AP3">
        <f>emulator!N$8^2*$A3^2</f>
        <v>0</v>
      </c>
      <c r="AQ3">
        <f>emulator!O$8^2*$A3^2</f>
        <v>0</v>
      </c>
      <c r="AR3">
        <f>emulator!P$8^2*$A3^2</f>
        <v>0</v>
      </c>
      <c r="AS3">
        <f>emulator!Q$8^2*$A3^2</f>
        <v>0</v>
      </c>
      <c r="AT3">
        <f>emulator!R$8^2*$A3^2</f>
        <v>0</v>
      </c>
      <c r="AU3">
        <f>emulator!S$8^2*$A3^2</f>
        <v>0</v>
      </c>
      <c r="AV3">
        <f>emulator!T$8^2*$A3^2</f>
        <v>0</v>
      </c>
    </row>
    <row r="4" spans="1:48" x14ac:dyDescent="0.3">
      <c r="A4">
        <f>0.5+A3</f>
        <v>0.5</v>
      </c>
      <c r="B4">
        <f>emulator!C$7*$A4</f>
        <v>-7.4349999999999996</v>
      </c>
      <c r="C4">
        <f>emulator!D$7*$A4</f>
        <v>-3.6004999999999998</v>
      </c>
      <c r="D4">
        <f>emulator!E$7*$A4</f>
        <v>-3.6240000000000001</v>
      </c>
      <c r="E4">
        <f>emulator!F$7*$A4</f>
        <v>-10.01</v>
      </c>
      <c r="F4">
        <f>emulator!G$7*$A4</f>
        <v>-13.64</v>
      </c>
      <c r="G4">
        <f>emulator!H$7*$A4</f>
        <v>-16.829999999999998</v>
      </c>
      <c r="H4">
        <f>emulator!I$7*$A4</f>
        <v>-20.635000000000002</v>
      </c>
      <c r="I4">
        <f>emulator!J$7*$A4</f>
        <v>-28.465</v>
      </c>
      <c r="J4">
        <f>emulator!K$7*$A4</f>
        <v>-35.155000000000001</v>
      </c>
      <c r="K4">
        <f>emulator!L$7*$A4</f>
        <v>-37.82</v>
      </c>
      <c r="L4">
        <f>emulator!M$7*$A4</f>
        <v>-42.384999999999998</v>
      </c>
      <c r="M4">
        <f>emulator!N$7*$A4</f>
        <v>-44.21</v>
      </c>
      <c r="N4">
        <f>emulator!O$7*$A4</f>
        <v>-45.65</v>
      </c>
      <c r="O4">
        <f>emulator!P$7*$A4</f>
        <v>-47.7</v>
      </c>
      <c r="P4">
        <f>emulator!Q$7*$A4</f>
        <v>-61.85</v>
      </c>
      <c r="Q4">
        <f>emulator!R$7*$A4</f>
        <v>-73</v>
      </c>
      <c r="R4">
        <f>emulator!S$7*$A4</f>
        <v>-54.7</v>
      </c>
      <c r="S4">
        <f>emulator!T$7*$A4</f>
        <v>-67.849999999999994</v>
      </c>
      <c r="T4">
        <f>emulator!U$7*$A4</f>
        <v>-57.85</v>
      </c>
      <c r="V4">
        <f>[2]Sheet2!$BM3</f>
        <v>5.2490751475342545E-2</v>
      </c>
      <c r="W4">
        <f>[2]Sheet2!$BI3</f>
        <v>0.143646408839779</v>
      </c>
      <c r="X4">
        <f t="shared" si="1"/>
        <v>9.1155657364436454E-2</v>
      </c>
      <c r="Y4">
        <f>[2]Sheet2!$BQ3</f>
        <v>0.13114754098360656</v>
      </c>
      <c r="Z4">
        <f t="shared" ref="Z4:Z23" si="3">Y4-V4</f>
        <v>7.8656789508264019E-2</v>
      </c>
      <c r="AA4">
        <f>[2]Sheet2!$BS3</f>
        <v>0.1559826394427154</v>
      </c>
      <c r="AB4">
        <f t="shared" si="2"/>
        <v>0.10349188796737285</v>
      </c>
      <c r="AD4">
        <f>emulator!B$8^2*$A4^2</f>
        <v>325.983025</v>
      </c>
      <c r="AE4">
        <f>emulator!C$8^2*$A4^2</f>
        <v>7.6812122500000006</v>
      </c>
      <c r="AF4">
        <f>emulator!D$8^2*$A4^2</f>
        <v>19.660356</v>
      </c>
      <c r="AG4">
        <f>emulator!E$8^2*$A4^2</f>
        <v>13.942755999999999</v>
      </c>
      <c r="AH4">
        <f>emulator!F$8^2*$A4^2</f>
        <v>9.1264409999999998</v>
      </c>
      <c r="AI4">
        <f>emulator!G$8^2*$A4^2</f>
        <v>12.623809</v>
      </c>
      <c r="AJ4">
        <f>emulator!H$8^2*$A4^2</f>
        <v>13.155128999999999</v>
      </c>
      <c r="AK4">
        <f>emulator!I$8^2*$A4^2</f>
        <v>24.117920999999996</v>
      </c>
      <c r="AL4">
        <f>emulator!J$8^2*$A4^2</f>
        <v>27.772899999999996</v>
      </c>
      <c r="AM4">
        <f>emulator!K$8^2*$A4^2</f>
        <v>33.988900000000001</v>
      </c>
      <c r="AN4">
        <f>emulator!L$8^2*$A4^2</f>
        <v>47.059600000000003</v>
      </c>
      <c r="AO4">
        <f>emulator!M$8^2*$A4^2</f>
        <v>57.380625000000002</v>
      </c>
      <c r="AP4">
        <f>emulator!N$8^2*$A4^2</f>
        <v>73.273600000000002</v>
      </c>
      <c r="AQ4">
        <f>emulator!O$8^2*$A4^2</f>
        <v>228.61439999999999</v>
      </c>
      <c r="AR4">
        <f>emulator!P$8^2*$A4^2</f>
        <v>450.28839999999997</v>
      </c>
      <c r="AS4">
        <f>emulator!Q$8^2*$A4^2</f>
        <v>852.05610000000013</v>
      </c>
      <c r="AT4">
        <f>emulator!R$8^2*$A4^2</f>
        <v>395.015625</v>
      </c>
      <c r="AU4">
        <f>emulator!S$8^2*$A4^2</f>
        <v>473.28002499999997</v>
      </c>
      <c r="AV4">
        <f>emulator!T$8^2*$A4^2</f>
        <v>2657.4024999999997</v>
      </c>
    </row>
    <row r="5" spans="1:48" x14ac:dyDescent="0.3">
      <c r="A5">
        <f t="shared" ref="A5:A23" si="4">0.5+A4</f>
        <v>1</v>
      </c>
      <c r="B5">
        <f>emulator!C$7*$A5</f>
        <v>-14.87</v>
      </c>
      <c r="C5">
        <f>emulator!D$7*$A5</f>
        <v>-7.2009999999999996</v>
      </c>
      <c r="D5">
        <f>emulator!E$7*$A5</f>
        <v>-7.2480000000000002</v>
      </c>
      <c r="E5">
        <f>emulator!F$7*$A5</f>
        <v>-20.02</v>
      </c>
      <c r="F5">
        <f>emulator!G$7*$A5</f>
        <v>-27.28</v>
      </c>
      <c r="G5">
        <f>emulator!H$7*$A5</f>
        <v>-33.659999999999997</v>
      </c>
      <c r="H5">
        <f>emulator!I$7*$A5</f>
        <v>-41.27</v>
      </c>
      <c r="I5">
        <f>emulator!J$7*$A5</f>
        <v>-56.93</v>
      </c>
      <c r="J5">
        <f>emulator!K$7*$A5</f>
        <v>-70.31</v>
      </c>
      <c r="K5">
        <f>emulator!L$7*$A5</f>
        <v>-75.64</v>
      </c>
      <c r="L5">
        <f>emulator!M$7*$A5</f>
        <v>-84.77</v>
      </c>
      <c r="M5">
        <f>emulator!N$7*$A5</f>
        <v>-88.42</v>
      </c>
      <c r="N5">
        <f>emulator!O$7*$A5</f>
        <v>-91.3</v>
      </c>
      <c r="O5">
        <f>emulator!P$7*$A5</f>
        <v>-95.4</v>
      </c>
      <c r="P5">
        <f>emulator!Q$7*$A5</f>
        <v>-123.7</v>
      </c>
      <c r="Q5">
        <f>emulator!R$7*$A5</f>
        <v>-146</v>
      </c>
      <c r="R5">
        <f>emulator!S$7*$A5</f>
        <v>-109.4</v>
      </c>
      <c r="S5">
        <f>emulator!T$7*$A5</f>
        <v>-135.69999999999999</v>
      </c>
      <c r="T5">
        <f>emulator!U$7*$A5</f>
        <v>-115.7</v>
      </c>
      <c r="V5">
        <f>[2]Sheet2!$BM4</f>
        <v>0.16044046536239923</v>
      </c>
      <c r="W5">
        <f>[2]Sheet2!$BI4</f>
        <v>0.36464088397790057</v>
      </c>
      <c r="X5">
        <f t="shared" si="1"/>
        <v>0.20420041861550134</v>
      </c>
      <c r="Y5">
        <f>[2]Sheet2!$BQ4</f>
        <v>0.36065573770491804</v>
      </c>
      <c r="Z5">
        <f t="shared" si="3"/>
        <v>0.20021527234251882</v>
      </c>
      <c r="AA5">
        <f>[2]Sheet2!$BS4</f>
        <v>0.10777520023647323</v>
      </c>
      <c r="AB5">
        <f t="shared" si="2"/>
        <v>-5.2665265125925995E-2</v>
      </c>
      <c r="AD5">
        <f>emulator!B$8^2*$A5^2</f>
        <v>1303.9321</v>
      </c>
      <c r="AE5">
        <f>emulator!C$8^2*$A5^2</f>
        <v>30.724849000000003</v>
      </c>
      <c r="AF5">
        <f>emulator!D$8^2*$A5^2</f>
        <v>78.641424000000001</v>
      </c>
      <c r="AG5">
        <f>emulator!E$8^2*$A5^2</f>
        <v>55.771023999999997</v>
      </c>
      <c r="AH5">
        <f>emulator!F$8^2*$A5^2</f>
        <v>36.505763999999999</v>
      </c>
      <c r="AI5">
        <f>emulator!G$8^2*$A5^2</f>
        <v>50.495235999999998</v>
      </c>
      <c r="AJ5">
        <f>emulator!H$8^2*$A5^2</f>
        <v>52.620515999999995</v>
      </c>
      <c r="AK5">
        <f>emulator!I$8^2*$A5^2</f>
        <v>96.471683999999982</v>
      </c>
      <c r="AL5">
        <f>emulator!J$8^2*$A5^2</f>
        <v>111.09159999999999</v>
      </c>
      <c r="AM5">
        <f>emulator!K$8^2*$A5^2</f>
        <v>135.9556</v>
      </c>
      <c r="AN5">
        <f>emulator!L$8^2*$A5^2</f>
        <v>188.23840000000001</v>
      </c>
      <c r="AO5">
        <f>emulator!M$8^2*$A5^2</f>
        <v>229.52250000000001</v>
      </c>
      <c r="AP5">
        <f>emulator!N$8^2*$A5^2</f>
        <v>293.09440000000001</v>
      </c>
      <c r="AQ5">
        <f>emulator!O$8^2*$A5^2</f>
        <v>914.45759999999996</v>
      </c>
      <c r="AR5">
        <f>emulator!P$8^2*$A5^2</f>
        <v>1801.1535999999999</v>
      </c>
      <c r="AS5">
        <f>emulator!Q$8^2*$A5^2</f>
        <v>3408.2244000000005</v>
      </c>
      <c r="AT5">
        <f>emulator!R$8^2*$A5^2</f>
        <v>1580.0625</v>
      </c>
      <c r="AU5">
        <f>emulator!S$8^2*$A5^2</f>
        <v>1893.1200999999999</v>
      </c>
      <c r="AV5">
        <f>emulator!T$8^2*$A5^2</f>
        <v>10629.609999999999</v>
      </c>
    </row>
    <row r="6" spans="1:48" x14ac:dyDescent="0.3">
      <c r="A6">
        <f t="shared" si="4"/>
        <v>1.5</v>
      </c>
      <c r="B6">
        <f>emulator!C$7*$A6</f>
        <v>-22.305</v>
      </c>
      <c r="C6">
        <f>emulator!D$7*$A6</f>
        <v>-10.801499999999999</v>
      </c>
      <c r="D6">
        <f>emulator!E$7*$A6</f>
        <v>-10.872</v>
      </c>
      <c r="E6">
        <f>emulator!F$7*$A6</f>
        <v>-30.03</v>
      </c>
      <c r="F6">
        <f>emulator!G$7*$A6</f>
        <v>-40.92</v>
      </c>
      <c r="G6">
        <f>emulator!H$7*$A6</f>
        <v>-50.489999999999995</v>
      </c>
      <c r="H6">
        <f>emulator!I$7*$A6</f>
        <v>-61.905000000000001</v>
      </c>
      <c r="I6">
        <f>emulator!J$7*$A6</f>
        <v>-85.394999999999996</v>
      </c>
      <c r="J6">
        <f>emulator!K$7*$A6</f>
        <v>-105.465</v>
      </c>
      <c r="K6">
        <f>emulator!L$7*$A6</f>
        <v>-113.46000000000001</v>
      </c>
      <c r="L6">
        <f>emulator!M$7*$A6</f>
        <v>-127.155</v>
      </c>
      <c r="M6">
        <f>emulator!N$7*$A6</f>
        <v>-132.63</v>
      </c>
      <c r="N6">
        <f>emulator!O$7*$A6</f>
        <v>-136.94999999999999</v>
      </c>
      <c r="O6">
        <f>emulator!P$7*$A6</f>
        <v>-143.10000000000002</v>
      </c>
      <c r="P6">
        <f>emulator!Q$7*$A6</f>
        <v>-185.55</v>
      </c>
      <c r="Q6">
        <f>emulator!R$7*$A6</f>
        <v>-219</v>
      </c>
      <c r="R6">
        <f>emulator!S$7*$A6</f>
        <v>-164.10000000000002</v>
      </c>
      <c r="S6">
        <f>emulator!T$7*$A6</f>
        <v>-203.54999999999998</v>
      </c>
      <c r="T6">
        <f>emulator!U$7*$A6</f>
        <v>-173.55</v>
      </c>
      <c r="V6">
        <f>[2]Sheet2!$BM5</f>
        <v>0.333916776387227</v>
      </c>
      <c r="W6">
        <f>[2]Sheet2!$BI5</f>
        <v>0.143646408839779</v>
      </c>
      <c r="X6">
        <f t="shared" si="1"/>
        <v>-0.190270367547448</v>
      </c>
      <c r="Y6">
        <f>[2]Sheet2!$BQ5</f>
        <v>0.14754098360655737</v>
      </c>
      <c r="Z6">
        <f t="shared" si="3"/>
        <v>-0.18637579278066962</v>
      </c>
      <c r="AA6">
        <f>[2]Sheet2!$BS5</f>
        <v>0.10675221177780944</v>
      </c>
      <c r="AB6">
        <f t="shared" si="2"/>
        <v>-0.22716456460941756</v>
      </c>
      <c r="AD6">
        <f>emulator!B$8^2*$A6^2</f>
        <v>2933.847225</v>
      </c>
      <c r="AE6">
        <f>emulator!C$8^2*$A6^2</f>
        <v>69.130910249999999</v>
      </c>
      <c r="AF6">
        <f>emulator!D$8^2*$A6^2</f>
        <v>176.94320400000001</v>
      </c>
      <c r="AG6">
        <f>emulator!E$8^2*$A6^2</f>
        <v>125.484804</v>
      </c>
      <c r="AH6">
        <f>emulator!F$8^2*$A6^2</f>
        <v>82.137968999999998</v>
      </c>
      <c r="AI6">
        <f>emulator!G$8^2*$A6^2</f>
        <v>113.61428099999999</v>
      </c>
      <c r="AJ6">
        <f>emulator!H$8^2*$A6^2</f>
        <v>118.39616099999999</v>
      </c>
      <c r="AK6">
        <f>emulator!I$8^2*$A6^2</f>
        <v>217.06128899999996</v>
      </c>
      <c r="AL6">
        <f>emulator!J$8^2*$A6^2</f>
        <v>249.95609999999996</v>
      </c>
      <c r="AM6">
        <f>emulator!K$8^2*$A6^2</f>
        <v>305.90010000000001</v>
      </c>
      <c r="AN6">
        <f>emulator!L$8^2*$A6^2</f>
        <v>423.53640000000001</v>
      </c>
      <c r="AO6">
        <f>emulator!M$8^2*$A6^2</f>
        <v>516.42562499999997</v>
      </c>
      <c r="AP6">
        <f>emulator!N$8^2*$A6^2</f>
        <v>659.4624</v>
      </c>
      <c r="AQ6">
        <f>emulator!O$8^2*$A6^2</f>
        <v>2057.5295999999998</v>
      </c>
      <c r="AR6">
        <f>emulator!P$8^2*$A6^2</f>
        <v>4052.5955999999996</v>
      </c>
      <c r="AS6">
        <f>emulator!Q$8^2*$A6^2</f>
        <v>7668.5049000000008</v>
      </c>
      <c r="AT6">
        <f>emulator!R$8^2*$A6^2</f>
        <v>3555.140625</v>
      </c>
      <c r="AU6">
        <f>emulator!S$8^2*$A6^2</f>
        <v>4259.5202249999993</v>
      </c>
      <c r="AV6">
        <f>emulator!T$8^2*$A6^2</f>
        <v>23916.622499999998</v>
      </c>
    </row>
    <row r="7" spans="1:48" x14ac:dyDescent="0.3">
      <c r="A7">
        <f t="shared" si="4"/>
        <v>2</v>
      </c>
      <c r="B7">
        <f>emulator!C$7*$A7</f>
        <v>-29.74</v>
      </c>
      <c r="C7">
        <f>emulator!D$7*$A7</f>
        <v>-14.401999999999999</v>
      </c>
      <c r="D7">
        <f>emulator!E$7*$A7</f>
        <v>-14.496</v>
      </c>
      <c r="E7">
        <f>emulator!F$7*$A7</f>
        <v>-40.04</v>
      </c>
      <c r="F7">
        <f>emulator!G$7*$A7</f>
        <v>-54.56</v>
      </c>
      <c r="G7">
        <f>emulator!H$7*$A7</f>
        <v>-67.319999999999993</v>
      </c>
      <c r="H7">
        <f>emulator!I$7*$A7</f>
        <v>-82.54</v>
      </c>
      <c r="I7">
        <f>emulator!J$7*$A7</f>
        <v>-113.86</v>
      </c>
      <c r="J7">
        <f>emulator!K$7*$A7</f>
        <v>-140.62</v>
      </c>
      <c r="K7">
        <f>emulator!L$7*$A7</f>
        <v>-151.28</v>
      </c>
      <c r="L7">
        <f>emulator!M$7*$A7</f>
        <v>-169.54</v>
      </c>
      <c r="M7">
        <f>emulator!N$7*$A7</f>
        <v>-176.84</v>
      </c>
      <c r="N7">
        <f>emulator!O$7*$A7</f>
        <v>-182.6</v>
      </c>
      <c r="O7">
        <f>emulator!P$7*$A7</f>
        <v>-190.8</v>
      </c>
      <c r="P7">
        <f>emulator!Q$7*$A7</f>
        <v>-247.4</v>
      </c>
      <c r="Q7">
        <f>emulator!R$7*$A7</f>
        <v>-292</v>
      </c>
      <c r="R7">
        <f>emulator!S$7*$A7</f>
        <v>-218.8</v>
      </c>
      <c r="S7">
        <f>emulator!T$7*$A7</f>
        <v>-271.39999999999998</v>
      </c>
      <c r="T7">
        <f>emulator!U$7*$A7</f>
        <v>-231.4</v>
      </c>
      <c r="V7">
        <f>[2]Sheet2!$BM6</f>
        <v>0.10331053344631316</v>
      </c>
      <c r="W7">
        <f>[2]Sheet2!$BI6</f>
        <v>0.21546961325966851</v>
      </c>
      <c r="X7">
        <f t="shared" si="1"/>
        <v>0.11215907981335535</v>
      </c>
      <c r="Y7">
        <f>[2]Sheet2!$BQ6</f>
        <v>0.22404371584699453</v>
      </c>
      <c r="Z7">
        <f t="shared" si="3"/>
        <v>0.12073318240068137</v>
      </c>
      <c r="AA7">
        <f>[2]Sheet2!$BS6</f>
        <v>9.207337481465469E-2</v>
      </c>
      <c r="AB7">
        <f t="shared" si="2"/>
        <v>-1.1237158631658473E-2</v>
      </c>
      <c r="AD7">
        <f>emulator!B$8^2*$A7^2</f>
        <v>5215.7284</v>
      </c>
      <c r="AE7">
        <f>emulator!C$8^2*$A7^2</f>
        <v>122.89939600000001</v>
      </c>
      <c r="AF7">
        <f>emulator!D$8^2*$A7^2</f>
        <v>314.565696</v>
      </c>
      <c r="AG7">
        <f>emulator!E$8^2*$A7^2</f>
        <v>223.08409599999999</v>
      </c>
      <c r="AH7">
        <f>emulator!F$8^2*$A7^2</f>
        <v>146.023056</v>
      </c>
      <c r="AI7">
        <f>emulator!G$8^2*$A7^2</f>
        <v>201.98094399999999</v>
      </c>
      <c r="AJ7">
        <f>emulator!H$8^2*$A7^2</f>
        <v>210.48206399999998</v>
      </c>
      <c r="AK7">
        <f>emulator!I$8^2*$A7^2</f>
        <v>385.88673599999993</v>
      </c>
      <c r="AL7">
        <f>emulator!J$8^2*$A7^2</f>
        <v>444.36639999999994</v>
      </c>
      <c r="AM7">
        <f>emulator!K$8^2*$A7^2</f>
        <v>543.82240000000002</v>
      </c>
      <c r="AN7">
        <f>emulator!L$8^2*$A7^2</f>
        <v>752.95360000000005</v>
      </c>
      <c r="AO7">
        <f>emulator!M$8^2*$A7^2</f>
        <v>918.09</v>
      </c>
      <c r="AP7">
        <f>emulator!N$8^2*$A7^2</f>
        <v>1172.3776</v>
      </c>
      <c r="AQ7">
        <f>emulator!O$8^2*$A7^2</f>
        <v>3657.8303999999998</v>
      </c>
      <c r="AR7">
        <f>emulator!P$8^2*$A7^2</f>
        <v>7204.6143999999995</v>
      </c>
      <c r="AS7">
        <f>emulator!Q$8^2*$A7^2</f>
        <v>13632.897600000002</v>
      </c>
      <c r="AT7">
        <f>emulator!R$8^2*$A7^2</f>
        <v>6320.25</v>
      </c>
      <c r="AU7">
        <f>emulator!S$8^2*$A7^2</f>
        <v>7572.4803999999995</v>
      </c>
      <c r="AV7">
        <f>emulator!T$8^2*$A7^2</f>
        <v>42518.439999999995</v>
      </c>
    </row>
    <row r="8" spans="1:48" x14ac:dyDescent="0.3">
      <c r="A8">
        <f t="shared" si="4"/>
        <v>2.5</v>
      </c>
      <c r="B8">
        <f>emulator!C$7*$A8</f>
        <v>-37.174999999999997</v>
      </c>
      <c r="C8">
        <f>emulator!D$7*$A8</f>
        <v>-18.002499999999998</v>
      </c>
      <c r="D8">
        <f>emulator!E$7*$A8</f>
        <v>-18.12</v>
      </c>
      <c r="E8">
        <f>emulator!F$7*$A8</f>
        <v>-50.05</v>
      </c>
      <c r="F8">
        <f>emulator!G$7*$A8</f>
        <v>-68.2</v>
      </c>
      <c r="G8">
        <f>emulator!H$7*$A8</f>
        <v>-84.149999999999991</v>
      </c>
      <c r="H8">
        <f>emulator!I$7*$A8</f>
        <v>-103.17500000000001</v>
      </c>
      <c r="I8">
        <f>emulator!J$7*$A8</f>
        <v>-142.32499999999999</v>
      </c>
      <c r="J8">
        <f>emulator!K$7*$A8</f>
        <v>-175.77500000000001</v>
      </c>
      <c r="K8">
        <f>emulator!L$7*$A8</f>
        <v>-189.1</v>
      </c>
      <c r="L8">
        <f>emulator!M$7*$A8</f>
        <v>-211.92499999999998</v>
      </c>
      <c r="M8">
        <f>emulator!N$7*$A8</f>
        <v>-221.05</v>
      </c>
      <c r="N8">
        <f>emulator!O$7*$A8</f>
        <v>-228.25</v>
      </c>
      <c r="O8">
        <f>emulator!P$7*$A8</f>
        <v>-238.5</v>
      </c>
      <c r="P8">
        <f>emulator!Q$7*$A8</f>
        <v>-309.25</v>
      </c>
      <c r="Q8">
        <f>emulator!R$7*$A8</f>
        <v>-365</v>
      </c>
      <c r="R8">
        <f>emulator!S$7*$A8</f>
        <v>-273.5</v>
      </c>
      <c r="S8">
        <f>emulator!T$7*$A8</f>
        <v>-339.25</v>
      </c>
      <c r="T8">
        <f>emulator!U$7*$A8</f>
        <v>-289.25</v>
      </c>
      <c r="V8">
        <f>[2]Sheet2!$BM7</f>
        <v>4.0772257329773536E-3</v>
      </c>
      <c r="W8">
        <f>[2]Sheet2!$BI7</f>
        <v>1.1049723756906077E-2</v>
      </c>
      <c r="X8">
        <f t="shared" si="1"/>
        <v>6.9724980239287233E-3</v>
      </c>
      <c r="Y8">
        <f>[2]Sheet2!$BQ7</f>
        <v>1.6393442622950821E-2</v>
      </c>
      <c r="Z8">
        <f t="shared" si="3"/>
        <v>1.2316216889973468E-2</v>
      </c>
      <c r="AA8">
        <f>[2]Sheet2!$BS7</f>
        <v>6.0656304173955247E-2</v>
      </c>
      <c r="AB8">
        <f t="shared" si="2"/>
        <v>5.6579078440977891E-2</v>
      </c>
      <c r="AD8">
        <f>emulator!B$8^2*$A8^2</f>
        <v>8149.5756249999995</v>
      </c>
      <c r="AE8">
        <f>emulator!C$8^2*$A8^2</f>
        <v>192.03030625000002</v>
      </c>
      <c r="AF8">
        <f>emulator!D$8^2*$A8^2</f>
        <v>491.50889999999998</v>
      </c>
      <c r="AG8">
        <f>emulator!E$8^2*$A8^2</f>
        <v>348.56889999999999</v>
      </c>
      <c r="AH8">
        <f>emulator!F$8^2*$A8^2</f>
        <v>228.161025</v>
      </c>
      <c r="AI8">
        <f>emulator!G$8^2*$A8^2</f>
        <v>315.59522499999997</v>
      </c>
      <c r="AJ8">
        <f>emulator!H$8^2*$A8^2</f>
        <v>328.87822499999999</v>
      </c>
      <c r="AK8">
        <f>emulator!I$8^2*$A8^2</f>
        <v>602.94802499999992</v>
      </c>
      <c r="AL8">
        <f>emulator!J$8^2*$A8^2</f>
        <v>694.32249999999988</v>
      </c>
      <c r="AM8">
        <f>emulator!K$8^2*$A8^2</f>
        <v>849.72250000000008</v>
      </c>
      <c r="AN8">
        <f>emulator!L$8^2*$A8^2</f>
        <v>1176.49</v>
      </c>
      <c r="AO8">
        <f>emulator!M$8^2*$A8^2</f>
        <v>1434.515625</v>
      </c>
      <c r="AP8">
        <f>emulator!N$8^2*$A8^2</f>
        <v>1831.8400000000001</v>
      </c>
      <c r="AQ8">
        <f>emulator!O$8^2*$A8^2</f>
        <v>5715.36</v>
      </c>
      <c r="AR8">
        <f>emulator!P$8^2*$A8^2</f>
        <v>11257.21</v>
      </c>
      <c r="AS8">
        <f>emulator!Q$8^2*$A8^2</f>
        <v>21301.402500000004</v>
      </c>
      <c r="AT8">
        <f>emulator!R$8^2*$A8^2</f>
        <v>9875.390625</v>
      </c>
      <c r="AU8">
        <f>emulator!S$8^2*$A8^2</f>
        <v>11832.000624999999</v>
      </c>
      <c r="AV8">
        <f>emulator!T$8^2*$A8^2</f>
        <v>66435.062499999985</v>
      </c>
    </row>
    <row r="9" spans="1:48" x14ac:dyDescent="0.3">
      <c r="A9">
        <f t="shared" si="4"/>
        <v>3</v>
      </c>
      <c r="B9">
        <f>emulator!C$7*$A9</f>
        <v>-44.61</v>
      </c>
      <c r="C9">
        <f>emulator!D$7*$A9</f>
        <v>-21.602999999999998</v>
      </c>
      <c r="D9">
        <f>emulator!E$7*$A9</f>
        <v>-21.744</v>
      </c>
      <c r="E9">
        <f>emulator!F$7*$A9</f>
        <v>-60.06</v>
      </c>
      <c r="F9">
        <f>emulator!G$7*$A9</f>
        <v>-81.84</v>
      </c>
      <c r="G9">
        <f>emulator!H$7*$A9</f>
        <v>-100.97999999999999</v>
      </c>
      <c r="H9">
        <f>emulator!I$7*$A9</f>
        <v>-123.81</v>
      </c>
      <c r="I9">
        <f>emulator!J$7*$A9</f>
        <v>-170.79</v>
      </c>
      <c r="J9">
        <f>emulator!K$7*$A9</f>
        <v>-210.93</v>
      </c>
      <c r="K9">
        <f>emulator!L$7*$A9</f>
        <v>-226.92000000000002</v>
      </c>
      <c r="L9">
        <f>emulator!M$7*$A9</f>
        <v>-254.31</v>
      </c>
      <c r="M9">
        <f>emulator!N$7*$A9</f>
        <v>-265.26</v>
      </c>
      <c r="N9">
        <f>emulator!O$7*$A9</f>
        <v>-273.89999999999998</v>
      </c>
      <c r="O9">
        <f>emulator!P$7*$A9</f>
        <v>-286.20000000000005</v>
      </c>
      <c r="P9">
        <f>emulator!Q$7*$A9</f>
        <v>-371.1</v>
      </c>
      <c r="Q9">
        <f>emulator!R$7*$A9</f>
        <v>-438</v>
      </c>
      <c r="R9">
        <f>emulator!S$7*$A9</f>
        <v>-328.20000000000005</v>
      </c>
      <c r="S9">
        <f>emulator!T$7*$A9</f>
        <v>-407.09999999999997</v>
      </c>
      <c r="T9">
        <f>emulator!U$7*$A9</f>
        <v>-347.1</v>
      </c>
      <c r="V9">
        <f>[2]Sheet2!$BM8</f>
        <v>0.11523459212754079</v>
      </c>
      <c r="W9">
        <f>[2]Sheet2!$BI8</f>
        <v>3.8674033149171269E-2</v>
      </c>
      <c r="X9">
        <f t="shared" si="1"/>
        <v>-7.6560558978369525E-2</v>
      </c>
      <c r="Y9">
        <f>[2]Sheet2!$BQ8</f>
        <v>3.2786885245901641E-2</v>
      </c>
      <c r="Z9">
        <f t="shared" si="3"/>
        <v>-8.244770688163916E-2</v>
      </c>
      <c r="AA9">
        <f>[2]Sheet2!$BS8</f>
        <v>5.258179676253049E-2</v>
      </c>
      <c r="AB9">
        <f t="shared" si="2"/>
        <v>-6.2652795365010311E-2</v>
      </c>
      <c r="AD9">
        <f>emulator!B$8^2*$A9^2</f>
        <v>11735.3889</v>
      </c>
      <c r="AE9">
        <f>emulator!C$8^2*$A9^2</f>
        <v>276.523641</v>
      </c>
      <c r="AF9">
        <f>emulator!D$8^2*$A9^2</f>
        <v>707.77281600000003</v>
      </c>
      <c r="AG9">
        <f>emulator!E$8^2*$A9^2</f>
        <v>501.93921599999999</v>
      </c>
      <c r="AH9">
        <f>emulator!F$8^2*$A9^2</f>
        <v>328.55187599999999</v>
      </c>
      <c r="AI9">
        <f>emulator!G$8^2*$A9^2</f>
        <v>454.45712399999996</v>
      </c>
      <c r="AJ9">
        <f>emulator!H$8^2*$A9^2</f>
        <v>473.58464399999997</v>
      </c>
      <c r="AK9">
        <f>emulator!I$8^2*$A9^2</f>
        <v>868.24515599999984</v>
      </c>
      <c r="AL9">
        <f>emulator!J$8^2*$A9^2</f>
        <v>999.82439999999986</v>
      </c>
      <c r="AM9">
        <f>emulator!K$8^2*$A9^2</f>
        <v>1223.6004</v>
      </c>
      <c r="AN9">
        <f>emulator!L$8^2*$A9^2</f>
        <v>1694.1456000000001</v>
      </c>
      <c r="AO9">
        <f>emulator!M$8^2*$A9^2</f>
        <v>2065.7024999999999</v>
      </c>
      <c r="AP9">
        <f>emulator!N$8^2*$A9^2</f>
        <v>2637.8496</v>
      </c>
      <c r="AQ9">
        <f>emulator!O$8^2*$A9^2</f>
        <v>8230.1183999999994</v>
      </c>
      <c r="AR9">
        <f>emulator!P$8^2*$A9^2</f>
        <v>16210.382399999999</v>
      </c>
      <c r="AS9">
        <f>emulator!Q$8^2*$A9^2</f>
        <v>30674.019600000003</v>
      </c>
      <c r="AT9">
        <f>emulator!R$8^2*$A9^2</f>
        <v>14220.5625</v>
      </c>
      <c r="AU9">
        <f>emulator!S$8^2*$A9^2</f>
        <v>17038.080899999997</v>
      </c>
      <c r="AV9">
        <f>emulator!T$8^2*$A9^2</f>
        <v>95666.489999999991</v>
      </c>
    </row>
    <row r="10" spans="1:48" x14ac:dyDescent="0.3">
      <c r="A10">
        <f t="shared" si="4"/>
        <v>3.5</v>
      </c>
      <c r="B10">
        <f>emulator!C$7*$A10</f>
        <v>-52.044999999999995</v>
      </c>
      <c r="C10">
        <f>emulator!D$7*$A10</f>
        <v>-25.203499999999998</v>
      </c>
      <c r="D10">
        <f>emulator!E$7*$A10</f>
        <v>-25.368000000000002</v>
      </c>
      <c r="E10">
        <f>emulator!F$7*$A10</f>
        <v>-70.069999999999993</v>
      </c>
      <c r="F10">
        <f>emulator!G$7*$A10</f>
        <v>-95.48</v>
      </c>
      <c r="G10">
        <f>emulator!H$7*$A10</f>
        <v>-117.80999999999999</v>
      </c>
      <c r="H10">
        <f>emulator!I$7*$A10</f>
        <v>-144.44500000000002</v>
      </c>
      <c r="I10">
        <f>emulator!J$7*$A10</f>
        <v>-199.255</v>
      </c>
      <c r="J10">
        <f>emulator!K$7*$A10</f>
        <v>-246.08500000000001</v>
      </c>
      <c r="K10">
        <f>emulator!L$7*$A10</f>
        <v>-264.74</v>
      </c>
      <c r="L10">
        <f>emulator!M$7*$A10</f>
        <v>-296.69499999999999</v>
      </c>
      <c r="M10">
        <f>emulator!N$7*$A10</f>
        <v>-309.47000000000003</v>
      </c>
      <c r="N10">
        <f>emulator!O$7*$A10</f>
        <v>-319.55</v>
      </c>
      <c r="O10">
        <f>emulator!P$7*$A10</f>
        <v>-333.90000000000003</v>
      </c>
      <c r="P10">
        <f>emulator!Q$7*$A10</f>
        <v>-432.95</v>
      </c>
      <c r="Q10">
        <f>emulator!R$7*$A10</f>
        <v>-511</v>
      </c>
      <c r="R10">
        <f>emulator!S$7*$A10</f>
        <v>-382.90000000000003</v>
      </c>
      <c r="S10">
        <f>emulator!T$7*$A10</f>
        <v>-474.94999999999993</v>
      </c>
      <c r="T10">
        <f>emulator!U$7*$A10</f>
        <v>-404.95</v>
      </c>
      <c r="V10">
        <f>[2]Sheet2!$BM9</f>
        <v>2.8403145555572576E-4</v>
      </c>
      <c r="W10">
        <f>[2]Sheet2!$BI9</f>
        <v>0</v>
      </c>
      <c r="X10">
        <f t="shared" si="1"/>
        <v>-2.8403145555572576E-4</v>
      </c>
      <c r="Y10">
        <f>[2]Sheet2!$BQ9</f>
        <v>0</v>
      </c>
      <c r="Z10">
        <f t="shared" si="3"/>
        <v>-2.8403145555572576E-4</v>
      </c>
      <c r="AA10">
        <f>[2]Sheet2!$BS9</f>
        <v>2.4358849521148938E-2</v>
      </c>
      <c r="AB10">
        <f t="shared" si="2"/>
        <v>2.4074818065593213E-2</v>
      </c>
      <c r="AD10">
        <f>emulator!B$8^2*$A10^2</f>
        <v>15973.168224999999</v>
      </c>
      <c r="AE10">
        <f>emulator!C$8^2*$A10^2</f>
        <v>376.37940025</v>
      </c>
      <c r="AF10">
        <f>emulator!D$8^2*$A10^2</f>
        <v>963.35744399999999</v>
      </c>
      <c r="AG10">
        <f>emulator!E$8^2*$A10^2</f>
        <v>683.19504399999994</v>
      </c>
      <c r="AH10">
        <f>emulator!F$8^2*$A10^2</f>
        <v>447.19560899999999</v>
      </c>
      <c r="AI10">
        <f>emulator!G$8^2*$A10^2</f>
        <v>618.566641</v>
      </c>
      <c r="AJ10">
        <f>emulator!H$8^2*$A10^2</f>
        <v>644.60132099999998</v>
      </c>
      <c r="AK10">
        <f>emulator!I$8^2*$A10^2</f>
        <v>1181.7781289999998</v>
      </c>
      <c r="AL10">
        <f>emulator!J$8^2*$A10^2</f>
        <v>1360.8720999999998</v>
      </c>
      <c r="AM10">
        <f>emulator!K$8^2*$A10^2</f>
        <v>1665.4561000000001</v>
      </c>
      <c r="AN10">
        <f>emulator!L$8^2*$A10^2</f>
        <v>2305.9204</v>
      </c>
      <c r="AO10">
        <f>emulator!M$8^2*$A10^2</f>
        <v>2811.6506250000002</v>
      </c>
      <c r="AP10">
        <f>emulator!N$8^2*$A10^2</f>
        <v>3590.4064000000003</v>
      </c>
      <c r="AQ10">
        <f>emulator!O$8^2*$A10^2</f>
        <v>11202.105599999999</v>
      </c>
      <c r="AR10">
        <f>emulator!P$8^2*$A10^2</f>
        <v>22064.131599999997</v>
      </c>
      <c r="AS10">
        <f>emulator!Q$8^2*$A10^2</f>
        <v>41750.748900000006</v>
      </c>
      <c r="AT10">
        <f>emulator!R$8^2*$A10^2</f>
        <v>19355.765625</v>
      </c>
      <c r="AU10">
        <f>emulator!S$8^2*$A10^2</f>
        <v>23190.721224999998</v>
      </c>
      <c r="AV10">
        <f>emulator!T$8^2*$A10^2</f>
        <v>130212.72249999999</v>
      </c>
    </row>
    <row r="11" spans="1:48" x14ac:dyDescent="0.3">
      <c r="A11">
        <f t="shared" si="4"/>
        <v>4</v>
      </c>
      <c r="B11">
        <f>emulator!C$7*$A11</f>
        <v>-59.48</v>
      </c>
      <c r="C11">
        <f>emulator!D$7*$A11</f>
        <v>-28.803999999999998</v>
      </c>
      <c r="D11">
        <f>emulator!E$7*$A11</f>
        <v>-28.992000000000001</v>
      </c>
      <c r="E11">
        <f>emulator!F$7*$A11</f>
        <v>-80.08</v>
      </c>
      <c r="F11">
        <f>emulator!G$7*$A11</f>
        <v>-109.12</v>
      </c>
      <c r="G11">
        <f>emulator!H$7*$A11</f>
        <v>-134.63999999999999</v>
      </c>
      <c r="H11">
        <f>emulator!I$7*$A11</f>
        <v>-165.08</v>
      </c>
      <c r="I11">
        <f>emulator!J$7*$A11</f>
        <v>-227.72</v>
      </c>
      <c r="J11">
        <f>emulator!K$7*$A11</f>
        <v>-281.24</v>
      </c>
      <c r="K11">
        <f>emulator!L$7*$A11</f>
        <v>-302.56</v>
      </c>
      <c r="L11">
        <f>emulator!M$7*$A11</f>
        <v>-339.08</v>
      </c>
      <c r="M11">
        <f>emulator!N$7*$A11</f>
        <v>-353.68</v>
      </c>
      <c r="N11">
        <f>emulator!O$7*$A11</f>
        <v>-365.2</v>
      </c>
      <c r="O11">
        <f>emulator!P$7*$A11</f>
        <v>-381.6</v>
      </c>
      <c r="P11">
        <f>emulator!Q$7*$A11</f>
        <v>-494.8</v>
      </c>
      <c r="Q11">
        <f>emulator!R$7*$A11</f>
        <v>-584</v>
      </c>
      <c r="R11">
        <f>emulator!S$7*$A11</f>
        <v>-437.6</v>
      </c>
      <c r="S11">
        <f>emulator!T$7*$A11</f>
        <v>-542.79999999999995</v>
      </c>
      <c r="T11">
        <f>emulator!U$7*$A11</f>
        <v>-462.8</v>
      </c>
      <c r="V11">
        <f>[2]Sheet2!$BM10</f>
        <v>6.2454029896554285E-3</v>
      </c>
      <c r="W11">
        <f>[2]Sheet2!$BI10</f>
        <v>1.6574585635359115E-2</v>
      </c>
      <c r="X11">
        <f t="shared" si="1"/>
        <v>1.0329182645703688E-2</v>
      </c>
      <c r="Y11">
        <f>[2]Sheet2!$BQ10</f>
        <v>1.6393442622950821E-2</v>
      </c>
      <c r="Z11">
        <f t="shared" si="3"/>
        <v>1.0148039633295393E-2</v>
      </c>
      <c r="AA11">
        <f>[2]Sheet2!$BS10</f>
        <v>4.7541586948976006E-2</v>
      </c>
      <c r="AB11">
        <f t="shared" si="2"/>
        <v>4.1296183959320575E-2</v>
      </c>
      <c r="AD11">
        <f>emulator!B$8^2*$A11^2</f>
        <v>20862.9136</v>
      </c>
      <c r="AE11">
        <f>emulator!C$8^2*$A11^2</f>
        <v>491.59758400000004</v>
      </c>
      <c r="AF11">
        <f>emulator!D$8^2*$A11^2</f>
        <v>1258.262784</v>
      </c>
      <c r="AG11">
        <f>emulator!E$8^2*$A11^2</f>
        <v>892.33638399999995</v>
      </c>
      <c r="AH11">
        <f>emulator!F$8^2*$A11^2</f>
        <v>584.09222399999999</v>
      </c>
      <c r="AI11">
        <f>emulator!G$8^2*$A11^2</f>
        <v>807.92377599999998</v>
      </c>
      <c r="AJ11">
        <f>emulator!H$8^2*$A11^2</f>
        <v>841.92825599999992</v>
      </c>
      <c r="AK11">
        <f>emulator!I$8^2*$A11^2</f>
        <v>1543.5469439999997</v>
      </c>
      <c r="AL11">
        <f>emulator!J$8^2*$A11^2</f>
        <v>1777.4655999999998</v>
      </c>
      <c r="AM11">
        <f>emulator!K$8^2*$A11^2</f>
        <v>2175.2896000000001</v>
      </c>
      <c r="AN11">
        <f>emulator!L$8^2*$A11^2</f>
        <v>3011.8144000000002</v>
      </c>
      <c r="AO11">
        <f>emulator!M$8^2*$A11^2</f>
        <v>3672.36</v>
      </c>
      <c r="AP11">
        <f>emulator!N$8^2*$A11^2</f>
        <v>4689.5104000000001</v>
      </c>
      <c r="AQ11">
        <f>emulator!O$8^2*$A11^2</f>
        <v>14631.321599999999</v>
      </c>
      <c r="AR11">
        <f>emulator!P$8^2*$A11^2</f>
        <v>28818.457599999998</v>
      </c>
      <c r="AS11">
        <f>emulator!Q$8^2*$A11^2</f>
        <v>54531.590400000008</v>
      </c>
      <c r="AT11">
        <f>emulator!R$8^2*$A11^2</f>
        <v>25281</v>
      </c>
      <c r="AU11">
        <f>emulator!S$8^2*$A11^2</f>
        <v>30289.921599999998</v>
      </c>
      <c r="AV11">
        <f>emulator!T$8^2*$A11^2</f>
        <v>170073.75999999998</v>
      </c>
    </row>
    <row r="12" spans="1:48" x14ac:dyDescent="0.3">
      <c r="A12">
        <f t="shared" si="4"/>
        <v>4.5</v>
      </c>
      <c r="B12">
        <f>emulator!C$7*$A12</f>
        <v>-66.914999999999992</v>
      </c>
      <c r="C12">
        <f>emulator!D$7*$A12</f>
        <v>-32.404499999999999</v>
      </c>
      <c r="D12">
        <f>emulator!E$7*$A12</f>
        <v>-32.616</v>
      </c>
      <c r="E12">
        <f>emulator!F$7*$A12</f>
        <v>-90.09</v>
      </c>
      <c r="F12">
        <f>emulator!G$7*$A12</f>
        <v>-122.76</v>
      </c>
      <c r="G12">
        <f>emulator!H$7*$A12</f>
        <v>-151.46999999999997</v>
      </c>
      <c r="H12">
        <f>emulator!I$7*$A12</f>
        <v>-185.715</v>
      </c>
      <c r="I12">
        <f>emulator!J$7*$A12</f>
        <v>-256.185</v>
      </c>
      <c r="J12">
        <f>emulator!K$7*$A12</f>
        <v>-316.39499999999998</v>
      </c>
      <c r="K12">
        <f>emulator!L$7*$A12</f>
        <v>-340.38</v>
      </c>
      <c r="L12">
        <f>emulator!M$7*$A12</f>
        <v>-381.46499999999997</v>
      </c>
      <c r="M12">
        <f>emulator!N$7*$A12</f>
        <v>-397.89</v>
      </c>
      <c r="N12">
        <f>emulator!O$7*$A12</f>
        <v>-410.84999999999997</v>
      </c>
      <c r="O12">
        <f>emulator!P$7*$A12</f>
        <v>-429.3</v>
      </c>
      <c r="P12">
        <f>emulator!Q$7*$A12</f>
        <v>-556.65</v>
      </c>
      <c r="Q12">
        <f>emulator!R$7*$A12</f>
        <v>-657</v>
      </c>
      <c r="R12">
        <f>emulator!S$7*$A12</f>
        <v>-492.3</v>
      </c>
      <c r="S12">
        <f>emulator!T$7*$A12</f>
        <v>-610.65</v>
      </c>
      <c r="T12">
        <f>emulator!U$7*$A12</f>
        <v>-520.65</v>
      </c>
      <c r="V12">
        <f>[2]Sheet2!$BM11</f>
        <v>6.636797865549423E-4</v>
      </c>
      <c r="W12">
        <f>[2]Sheet2!$BI11</f>
        <v>0</v>
      </c>
      <c r="X12">
        <f t="shared" si="1"/>
        <v>-6.636797865549423E-4</v>
      </c>
      <c r="Y12">
        <f>[2]Sheet2!$BQ11</f>
        <v>0</v>
      </c>
      <c r="Z12">
        <f t="shared" si="3"/>
        <v>-6.636797865549423E-4</v>
      </c>
      <c r="AA12">
        <f>[2]Sheet2!$BS11</f>
        <v>2.3330670161911406E-2</v>
      </c>
      <c r="AB12">
        <f t="shared" si="2"/>
        <v>2.2666990375356463E-2</v>
      </c>
      <c r="AD12">
        <f>emulator!B$8^2*$A12^2</f>
        <v>26404.625025000001</v>
      </c>
      <c r="AE12">
        <f>emulator!C$8^2*$A12^2</f>
        <v>622.17819225000005</v>
      </c>
      <c r="AF12">
        <f>emulator!D$8^2*$A12^2</f>
        <v>1592.488836</v>
      </c>
      <c r="AG12">
        <f>emulator!E$8^2*$A12^2</f>
        <v>1129.3632359999999</v>
      </c>
      <c r="AH12">
        <f>emulator!F$8^2*$A12^2</f>
        <v>739.24172099999998</v>
      </c>
      <c r="AI12">
        <f>emulator!G$8^2*$A12^2</f>
        <v>1022.5285289999999</v>
      </c>
      <c r="AJ12">
        <f>emulator!H$8^2*$A12^2</f>
        <v>1065.5654489999999</v>
      </c>
      <c r="AK12">
        <f>emulator!I$8^2*$A12^2</f>
        <v>1953.5516009999997</v>
      </c>
      <c r="AL12">
        <f>emulator!J$8^2*$A12^2</f>
        <v>2249.6048999999998</v>
      </c>
      <c r="AM12">
        <f>emulator!K$8^2*$A12^2</f>
        <v>2753.1008999999999</v>
      </c>
      <c r="AN12">
        <f>emulator!L$8^2*$A12^2</f>
        <v>3811.8276000000001</v>
      </c>
      <c r="AO12">
        <f>emulator!M$8^2*$A12^2</f>
        <v>4647.8306250000005</v>
      </c>
      <c r="AP12">
        <f>emulator!N$8^2*$A12^2</f>
        <v>5935.1616000000004</v>
      </c>
      <c r="AQ12">
        <f>emulator!O$8^2*$A12^2</f>
        <v>18517.7664</v>
      </c>
      <c r="AR12">
        <f>emulator!P$8^2*$A12^2</f>
        <v>36473.360399999998</v>
      </c>
      <c r="AS12">
        <f>emulator!Q$8^2*$A12^2</f>
        <v>69016.544100000014</v>
      </c>
      <c r="AT12">
        <f>emulator!R$8^2*$A12^2</f>
        <v>31996.265625</v>
      </c>
      <c r="AU12">
        <f>emulator!S$8^2*$A12^2</f>
        <v>38335.682024999995</v>
      </c>
      <c r="AV12">
        <f>emulator!T$8^2*$A12^2</f>
        <v>215249.60249999998</v>
      </c>
    </row>
    <row r="13" spans="1:48" x14ac:dyDescent="0.3">
      <c r="A13">
        <f t="shared" si="4"/>
        <v>5</v>
      </c>
      <c r="B13">
        <f>emulator!C$7*$A13</f>
        <v>-74.349999999999994</v>
      </c>
      <c r="C13">
        <f>emulator!D$7*$A13</f>
        <v>-36.004999999999995</v>
      </c>
      <c r="D13">
        <f>emulator!E$7*$A13</f>
        <v>-36.24</v>
      </c>
      <c r="E13">
        <f>emulator!F$7*$A13</f>
        <v>-100.1</v>
      </c>
      <c r="F13">
        <f>emulator!G$7*$A13</f>
        <v>-136.4</v>
      </c>
      <c r="G13">
        <f>emulator!H$7*$A13</f>
        <v>-168.29999999999998</v>
      </c>
      <c r="H13">
        <f>emulator!I$7*$A13</f>
        <v>-206.35000000000002</v>
      </c>
      <c r="I13">
        <f>emulator!J$7*$A13</f>
        <v>-284.64999999999998</v>
      </c>
      <c r="J13">
        <f>emulator!K$7*$A13</f>
        <v>-351.55</v>
      </c>
      <c r="K13">
        <f>emulator!L$7*$A13</f>
        <v>-378.2</v>
      </c>
      <c r="L13">
        <f>emulator!M$7*$A13</f>
        <v>-423.84999999999997</v>
      </c>
      <c r="M13">
        <f>emulator!N$7*$A13</f>
        <v>-442.1</v>
      </c>
      <c r="N13">
        <f>emulator!O$7*$A13</f>
        <v>-456.5</v>
      </c>
      <c r="O13">
        <f>emulator!P$7*$A13</f>
        <v>-477</v>
      </c>
      <c r="P13">
        <f>emulator!Q$7*$A13</f>
        <v>-618.5</v>
      </c>
      <c r="Q13">
        <f>emulator!R$7*$A13</f>
        <v>-730</v>
      </c>
      <c r="R13">
        <f>emulator!S$7*$A13</f>
        <v>-547</v>
      </c>
      <c r="S13">
        <f>emulator!T$7*$A13</f>
        <v>-678.5</v>
      </c>
      <c r="T13">
        <f>emulator!U$7*$A13</f>
        <v>-578.5</v>
      </c>
      <c r="V13">
        <f>[2]Sheet2!$BM12</f>
        <v>3.0317832373421348E-3</v>
      </c>
      <c r="W13">
        <f>[2]Sheet2!$BI12</f>
        <v>1.1049723756906077E-2</v>
      </c>
      <c r="X13">
        <f t="shared" si="1"/>
        <v>8.0179405195639417E-3</v>
      </c>
      <c r="Y13">
        <f>[2]Sheet2!$BQ12</f>
        <v>1.092896174863388E-2</v>
      </c>
      <c r="Z13">
        <f t="shared" si="3"/>
        <v>7.8971785112917445E-3</v>
      </c>
      <c r="AA13">
        <f>[2]Sheet2!$BS12</f>
        <v>3.3899989382825554E-2</v>
      </c>
      <c r="AB13">
        <f t="shared" si="2"/>
        <v>3.0868206145483419E-2</v>
      </c>
      <c r="AD13">
        <f>emulator!B$8^2*$A13^2</f>
        <v>32598.302499999998</v>
      </c>
      <c r="AE13">
        <f>emulator!C$8^2*$A13^2</f>
        <v>768.12122500000009</v>
      </c>
      <c r="AF13">
        <f>emulator!D$8^2*$A13^2</f>
        <v>1966.0355999999999</v>
      </c>
      <c r="AG13">
        <f>emulator!E$8^2*$A13^2</f>
        <v>1394.2755999999999</v>
      </c>
      <c r="AH13">
        <f>emulator!F$8^2*$A13^2</f>
        <v>912.64409999999998</v>
      </c>
      <c r="AI13">
        <f>emulator!G$8^2*$A13^2</f>
        <v>1262.3808999999999</v>
      </c>
      <c r="AJ13">
        <f>emulator!H$8^2*$A13^2</f>
        <v>1315.5128999999999</v>
      </c>
      <c r="AK13">
        <f>emulator!I$8^2*$A13^2</f>
        <v>2411.7920999999997</v>
      </c>
      <c r="AL13">
        <f>emulator!J$8^2*$A13^2</f>
        <v>2777.2899999999995</v>
      </c>
      <c r="AM13">
        <f>emulator!K$8^2*$A13^2</f>
        <v>3398.8900000000003</v>
      </c>
      <c r="AN13">
        <f>emulator!L$8^2*$A13^2</f>
        <v>4705.96</v>
      </c>
      <c r="AO13">
        <f>emulator!M$8^2*$A13^2</f>
        <v>5738.0625</v>
      </c>
      <c r="AP13">
        <f>emulator!N$8^2*$A13^2</f>
        <v>7327.3600000000006</v>
      </c>
      <c r="AQ13">
        <f>emulator!O$8^2*$A13^2</f>
        <v>22861.439999999999</v>
      </c>
      <c r="AR13">
        <f>emulator!P$8^2*$A13^2</f>
        <v>45028.84</v>
      </c>
      <c r="AS13">
        <f>emulator!Q$8^2*$A13^2</f>
        <v>85205.610000000015</v>
      </c>
      <c r="AT13">
        <f>emulator!R$8^2*$A13^2</f>
        <v>39501.5625</v>
      </c>
      <c r="AU13">
        <f>emulator!S$8^2*$A13^2</f>
        <v>47328.002499999995</v>
      </c>
      <c r="AV13">
        <f>emulator!T$8^2*$A13^2</f>
        <v>265740.24999999994</v>
      </c>
    </row>
    <row r="14" spans="1:48" x14ac:dyDescent="0.3">
      <c r="A14">
        <f t="shared" si="4"/>
        <v>5.5</v>
      </c>
      <c r="B14">
        <f>emulator!C$7*$A14</f>
        <v>-81.784999999999997</v>
      </c>
      <c r="C14">
        <f>emulator!D$7*$A14</f>
        <v>-39.605499999999999</v>
      </c>
      <c r="D14">
        <f>emulator!E$7*$A14</f>
        <v>-39.864000000000004</v>
      </c>
      <c r="E14">
        <f>emulator!F$7*$A14</f>
        <v>-110.11</v>
      </c>
      <c r="F14">
        <f>emulator!G$7*$A14</f>
        <v>-150.04000000000002</v>
      </c>
      <c r="G14">
        <f>emulator!H$7*$A14</f>
        <v>-185.13</v>
      </c>
      <c r="H14">
        <f>emulator!I$7*$A14</f>
        <v>-226.98500000000001</v>
      </c>
      <c r="I14">
        <f>emulator!J$7*$A14</f>
        <v>-313.11500000000001</v>
      </c>
      <c r="J14">
        <f>emulator!K$7*$A14</f>
        <v>-386.70500000000004</v>
      </c>
      <c r="K14">
        <f>emulator!L$7*$A14</f>
        <v>-416.02</v>
      </c>
      <c r="L14">
        <f>emulator!M$7*$A14</f>
        <v>-466.23499999999996</v>
      </c>
      <c r="M14">
        <f>emulator!N$7*$A14</f>
        <v>-486.31</v>
      </c>
      <c r="N14">
        <f>emulator!O$7*$A14</f>
        <v>-502.15</v>
      </c>
      <c r="O14">
        <f>emulator!P$7*$A14</f>
        <v>-524.70000000000005</v>
      </c>
      <c r="P14">
        <f>emulator!Q$7*$A14</f>
        <v>-680.35</v>
      </c>
      <c r="Q14">
        <f>emulator!R$7*$A14</f>
        <v>-803</v>
      </c>
      <c r="R14">
        <f>emulator!S$7*$A14</f>
        <v>-601.70000000000005</v>
      </c>
      <c r="S14">
        <f>emulator!T$7*$A14</f>
        <v>-746.34999999999991</v>
      </c>
      <c r="T14">
        <f>emulator!U$7*$A14</f>
        <v>-636.35</v>
      </c>
      <c r="V14">
        <f>[2]Sheet2!$BM13</f>
        <v>0</v>
      </c>
      <c r="W14">
        <f>[2]Sheet2!$BI13</f>
        <v>0</v>
      </c>
      <c r="X14">
        <f t="shared" si="1"/>
        <v>0</v>
      </c>
      <c r="Y14">
        <f>[2]Sheet2!$BQ13</f>
        <v>0</v>
      </c>
      <c r="Z14">
        <f t="shared" si="3"/>
        <v>0</v>
      </c>
      <c r="AA14">
        <f>[2]Sheet2!$BS13</f>
        <v>1.8074267057513648E-2</v>
      </c>
      <c r="AB14">
        <f t="shared" si="2"/>
        <v>1.8074267057513648E-2</v>
      </c>
      <c r="AD14">
        <f>emulator!B$8^2*$A14^2</f>
        <v>39443.946024999997</v>
      </c>
      <c r="AE14">
        <f>emulator!C$8^2*$A14^2</f>
        <v>929.42668225000011</v>
      </c>
      <c r="AF14">
        <f>emulator!D$8^2*$A14^2</f>
        <v>2378.9030760000001</v>
      </c>
      <c r="AG14">
        <f>emulator!E$8^2*$A14^2</f>
        <v>1687.0734759999998</v>
      </c>
      <c r="AH14">
        <f>emulator!F$8^2*$A14^2</f>
        <v>1104.2993609999999</v>
      </c>
      <c r="AI14">
        <f>emulator!G$8^2*$A14^2</f>
        <v>1527.4808889999999</v>
      </c>
      <c r="AJ14">
        <f>emulator!H$8^2*$A14^2</f>
        <v>1591.7706089999999</v>
      </c>
      <c r="AK14">
        <f>emulator!I$8^2*$A14^2</f>
        <v>2918.2684409999993</v>
      </c>
      <c r="AL14">
        <f>emulator!J$8^2*$A14^2</f>
        <v>3360.5208999999995</v>
      </c>
      <c r="AM14">
        <f>emulator!K$8^2*$A14^2</f>
        <v>4112.6569</v>
      </c>
      <c r="AN14">
        <f>emulator!L$8^2*$A14^2</f>
        <v>5694.2116000000005</v>
      </c>
      <c r="AO14">
        <f>emulator!M$8^2*$A14^2</f>
        <v>6943.055625</v>
      </c>
      <c r="AP14">
        <f>emulator!N$8^2*$A14^2</f>
        <v>8866.1056000000008</v>
      </c>
      <c r="AQ14">
        <f>emulator!O$8^2*$A14^2</f>
        <v>27662.342399999998</v>
      </c>
      <c r="AR14">
        <f>emulator!P$8^2*$A14^2</f>
        <v>54484.896399999998</v>
      </c>
      <c r="AS14">
        <f>emulator!Q$8^2*$A14^2</f>
        <v>103098.78810000002</v>
      </c>
      <c r="AT14">
        <f>emulator!R$8^2*$A14^2</f>
        <v>47796.890625</v>
      </c>
      <c r="AU14">
        <f>emulator!S$8^2*$A14^2</f>
        <v>57266.883024999996</v>
      </c>
      <c r="AV14">
        <f>emulator!T$8^2*$A14^2</f>
        <v>321545.70249999996</v>
      </c>
    </row>
    <row r="15" spans="1:48" x14ac:dyDescent="0.3">
      <c r="A15">
        <f t="shared" si="4"/>
        <v>6</v>
      </c>
      <c r="B15">
        <f>emulator!C$7*$A15</f>
        <v>-89.22</v>
      </c>
      <c r="C15">
        <f>emulator!D$7*$A15</f>
        <v>-43.205999999999996</v>
      </c>
      <c r="D15">
        <f>emulator!E$7*$A15</f>
        <v>-43.488</v>
      </c>
      <c r="E15">
        <f>emulator!F$7*$A15</f>
        <v>-120.12</v>
      </c>
      <c r="F15">
        <f>emulator!G$7*$A15</f>
        <v>-163.68</v>
      </c>
      <c r="G15">
        <f>emulator!H$7*$A15</f>
        <v>-201.95999999999998</v>
      </c>
      <c r="H15">
        <f>emulator!I$7*$A15</f>
        <v>-247.62</v>
      </c>
      <c r="I15">
        <f>emulator!J$7*$A15</f>
        <v>-341.58</v>
      </c>
      <c r="J15">
        <f>emulator!K$7*$A15</f>
        <v>-421.86</v>
      </c>
      <c r="K15">
        <f>emulator!L$7*$A15</f>
        <v>-453.84000000000003</v>
      </c>
      <c r="L15">
        <f>emulator!M$7*$A15</f>
        <v>-508.62</v>
      </c>
      <c r="M15">
        <f>emulator!N$7*$A15</f>
        <v>-530.52</v>
      </c>
      <c r="N15">
        <f>emulator!O$7*$A15</f>
        <v>-547.79999999999995</v>
      </c>
      <c r="O15">
        <f>emulator!P$7*$A15</f>
        <v>-572.40000000000009</v>
      </c>
      <c r="P15">
        <f>emulator!Q$7*$A15</f>
        <v>-742.2</v>
      </c>
      <c r="Q15">
        <f>emulator!R$7*$A15</f>
        <v>-876</v>
      </c>
      <c r="R15">
        <f>emulator!S$7*$A15</f>
        <v>-656.40000000000009</v>
      </c>
      <c r="S15">
        <f>emulator!T$7*$A15</f>
        <v>-814.19999999999993</v>
      </c>
      <c r="T15">
        <f>emulator!U$7*$A15</f>
        <v>-694.2</v>
      </c>
      <c r="V15">
        <f>[2]Sheet2!$BM14</f>
        <v>1.896597138710814E-3</v>
      </c>
      <c r="W15">
        <f>[2]Sheet2!$BI14</f>
        <v>0</v>
      </c>
      <c r="X15">
        <f t="shared" si="1"/>
        <v>-1.896597138710814E-3</v>
      </c>
      <c r="Y15">
        <f>[2]Sheet2!$BQ14</f>
        <v>0</v>
      </c>
      <c r="Z15">
        <f t="shared" si="3"/>
        <v>-1.896597138710814E-3</v>
      </c>
      <c r="AA15">
        <f>[2]Sheet2!$BS14</f>
        <v>1.3671115585383134E-2</v>
      </c>
      <c r="AB15">
        <f t="shared" si="2"/>
        <v>1.177451844667232E-2</v>
      </c>
      <c r="AD15">
        <f>emulator!B$8^2*$A15^2</f>
        <v>46941.5556</v>
      </c>
      <c r="AE15">
        <f>emulator!C$8^2*$A15^2</f>
        <v>1106.094564</v>
      </c>
      <c r="AF15">
        <f>emulator!D$8^2*$A15^2</f>
        <v>2831.0912640000001</v>
      </c>
      <c r="AG15">
        <f>emulator!E$8^2*$A15^2</f>
        <v>2007.756864</v>
      </c>
      <c r="AH15">
        <f>emulator!F$8^2*$A15^2</f>
        <v>1314.207504</v>
      </c>
      <c r="AI15">
        <f>emulator!G$8^2*$A15^2</f>
        <v>1817.8284959999999</v>
      </c>
      <c r="AJ15">
        <f>emulator!H$8^2*$A15^2</f>
        <v>1894.3385759999999</v>
      </c>
      <c r="AK15">
        <f>emulator!I$8^2*$A15^2</f>
        <v>3472.9806239999994</v>
      </c>
      <c r="AL15">
        <f>emulator!J$8^2*$A15^2</f>
        <v>3999.2975999999994</v>
      </c>
      <c r="AM15">
        <f>emulator!K$8^2*$A15^2</f>
        <v>4894.4016000000001</v>
      </c>
      <c r="AN15">
        <f>emulator!L$8^2*$A15^2</f>
        <v>6776.5824000000002</v>
      </c>
      <c r="AO15">
        <f>emulator!M$8^2*$A15^2</f>
        <v>8262.81</v>
      </c>
      <c r="AP15">
        <f>emulator!N$8^2*$A15^2</f>
        <v>10551.3984</v>
      </c>
      <c r="AQ15">
        <f>emulator!O$8^2*$A15^2</f>
        <v>32920.473599999998</v>
      </c>
      <c r="AR15">
        <f>emulator!P$8^2*$A15^2</f>
        <v>64841.529599999994</v>
      </c>
      <c r="AS15">
        <f>emulator!Q$8^2*$A15^2</f>
        <v>122696.07840000001</v>
      </c>
      <c r="AT15">
        <f>emulator!R$8^2*$A15^2</f>
        <v>56882.25</v>
      </c>
      <c r="AU15">
        <f>emulator!S$8^2*$A15^2</f>
        <v>68152.323599999989</v>
      </c>
      <c r="AV15">
        <f>emulator!T$8^2*$A15^2</f>
        <v>382665.95999999996</v>
      </c>
    </row>
    <row r="16" spans="1:48" x14ac:dyDescent="0.3">
      <c r="A16">
        <f t="shared" si="4"/>
        <v>6.5</v>
      </c>
      <c r="B16">
        <f>emulator!C$7*$A16</f>
        <v>-96.655000000000001</v>
      </c>
      <c r="C16">
        <f>emulator!D$7*$A16</f>
        <v>-46.8065</v>
      </c>
      <c r="D16">
        <f>emulator!E$7*$A16</f>
        <v>-47.112000000000002</v>
      </c>
      <c r="E16">
        <f>emulator!F$7*$A16</f>
        <v>-130.13</v>
      </c>
      <c r="F16">
        <f>emulator!G$7*$A16</f>
        <v>-177.32</v>
      </c>
      <c r="G16">
        <f>emulator!H$7*$A16</f>
        <v>-218.78999999999996</v>
      </c>
      <c r="H16">
        <f>emulator!I$7*$A16</f>
        <v>-268.255</v>
      </c>
      <c r="I16">
        <f>emulator!J$7*$A16</f>
        <v>-370.04500000000002</v>
      </c>
      <c r="J16">
        <f>emulator!K$7*$A16</f>
        <v>-457.01499999999999</v>
      </c>
      <c r="K16">
        <f>emulator!L$7*$A16</f>
        <v>-491.66</v>
      </c>
      <c r="L16">
        <f>emulator!M$7*$A16</f>
        <v>-551.005</v>
      </c>
      <c r="M16">
        <f>emulator!N$7*$A16</f>
        <v>-574.73</v>
      </c>
      <c r="N16">
        <f>emulator!O$7*$A16</f>
        <v>-593.44999999999993</v>
      </c>
      <c r="O16">
        <f>emulator!P$7*$A16</f>
        <v>-620.1</v>
      </c>
      <c r="P16">
        <f>emulator!Q$7*$A16</f>
        <v>-804.05000000000007</v>
      </c>
      <c r="Q16">
        <f>emulator!R$7*$A16</f>
        <v>-949</v>
      </c>
      <c r="R16">
        <f>emulator!S$7*$A16</f>
        <v>-711.1</v>
      </c>
      <c r="S16">
        <f>emulator!T$7*$A16</f>
        <v>-882.05</v>
      </c>
      <c r="T16">
        <f>emulator!U$7*$A16</f>
        <v>-752.05000000000007</v>
      </c>
      <c r="V16">
        <f>[2]Sheet2!$BM15</f>
        <v>0</v>
      </c>
      <c r="W16">
        <f>[2]Sheet2!$BI15</f>
        <v>0</v>
      </c>
      <c r="X16">
        <f t="shared" si="1"/>
        <v>0</v>
      </c>
      <c r="Y16">
        <f>[2]Sheet2!$BQ15</f>
        <v>0</v>
      </c>
      <c r="Z16">
        <f t="shared" si="3"/>
        <v>0</v>
      </c>
      <c r="AA16">
        <f>[2]Sheet2!$BS15</f>
        <v>1.1654177559425355E-2</v>
      </c>
      <c r="AB16">
        <f t="shared" si="2"/>
        <v>1.1654177559425355E-2</v>
      </c>
      <c r="AD16">
        <f>emulator!B$8^2*$A16^2</f>
        <v>55091.131224999997</v>
      </c>
      <c r="AE16">
        <f>emulator!C$8^2*$A16^2</f>
        <v>1298.1248702500002</v>
      </c>
      <c r="AF16">
        <f>emulator!D$8^2*$A16^2</f>
        <v>3322.6001639999999</v>
      </c>
      <c r="AG16">
        <f>emulator!E$8^2*$A16^2</f>
        <v>2356.3257639999997</v>
      </c>
      <c r="AH16">
        <f>emulator!F$8^2*$A16^2</f>
        <v>1542.3685289999999</v>
      </c>
      <c r="AI16">
        <f>emulator!G$8^2*$A16^2</f>
        <v>2133.4237210000001</v>
      </c>
      <c r="AJ16">
        <f>emulator!H$8^2*$A16^2</f>
        <v>2223.2168009999996</v>
      </c>
      <c r="AK16">
        <f>emulator!I$8^2*$A16^2</f>
        <v>4075.928648999999</v>
      </c>
      <c r="AL16">
        <f>emulator!J$8^2*$A16^2</f>
        <v>4693.6200999999992</v>
      </c>
      <c r="AM16">
        <f>emulator!K$8^2*$A16^2</f>
        <v>5744.1241</v>
      </c>
      <c r="AN16">
        <f>emulator!L$8^2*$A16^2</f>
        <v>7953.0724000000009</v>
      </c>
      <c r="AO16">
        <f>emulator!M$8^2*$A16^2</f>
        <v>9697.3256249999995</v>
      </c>
      <c r="AP16">
        <f>emulator!N$8^2*$A16^2</f>
        <v>12383.2384</v>
      </c>
      <c r="AQ16">
        <f>emulator!O$8^2*$A16^2</f>
        <v>38635.833599999998</v>
      </c>
      <c r="AR16">
        <f>emulator!P$8^2*$A16^2</f>
        <v>76098.739600000001</v>
      </c>
      <c r="AS16">
        <f>emulator!Q$8^2*$A16^2</f>
        <v>143997.48090000002</v>
      </c>
      <c r="AT16">
        <f>emulator!R$8^2*$A16^2</f>
        <v>66757.640625</v>
      </c>
      <c r="AU16">
        <f>emulator!S$8^2*$A16^2</f>
        <v>79984.324224999989</v>
      </c>
      <c r="AV16">
        <f>emulator!T$8^2*$A16^2</f>
        <v>449101.02249999996</v>
      </c>
    </row>
    <row r="17" spans="1:48" x14ac:dyDescent="0.3">
      <c r="A17">
        <f t="shared" si="4"/>
        <v>7</v>
      </c>
      <c r="B17">
        <f>emulator!C$7*$A17</f>
        <v>-104.08999999999999</v>
      </c>
      <c r="C17">
        <f>emulator!D$7*$A17</f>
        <v>-50.406999999999996</v>
      </c>
      <c r="D17">
        <f>emulator!E$7*$A17</f>
        <v>-50.736000000000004</v>
      </c>
      <c r="E17">
        <f>emulator!F$7*$A17</f>
        <v>-140.13999999999999</v>
      </c>
      <c r="F17">
        <f>emulator!G$7*$A17</f>
        <v>-190.96</v>
      </c>
      <c r="G17">
        <f>emulator!H$7*$A17</f>
        <v>-235.61999999999998</v>
      </c>
      <c r="H17">
        <f>emulator!I$7*$A17</f>
        <v>-288.89000000000004</v>
      </c>
      <c r="I17">
        <f>emulator!J$7*$A17</f>
        <v>-398.51</v>
      </c>
      <c r="J17">
        <f>emulator!K$7*$A17</f>
        <v>-492.17</v>
      </c>
      <c r="K17">
        <f>emulator!L$7*$A17</f>
        <v>-529.48</v>
      </c>
      <c r="L17">
        <f>emulator!M$7*$A17</f>
        <v>-593.39</v>
      </c>
      <c r="M17">
        <f>emulator!N$7*$A17</f>
        <v>-618.94000000000005</v>
      </c>
      <c r="N17">
        <f>emulator!O$7*$A17</f>
        <v>-639.1</v>
      </c>
      <c r="O17">
        <f>emulator!P$7*$A17</f>
        <v>-667.80000000000007</v>
      </c>
      <c r="P17">
        <f>emulator!Q$7*$A17</f>
        <v>-865.9</v>
      </c>
      <c r="Q17">
        <f>emulator!R$7*$A17</f>
        <v>-1022</v>
      </c>
      <c r="R17">
        <f>emulator!S$7*$A17</f>
        <v>-765.80000000000007</v>
      </c>
      <c r="S17">
        <f>emulator!T$7*$A17</f>
        <v>-949.89999999999986</v>
      </c>
      <c r="T17">
        <f>emulator!U$7*$A17</f>
        <v>-809.9</v>
      </c>
      <c r="V17">
        <f>[2]Sheet2!$BM16</f>
        <v>6.6438457924862895E-4</v>
      </c>
      <c r="W17">
        <f>[2]Sheet2!$BI16</f>
        <v>0</v>
      </c>
      <c r="X17">
        <f t="shared" si="1"/>
        <v>-6.6438457924862895E-4</v>
      </c>
      <c r="Y17">
        <f>[2]Sheet2!$BQ16</f>
        <v>0</v>
      </c>
      <c r="Z17">
        <f t="shared" si="3"/>
        <v>-6.6438457924862895E-4</v>
      </c>
      <c r="AA17">
        <f>[2]Sheet2!$BS16</f>
        <v>6.9797820935313835E-3</v>
      </c>
      <c r="AB17">
        <f t="shared" si="2"/>
        <v>6.3153975142827548E-3</v>
      </c>
      <c r="AD17">
        <f>emulator!B$8^2*$A17^2</f>
        <v>63892.672899999998</v>
      </c>
      <c r="AE17">
        <f>emulator!C$8^2*$A17^2</f>
        <v>1505.517601</v>
      </c>
      <c r="AF17">
        <f>emulator!D$8^2*$A17^2</f>
        <v>3853.4297759999999</v>
      </c>
      <c r="AG17">
        <f>emulator!E$8^2*$A17^2</f>
        <v>2732.7801759999998</v>
      </c>
      <c r="AH17">
        <f>emulator!F$8^2*$A17^2</f>
        <v>1788.782436</v>
      </c>
      <c r="AI17">
        <f>emulator!G$8^2*$A17^2</f>
        <v>2474.266564</v>
      </c>
      <c r="AJ17">
        <f>emulator!H$8^2*$A17^2</f>
        <v>2578.4052839999999</v>
      </c>
      <c r="AK17">
        <f>emulator!I$8^2*$A17^2</f>
        <v>4727.1125159999992</v>
      </c>
      <c r="AL17">
        <f>emulator!J$8^2*$A17^2</f>
        <v>5443.4883999999993</v>
      </c>
      <c r="AM17">
        <f>emulator!K$8^2*$A17^2</f>
        <v>6661.8244000000004</v>
      </c>
      <c r="AN17">
        <f>emulator!L$8^2*$A17^2</f>
        <v>9223.6815999999999</v>
      </c>
      <c r="AO17">
        <f>emulator!M$8^2*$A17^2</f>
        <v>11246.602500000001</v>
      </c>
      <c r="AP17">
        <f>emulator!N$8^2*$A17^2</f>
        <v>14361.625600000001</v>
      </c>
      <c r="AQ17">
        <f>emulator!O$8^2*$A17^2</f>
        <v>44808.422399999996</v>
      </c>
      <c r="AR17">
        <f>emulator!P$8^2*$A17^2</f>
        <v>88256.526399999988</v>
      </c>
      <c r="AS17">
        <f>emulator!Q$8^2*$A17^2</f>
        <v>167002.99560000002</v>
      </c>
      <c r="AT17">
        <f>emulator!R$8^2*$A17^2</f>
        <v>77423.0625</v>
      </c>
      <c r="AU17">
        <f>emulator!S$8^2*$A17^2</f>
        <v>92762.88489999999</v>
      </c>
      <c r="AV17">
        <f>emulator!T$8^2*$A17^2</f>
        <v>520850.88999999996</v>
      </c>
    </row>
    <row r="18" spans="1:48" x14ac:dyDescent="0.3">
      <c r="A18">
        <f t="shared" si="4"/>
        <v>7.5</v>
      </c>
      <c r="B18">
        <f>emulator!C$7*$A18</f>
        <v>-111.52499999999999</v>
      </c>
      <c r="C18">
        <f>emulator!D$7*$A18</f>
        <v>-54.0075</v>
      </c>
      <c r="D18">
        <f>emulator!E$7*$A18</f>
        <v>-54.36</v>
      </c>
      <c r="E18">
        <f>emulator!F$7*$A18</f>
        <v>-150.15</v>
      </c>
      <c r="F18">
        <f>emulator!G$7*$A18</f>
        <v>-204.60000000000002</v>
      </c>
      <c r="G18">
        <f>emulator!H$7*$A18</f>
        <v>-252.45</v>
      </c>
      <c r="H18">
        <f>emulator!I$7*$A18</f>
        <v>-309.52500000000003</v>
      </c>
      <c r="I18">
        <f>emulator!J$7*$A18</f>
        <v>-426.97500000000002</v>
      </c>
      <c r="J18">
        <f>emulator!K$7*$A18</f>
        <v>-527.32500000000005</v>
      </c>
      <c r="K18">
        <f>emulator!L$7*$A18</f>
        <v>-567.29999999999995</v>
      </c>
      <c r="L18">
        <f>emulator!M$7*$A18</f>
        <v>-635.77499999999998</v>
      </c>
      <c r="M18">
        <f>emulator!N$7*$A18</f>
        <v>-663.15</v>
      </c>
      <c r="N18">
        <f>emulator!O$7*$A18</f>
        <v>-684.75</v>
      </c>
      <c r="O18">
        <f>emulator!P$7*$A18</f>
        <v>-715.5</v>
      </c>
      <c r="P18">
        <f>emulator!Q$7*$A18</f>
        <v>-927.75</v>
      </c>
      <c r="Q18">
        <f>emulator!R$7*$A18</f>
        <v>-1095</v>
      </c>
      <c r="R18">
        <f>emulator!S$7*$A18</f>
        <v>-820.5</v>
      </c>
      <c r="S18">
        <f>emulator!T$7*$A18</f>
        <v>-1017.7499999999999</v>
      </c>
      <c r="T18">
        <f>emulator!U$7*$A18</f>
        <v>-867.75</v>
      </c>
      <c r="V18">
        <f>[2]Sheet2!$BM17</f>
        <v>9.4677151851908586E-5</v>
      </c>
      <c r="W18">
        <f>[2]Sheet2!$BI17</f>
        <v>0</v>
      </c>
      <c r="X18">
        <f t="shared" si="1"/>
        <v>-9.4677151851908586E-5</v>
      </c>
      <c r="Y18">
        <f>[2]Sheet2!$BQ17</f>
        <v>0</v>
      </c>
      <c r="Z18">
        <f t="shared" si="3"/>
        <v>-9.4677151851908586E-5</v>
      </c>
      <c r="AA18">
        <f>[2]Sheet2!$BS17</f>
        <v>9.5526456962406192E-3</v>
      </c>
      <c r="AB18">
        <f t="shared" si="2"/>
        <v>9.4579685443887101E-3</v>
      </c>
      <c r="AD18">
        <f>emulator!B$8^2*$A18^2</f>
        <v>73346.180624999994</v>
      </c>
      <c r="AE18">
        <f>emulator!C$8^2*$A18^2</f>
        <v>1728.2727562500002</v>
      </c>
      <c r="AF18">
        <f>emulator!D$8^2*$A18^2</f>
        <v>4423.5801000000001</v>
      </c>
      <c r="AG18">
        <f>emulator!E$8^2*$A18^2</f>
        <v>3137.1200999999996</v>
      </c>
      <c r="AH18">
        <f>emulator!F$8^2*$A18^2</f>
        <v>2053.4492249999998</v>
      </c>
      <c r="AI18">
        <f>emulator!G$8^2*$A18^2</f>
        <v>2840.3570249999998</v>
      </c>
      <c r="AJ18">
        <f>emulator!H$8^2*$A18^2</f>
        <v>2959.9040249999998</v>
      </c>
      <c r="AK18">
        <f>emulator!I$8^2*$A18^2</f>
        <v>5426.532224999999</v>
      </c>
      <c r="AL18">
        <f>emulator!J$8^2*$A18^2</f>
        <v>6248.9024999999992</v>
      </c>
      <c r="AM18">
        <f>emulator!K$8^2*$A18^2</f>
        <v>7647.5025000000005</v>
      </c>
      <c r="AN18">
        <f>emulator!L$8^2*$A18^2</f>
        <v>10588.41</v>
      </c>
      <c r="AO18">
        <f>emulator!M$8^2*$A18^2</f>
        <v>12910.640625</v>
      </c>
      <c r="AP18">
        <f>emulator!N$8^2*$A18^2</f>
        <v>16486.560000000001</v>
      </c>
      <c r="AQ18">
        <f>emulator!O$8^2*$A18^2</f>
        <v>51438.239999999998</v>
      </c>
      <c r="AR18">
        <f>emulator!P$8^2*$A18^2</f>
        <v>101314.89</v>
      </c>
      <c r="AS18">
        <f>emulator!Q$8^2*$A18^2</f>
        <v>191712.62250000003</v>
      </c>
      <c r="AT18">
        <f>emulator!R$8^2*$A18^2</f>
        <v>88878.515625</v>
      </c>
      <c r="AU18">
        <f>emulator!S$8^2*$A18^2</f>
        <v>106488.00562499999</v>
      </c>
      <c r="AV18">
        <f>emulator!T$8^2*$A18^2</f>
        <v>597915.56249999988</v>
      </c>
    </row>
    <row r="19" spans="1:48" x14ac:dyDescent="0.3">
      <c r="A19">
        <f t="shared" si="4"/>
        <v>8</v>
      </c>
      <c r="B19">
        <f>emulator!C$7*$A19</f>
        <v>-118.96</v>
      </c>
      <c r="C19">
        <f>emulator!D$7*$A19</f>
        <v>-57.607999999999997</v>
      </c>
      <c r="D19">
        <f>emulator!E$7*$A19</f>
        <v>-57.984000000000002</v>
      </c>
      <c r="E19">
        <f>emulator!F$7*$A19</f>
        <v>-160.16</v>
      </c>
      <c r="F19">
        <f>emulator!G$7*$A19</f>
        <v>-218.24</v>
      </c>
      <c r="G19">
        <f>emulator!H$7*$A19</f>
        <v>-269.27999999999997</v>
      </c>
      <c r="H19">
        <f>emulator!I$7*$A19</f>
        <v>-330.16</v>
      </c>
      <c r="I19">
        <f>emulator!J$7*$A19</f>
        <v>-455.44</v>
      </c>
      <c r="J19">
        <f>emulator!K$7*$A19</f>
        <v>-562.48</v>
      </c>
      <c r="K19">
        <f>emulator!L$7*$A19</f>
        <v>-605.12</v>
      </c>
      <c r="L19">
        <f>emulator!M$7*$A19</f>
        <v>-678.16</v>
      </c>
      <c r="M19">
        <f>emulator!N$7*$A19</f>
        <v>-707.36</v>
      </c>
      <c r="N19">
        <f>emulator!O$7*$A19</f>
        <v>-730.4</v>
      </c>
      <c r="O19">
        <f>emulator!P$7*$A19</f>
        <v>-763.2</v>
      </c>
      <c r="P19">
        <f>emulator!Q$7*$A19</f>
        <v>-989.6</v>
      </c>
      <c r="Q19">
        <f>emulator!R$7*$A19</f>
        <v>-1168</v>
      </c>
      <c r="R19">
        <f>emulator!S$7*$A19</f>
        <v>-875.2</v>
      </c>
      <c r="S19">
        <f>emulator!T$7*$A19</f>
        <v>-1085.5999999999999</v>
      </c>
      <c r="T19">
        <f>emulator!U$7*$A19</f>
        <v>-925.6</v>
      </c>
      <c r="V19">
        <f>[2]Sheet2!$BM18</f>
        <v>1.0440329102478455E-3</v>
      </c>
      <c r="W19">
        <f>[2]Sheet2!$BI18</f>
        <v>0</v>
      </c>
      <c r="X19">
        <f t="shared" si="1"/>
        <v>-1.0440329102478455E-3</v>
      </c>
      <c r="Y19">
        <f>[2]Sheet2!$BQ18</f>
        <v>0</v>
      </c>
      <c r="Z19">
        <f t="shared" si="3"/>
        <v>-1.0440329102478455E-3</v>
      </c>
      <c r="AA19">
        <f>[2]Sheet2!$BS18</f>
        <v>1.5835354696955333E-2</v>
      </c>
      <c r="AB19">
        <f t="shared" si="2"/>
        <v>1.4791321786707487E-2</v>
      </c>
      <c r="AD19">
        <f>emulator!B$8^2*$A19^2</f>
        <v>83451.654399999999</v>
      </c>
      <c r="AE19">
        <f>emulator!C$8^2*$A19^2</f>
        <v>1966.3903360000002</v>
      </c>
      <c r="AF19">
        <f>emulator!D$8^2*$A19^2</f>
        <v>5033.051136</v>
      </c>
      <c r="AG19">
        <f>emulator!E$8^2*$A19^2</f>
        <v>3569.3455359999998</v>
      </c>
      <c r="AH19">
        <f>emulator!F$8^2*$A19^2</f>
        <v>2336.3688959999999</v>
      </c>
      <c r="AI19">
        <f>emulator!G$8^2*$A19^2</f>
        <v>3231.6951039999999</v>
      </c>
      <c r="AJ19">
        <f>emulator!H$8^2*$A19^2</f>
        <v>3367.7130239999997</v>
      </c>
      <c r="AK19">
        <f>emulator!I$8^2*$A19^2</f>
        <v>6174.1877759999988</v>
      </c>
      <c r="AL19">
        <f>emulator!J$8^2*$A19^2</f>
        <v>7109.8623999999991</v>
      </c>
      <c r="AM19">
        <f>emulator!K$8^2*$A19^2</f>
        <v>8701.1584000000003</v>
      </c>
      <c r="AN19">
        <f>emulator!L$8^2*$A19^2</f>
        <v>12047.257600000001</v>
      </c>
      <c r="AO19">
        <f>emulator!M$8^2*$A19^2</f>
        <v>14689.44</v>
      </c>
      <c r="AP19">
        <f>emulator!N$8^2*$A19^2</f>
        <v>18758.0416</v>
      </c>
      <c r="AQ19">
        <f>emulator!O$8^2*$A19^2</f>
        <v>58525.286399999997</v>
      </c>
      <c r="AR19">
        <f>emulator!P$8^2*$A19^2</f>
        <v>115273.83039999999</v>
      </c>
      <c r="AS19">
        <f>emulator!Q$8^2*$A19^2</f>
        <v>218126.36160000003</v>
      </c>
      <c r="AT19">
        <f>emulator!R$8^2*$A19^2</f>
        <v>101124</v>
      </c>
      <c r="AU19">
        <f>emulator!S$8^2*$A19^2</f>
        <v>121159.68639999999</v>
      </c>
      <c r="AV19">
        <f>emulator!T$8^2*$A19^2</f>
        <v>680295.03999999992</v>
      </c>
    </row>
    <row r="20" spans="1:48" x14ac:dyDescent="0.3">
      <c r="A20">
        <f t="shared" si="4"/>
        <v>8.5</v>
      </c>
      <c r="B20">
        <f>emulator!C$7*$A20</f>
        <v>-126.395</v>
      </c>
      <c r="C20">
        <f>emulator!D$7*$A20</f>
        <v>-61.208499999999994</v>
      </c>
      <c r="D20">
        <f>emulator!E$7*$A20</f>
        <v>-61.608000000000004</v>
      </c>
      <c r="E20">
        <f>emulator!F$7*$A20</f>
        <v>-170.17</v>
      </c>
      <c r="F20">
        <f>emulator!G$7*$A20</f>
        <v>-231.88</v>
      </c>
      <c r="G20">
        <f>emulator!H$7*$A20</f>
        <v>-286.10999999999996</v>
      </c>
      <c r="H20">
        <f>emulator!I$7*$A20</f>
        <v>-350.79500000000002</v>
      </c>
      <c r="I20">
        <f>emulator!J$7*$A20</f>
        <v>-483.90499999999997</v>
      </c>
      <c r="J20">
        <f>emulator!K$7*$A20</f>
        <v>-597.63499999999999</v>
      </c>
      <c r="K20">
        <f>emulator!L$7*$A20</f>
        <v>-642.94000000000005</v>
      </c>
      <c r="L20">
        <f>emulator!M$7*$A20</f>
        <v>-720.54499999999996</v>
      </c>
      <c r="M20">
        <f>emulator!N$7*$A20</f>
        <v>-751.57</v>
      </c>
      <c r="N20">
        <f>emulator!O$7*$A20</f>
        <v>-776.05</v>
      </c>
      <c r="O20">
        <f>emulator!P$7*$A20</f>
        <v>-810.90000000000009</v>
      </c>
      <c r="P20">
        <f>emulator!Q$7*$A20</f>
        <v>-1051.45</v>
      </c>
      <c r="Q20">
        <f>emulator!R$7*$A20</f>
        <v>-1241</v>
      </c>
      <c r="R20">
        <f>emulator!S$7*$A20</f>
        <v>-929.90000000000009</v>
      </c>
      <c r="S20">
        <f>emulator!T$7*$A20</f>
        <v>-1153.4499999999998</v>
      </c>
      <c r="T20">
        <f>emulator!U$7*$A20</f>
        <v>-983.45</v>
      </c>
      <c r="V20">
        <f>[2]Sheet2!$BM19</f>
        <v>0</v>
      </c>
      <c r="W20">
        <f>[2]Sheet2!$BI19</f>
        <v>0</v>
      </c>
      <c r="X20">
        <f t="shared" si="1"/>
        <v>0</v>
      </c>
      <c r="Y20">
        <f>[2]Sheet2!$BQ19</f>
        <v>0</v>
      </c>
      <c r="Z20">
        <f t="shared" si="3"/>
        <v>0</v>
      </c>
      <c r="AA20">
        <f>[2]Sheet2!$BS19</f>
        <v>4.3905014507064034E-3</v>
      </c>
      <c r="AB20">
        <f t="shared" si="2"/>
        <v>4.3905014507064034E-3</v>
      </c>
      <c r="AD20">
        <f>emulator!B$8^2*$A20^2</f>
        <v>94209.094224999993</v>
      </c>
      <c r="AE20">
        <f>emulator!C$8^2*$A20^2</f>
        <v>2219.87034025</v>
      </c>
      <c r="AF20">
        <f>emulator!D$8^2*$A20^2</f>
        <v>5681.8428839999997</v>
      </c>
      <c r="AG20">
        <f>emulator!E$8^2*$A20^2</f>
        <v>4029.4564839999998</v>
      </c>
      <c r="AH20">
        <f>emulator!F$8^2*$A20^2</f>
        <v>2637.5414489999998</v>
      </c>
      <c r="AI20">
        <f>emulator!G$8^2*$A20^2</f>
        <v>3648.2808009999999</v>
      </c>
      <c r="AJ20">
        <f>emulator!H$8^2*$A20^2</f>
        <v>3801.8322809999995</v>
      </c>
      <c r="AK20">
        <f>emulator!I$8^2*$A20^2</f>
        <v>6970.0791689999987</v>
      </c>
      <c r="AL20">
        <f>emulator!J$8^2*$A20^2</f>
        <v>8026.3680999999988</v>
      </c>
      <c r="AM20">
        <f>emulator!K$8^2*$A20^2</f>
        <v>9822.7921000000006</v>
      </c>
      <c r="AN20">
        <f>emulator!L$8^2*$A20^2</f>
        <v>13600.224400000001</v>
      </c>
      <c r="AO20">
        <f>emulator!M$8^2*$A20^2</f>
        <v>16583.000625000001</v>
      </c>
      <c r="AP20">
        <f>emulator!N$8^2*$A20^2</f>
        <v>21176.070400000001</v>
      </c>
      <c r="AQ20">
        <f>emulator!O$8^2*$A20^2</f>
        <v>66069.561600000001</v>
      </c>
      <c r="AR20">
        <f>emulator!P$8^2*$A20^2</f>
        <v>130133.34759999999</v>
      </c>
      <c r="AS20">
        <f>emulator!Q$8^2*$A20^2</f>
        <v>246244.21290000004</v>
      </c>
      <c r="AT20">
        <f>emulator!R$8^2*$A20^2</f>
        <v>114159.515625</v>
      </c>
      <c r="AU20">
        <f>emulator!S$8^2*$A20^2</f>
        <v>136777.92722499999</v>
      </c>
      <c r="AV20">
        <f>emulator!T$8^2*$A20^2</f>
        <v>767989.32249999989</v>
      </c>
    </row>
    <row r="21" spans="1:48" x14ac:dyDescent="0.3">
      <c r="A21">
        <f t="shared" si="4"/>
        <v>9</v>
      </c>
      <c r="B21">
        <f>emulator!C$7*$A21</f>
        <v>-133.82999999999998</v>
      </c>
      <c r="C21">
        <f>emulator!D$7*$A21</f>
        <v>-64.808999999999997</v>
      </c>
      <c r="D21">
        <f>emulator!E$7*$A21</f>
        <v>-65.231999999999999</v>
      </c>
      <c r="E21">
        <f>emulator!F$7*$A21</f>
        <v>-180.18</v>
      </c>
      <c r="F21">
        <f>emulator!G$7*$A21</f>
        <v>-245.52</v>
      </c>
      <c r="G21">
        <f>emulator!H$7*$A21</f>
        <v>-302.93999999999994</v>
      </c>
      <c r="H21">
        <f>emulator!I$7*$A21</f>
        <v>-371.43</v>
      </c>
      <c r="I21">
        <f>emulator!J$7*$A21</f>
        <v>-512.37</v>
      </c>
      <c r="J21">
        <f>emulator!K$7*$A21</f>
        <v>-632.79</v>
      </c>
      <c r="K21">
        <f>emulator!L$7*$A21</f>
        <v>-680.76</v>
      </c>
      <c r="L21">
        <f>emulator!M$7*$A21</f>
        <v>-762.93</v>
      </c>
      <c r="M21">
        <f>emulator!N$7*$A21</f>
        <v>-795.78</v>
      </c>
      <c r="N21">
        <f>emulator!O$7*$A21</f>
        <v>-821.69999999999993</v>
      </c>
      <c r="O21">
        <f>emulator!P$7*$A21</f>
        <v>-858.6</v>
      </c>
      <c r="P21">
        <f>emulator!Q$7*$A21</f>
        <v>-1113.3</v>
      </c>
      <c r="Q21">
        <f>emulator!R$7*$A21</f>
        <v>-1314</v>
      </c>
      <c r="R21">
        <f>emulator!S$7*$A21</f>
        <v>-984.6</v>
      </c>
      <c r="S21">
        <f>emulator!T$7*$A21</f>
        <v>-1221.3</v>
      </c>
      <c r="T21">
        <f>emulator!U$7*$A21</f>
        <v>-1041.3</v>
      </c>
      <c r="V21">
        <f>[2]Sheet2!$BM20</f>
        <v>0</v>
      </c>
      <c r="W21">
        <f>[2]Sheet2!$BI20</f>
        <v>0</v>
      </c>
      <c r="X21">
        <f t="shared" si="1"/>
        <v>0</v>
      </c>
      <c r="Y21">
        <f>[2]Sheet2!$BQ20</f>
        <v>0</v>
      </c>
      <c r="Z21">
        <f t="shared" si="3"/>
        <v>0</v>
      </c>
      <c r="AA21">
        <f>[2]Sheet2!$BS20</f>
        <v>2.089652788762596E-3</v>
      </c>
      <c r="AB21">
        <f t="shared" si="2"/>
        <v>2.089652788762596E-3</v>
      </c>
      <c r="AD21">
        <f>emulator!B$8^2*$A21^2</f>
        <v>105618.5001</v>
      </c>
      <c r="AE21">
        <f>emulator!C$8^2*$A21^2</f>
        <v>2488.7127690000002</v>
      </c>
      <c r="AF21">
        <f>emulator!D$8^2*$A21^2</f>
        <v>6369.955344</v>
      </c>
      <c r="AG21">
        <f>emulator!E$8^2*$A21^2</f>
        <v>4517.4529439999997</v>
      </c>
      <c r="AH21">
        <f>emulator!F$8^2*$A21^2</f>
        <v>2956.9668839999999</v>
      </c>
      <c r="AI21">
        <f>emulator!G$8^2*$A21^2</f>
        <v>4090.1141159999997</v>
      </c>
      <c r="AJ21">
        <f>emulator!H$8^2*$A21^2</f>
        <v>4262.2617959999998</v>
      </c>
      <c r="AK21">
        <f>emulator!I$8^2*$A21^2</f>
        <v>7814.2064039999987</v>
      </c>
      <c r="AL21">
        <f>emulator!J$8^2*$A21^2</f>
        <v>8998.4195999999993</v>
      </c>
      <c r="AM21">
        <f>emulator!K$8^2*$A21^2</f>
        <v>11012.4036</v>
      </c>
      <c r="AN21">
        <f>emulator!L$8^2*$A21^2</f>
        <v>15247.3104</v>
      </c>
      <c r="AO21">
        <f>emulator!M$8^2*$A21^2</f>
        <v>18591.322500000002</v>
      </c>
      <c r="AP21">
        <f>emulator!N$8^2*$A21^2</f>
        <v>23740.646400000001</v>
      </c>
      <c r="AQ21">
        <f>emulator!O$8^2*$A21^2</f>
        <v>74071.065600000002</v>
      </c>
      <c r="AR21">
        <f>emulator!P$8^2*$A21^2</f>
        <v>145893.44159999999</v>
      </c>
      <c r="AS21">
        <f>emulator!Q$8^2*$A21^2</f>
        <v>276066.17640000005</v>
      </c>
      <c r="AT21">
        <f>emulator!R$8^2*$A21^2</f>
        <v>127985.0625</v>
      </c>
      <c r="AU21">
        <f>emulator!S$8^2*$A21^2</f>
        <v>153342.72809999998</v>
      </c>
      <c r="AV21">
        <f>emulator!T$8^2*$A21^2</f>
        <v>860998.40999999992</v>
      </c>
    </row>
    <row r="22" spans="1:48" x14ac:dyDescent="0.3">
      <c r="A22">
        <f t="shared" si="4"/>
        <v>9.5</v>
      </c>
      <c r="B22">
        <f>emulator!C$7*$A22</f>
        <v>-141.26499999999999</v>
      </c>
      <c r="C22">
        <f>emulator!D$7*$A22</f>
        <v>-68.409499999999994</v>
      </c>
      <c r="D22">
        <f>emulator!E$7*$A22</f>
        <v>-68.856000000000009</v>
      </c>
      <c r="E22">
        <f>emulator!F$7*$A22</f>
        <v>-190.19</v>
      </c>
      <c r="F22">
        <f>emulator!G$7*$A22</f>
        <v>-259.16000000000003</v>
      </c>
      <c r="G22">
        <f>emulator!H$7*$A22</f>
        <v>-319.77</v>
      </c>
      <c r="H22">
        <f>emulator!I$7*$A22</f>
        <v>-392.06500000000005</v>
      </c>
      <c r="I22">
        <f>emulator!J$7*$A22</f>
        <v>-540.83500000000004</v>
      </c>
      <c r="J22">
        <f>emulator!K$7*$A22</f>
        <v>-667.94500000000005</v>
      </c>
      <c r="K22">
        <f>emulator!L$7*$A22</f>
        <v>-718.58</v>
      </c>
      <c r="L22">
        <f>emulator!M$7*$A22</f>
        <v>-805.31499999999994</v>
      </c>
      <c r="M22">
        <f>emulator!N$7*$A22</f>
        <v>-839.99</v>
      </c>
      <c r="N22">
        <f>emulator!O$7*$A22</f>
        <v>-867.35</v>
      </c>
      <c r="O22">
        <f>emulator!P$7*$A22</f>
        <v>-906.30000000000007</v>
      </c>
      <c r="P22">
        <f>emulator!Q$7*$A22</f>
        <v>-1175.1500000000001</v>
      </c>
      <c r="Q22">
        <f>emulator!R$7*$A22</f>
        <v>-1387</v>
      </c>
      <c r="R22">
        <f>emulator!S$7*$A22</f>
        <v>-1039.3</v>
      </c>
      <c r="S22">
        <f>emulator!T$7*$A22</f>
        <v>-1289.1499999999999</v>
      </c>
      <c r="T22">
        <f>emulator!U$7*$A22</f>
        <v>-1099.1500000000001</v>
      </c>
      <c r="V22">
        <f>[2]Sheet2!$BM21</f>
        <v>0</v>
      </c>
      <c r="W22">
        <f>[2]Sheet2!$BI21</f>
        <v>0</v>
      </c>
      <c r="X22">
        <f t="shared" si="1"/>
        <v>0</v>
      </c>
      <c r="Y22">
        <f>[2]Sheet2!$BQ21</f>
        <v>0</v>
      </c>
      <c r="Z22">
        <f t="shared" si="3"/>
        <v>0</v>
      </c>
      <c r="AA22">
        <f>[2]Sheet2!$BS21</f>
        <v>1.3492063648222849E-3</v>
      </c>
      <c r="AB22">
        <f t="shared" si="2"/>
        <v>1.3492063648222849E-3</v>
      </c>
      <c r="AD22">
        <f>emulator!B$8^2*$A22^2</f>
        <v>117679.872025</v>
      </c>
      <c r="AE22">
        <f>emulator!C$8^2*$A22^2</f>
        <v>2772.91762225</v>
      </c>
      <c r="AF22">
        <f>emulator!D$8^2*$A22^2</f>
        <v>7097.388516</v>
      </c>
      <c r="AG22">
        <f>emulator!E$8^2*$A22^2</f>
        <v>5033.3349159999998</v>
      </c>
      <c r="AH22">
        <f>emulator!F$8^2*$A22^2</f>
        <v>3294.6452009999998</v>
      </c>
      <c r="AI22">
        <f>emulator!G$8^2*$A22^2</f>
        <v>4557.1950489999999</v>
      </c>
      <c r="AJ22">
        <f>emulator!H$8^2*$A22^2</f>
        <v>4749.0015689999991</v>
      </c>
      <c r="AK22">
        <f>emulator!I$8^2*$A22^2</f>
        <v>8706.5694809999986</v>
      </c>
      <c r="AL22">
        <f>emulator!J$8^2*$A22^2</f>
        <v>10026.016899999999</v>
      </c>
      <c r="AM22">
        <f>emulator!K$8^2*$A22^2</f>
        <v>12269.992900000001</v>
      </c>
      <c r="AN22">
        <f>emulator!L$8^2*$A22^2</f>
        <v>16988.515600000002</v>
      </c>
      <c r="AO22">
        <f>emulator!M$8^2*$A22^2</f>
        <v>20714.405624999999</v>
      </c>
      <c r="AP22">
        <f>emulator!N$8^2*$A22^2</f>
        <v>26451.7696</v>
      </c>
      <c r="AQ22">
        <f>emulator!O$8^2*$A22^2</f>
        <v>82529.7984</v>
      </c>
      <c r="AR22">
        <f>emulator!P$8^2*$A22^2</f>
        <v>162554.11239999998</v>
      </c>
      <c r="AS22">
        <f>emulator!Q$8^2*$A22^2</f>
        <v>307592.25210000004</v>
      </c>
      <c r="AT22">
        <f>emulator!R$8^2*$A22^2</f>
        <v>142600.640625</v>
      </c>
      <c r="AU22">
        <f>emulator!S$8^2*$A22^2</f>
        <v>170854.08902499999</v>
      </c>
      <c r="AV22">
        <f>emulator!T$8^2*$A22^2</f>
        <v>959322.30249999987</v>
      </c>
    </row>
    <row r="23" spans="1:48" x14ac:dyDescent="0.3">
      <c r="A23">
        <f t="shared" si="4"/>
        <v>10</v>
      </c>
      <c r="B23">
        <f>emulator!C$7*$A23</f>
        <v>-148.69999999999999</v>
      </c>
      <c r="C23">
        <f>emulator!D$7*$A23</f>
        <v>-72.009999999999991</v>
      </c>
      <c r="D23">
        <f>emulator!E$7*$A23</f>
        <v>-72.48</v>
      </c>
      <c r="E23">
        <f>emulator!F$7*$A23</f>
        <v>-200.2</v>
      </c>
      <c r="F23">
        <f>emulator!G$7*$A23</f>
        <v>-272.8</v>
      </c>
      <c r="G23">
        <f>emulator!H$7*$A23</f>
        <v>-336.59999999999997</v>
      </c>
      <c r="H23">
        <f>emulator!I$7*$A23</f>
        <v>-412.70000000000005</v>
      </c>
      <c r="I23">
        <f>emulator!J$7*$A23</f>
        <v>-569.29999999999995</v>
      </c>
      <c r="J23">
        <f>emulator!K$7*$A23</f>
        <v>-703.1</v>
      </c>
      <c r="K23">
        <f>emulator!L$7*$A23</f>
        <v>-756.4</v>
      </c>
      <c r="L23">
        <f>emulator!M$7*$A23</f>
        <v>-847.69999999999993</v>
      </c>
      <c r="M23">
        <f>emulator!N$7*$A23</f>
        <v>-884.2</v>
      </c>
      <c r="N23">
        <f>emulator!O$7*$A23</f>
        <v>-913</v>
      </c>
      <c r="O23">
        <f>emulator!P$7*$A23</f>
        <v>-954</v>
      </c>
      <c r="P23">
        <f>emulator!Q$7*$A23</f>
        <v>-1237</v>
      </c>
      <c r="Q23">
        <f>emulator!R$7*$A23</f>
        <v>-1460</v>
      </c>
      <c r="R23">
        <f>emulator!S$7*$A23</f>
        <v>-1094</v>
      </c>
      <c r="S23">
        <f>emulator!T$7*$A23</f>
        <v>-1357</v>
      </c>
      <c r="T23">
        <f>emulator!U$7*$A23</f>
        <v>-1157</v>
      </c>
      <c r="V23">
        <f>[2]Sheet2!$BM22</f>
        <v>0</v>
      </c>
      <c r="W23">
        <f>[2]Sheet2!$BI22</f>
        <v>0</v>
      </c>
      <c r="X23">
        <f t="shared" si="1"/>
        <v>0</v>
      </c>
      <c r="Y23">
        <f>[2]Sheet2!$BQ22</f>
        <v>0</v>
      </c>
      <c r="Z23">
        <f t="shared" si="3"/>
        <v>0</v>
      </c>
      <c r="AA23">
        <f>[2]Sheet2!$BS22</f>
        <v>4.9494001547742911E-3</v>
      </c>
      <c r="AB23">
        <f t="shared" si="2"/>
        <v>4.9494001547742911E-3</v>
      </c>
      <c r="AD23">
        <f>emulator!B$8^2*$A23^2</f>
        <v>130393.20999999999</v>
      </c>
      <c r="AE23">
        <f>emulator!C$8^2*$A23^2</f>
        <v>3072.4849000000004</v>
      </c>
      <c r="AF23">
        <f>emulator!D$8^2*$A23^2</f>
        <v>7864.1423999999997</v>
      </c>
      <c r="AG23">
        <f>emulator!E$8^2*$A23^2</f>
        <v>5577.1023999999998</v>
      </c>
      <c r="AH23">
        <f>emulator!F$8^2*$A23^2</f>
        <v>3650.5763999999999</v>
      </c>
      <c r="AI23">
        <f>emulator!G$8^2*$A23^2</f>
        <v>5049.5235999999995</v>
      </c>
      <c r="AJ23">
        <f>emulator!H$8^2*$A23^2</f>
        <v>5262.0515999999998</v>
      </c>
      <c r="AK23">
        <f>emulator!I$8^2*$A23^2</f>
        <v>9647.1683999999987</v>
      </c>
      <c r="AL23">
        <f>emulator!J$8^2*$A23^2</f>
        <v>11109.159999999998</v>
      </c>
      <c r="AM23">
        <f>emulator!K$8^2*$A23^2</f>
        <v>13595.560000000001</v>
      </c>
      <c r="AN23">
        <f>emulator!L$8^2*$A23^2</f>
        <v>18823.84</v>
      </c>
      <c r="AO23">
        <f>emulator!M$8^2*$A23^2</f>
        <v>22952.25</v>
      </c>
      <c r="AP23">
        <f>emulator!N$8^2*$A23^2</f>
        <v>29309.440000000002</v>
      </c>
      <c r="AQ23">
        <f>emulator!O$8^2*$A23^2</f>
        <v>91445.759999999995</v>
      </c>
      <c r="AR23">
        <f>emulator!P$8^2*$A23^2</f>
        <v>180115.36</v>
      </c>
      <c r="AS23">
        <f>emulator!Q$8^2*$A23^2</f>
        <v>340822.44000000006</v>
      </c>
      <c r="AT23">
        <f>emulator!R$8^2*$A23^2</f>
        <v>158006.25</v>
      </c>
      <c r="AU23">
        <f>emulator!S$8^2*$A23^2</f>
        <v>189312.00999999998</v>
      </c>
      <c r="AV23">
        <f>emulator!T$8^2*$A23^2</f>
        <v>1062960.9999999998</v>
      </c>
    </row>
    <row r="25" spans="1:48" x14ac:dyDescent="0.3">
      <c r="A25" t="s">
        <v>36</v>
      </c>
      <c r="B25">
        <f t="shared" ref="B25:T25" si="5">SUMPRODUCT(B3:B23,$W3:$W23)</f>
        <v>-20.045745856353591</v>
      </c>
      <c r="C25">
        <f t="shared" si="5"/>
        <v>-9.7074254143646392</v>
      </c>
      <c r="D25">
        <f t="shared" si="5"/>
        <v>-9.7707845303867433</v>
      </c>
      <c r="E25">
        <f t="shared" si="5"/>
        <v>-26.988287292817681</v>
      </c>
      <c r="F25">
        <f t="shared" si="5"/>
        <v>-36.775248618784538</v>
      </c>
      <c r="G25">
        <f t="shared" si="5"/>
        <v>-45.375911602209946</v>
      </c>
      <c r="H25">
        <f t="shared" si="5"/>
        <v>-55.634696132596694</v>
      </c>
      <c r="I25">
        <f t="shared" si="5"/>
        <v>-76.74541436464088</v>
      </c>
      <c r="J25">
        <f t="shared" si="5"/>
        <v>-94.782541436464086</v>
      </c>
      <c r="K25">
        <f t="shared" si="5"/>
        <v>-101.96773480662984</v>
      </c>
      <c r="L25">
        <f t="shared" si="5"/>
        <v>-114.27558011049722</v>
      </c>
      <c r="M25">
        <f t="shared" si="5"/>
        <v>-119.1960220994475</v>
      </c>
      <c r="N25">
        <f t="shared" si="5"/>
        <v>-123.07845303867401</v>
      </c>
      <c r="O25">
        <f t="shared" si="5"/>
        <v>-128.60552486187845</v>
      </c>
      <c r="P25">
        <f t="shared" si="5"/>
        <v>-166.75580110497239</v>
      </c>
      <c r="Q25">
        <f t="shared" si="5"/>
        <v>-196.81767955801104</v>
      </c>
      <c r="R25">
        <f t="shared" si="5"/>
        <v>-147.47845303867402</v>
      </c>
      <c r="S25">
        <f t="shared" si="5"/>
        <v>-182.93259668508284</v>
      </c>
      <c r="T25">
        <f t="shared" si="5"/>
        <v>-155.97127071823209</v>
      </c>
    </row>
    <row r="26" spans="1:48" x14ac:dyDescent="0.3">
      <c r="A26" t="s">
        <v>32</v>
      </c>
      <c r="B26">
        <f t="shared" ref="B26:T26" si="6">SUMPRODUCT(B3:B23,$V3:$V23)</f>
        <v>-19.617882856077483</v>
      </c>
      <c r="C26">
        <f t="shared" si="6"/>
        <v>-9.500226929832813</v>
      </c>
      <c r="D26">
        <f t="shared" si="6"/>
        <v>-9.5622336880194752</v>
      </c>
      <c r="E26">
        <f t="shared" si="6"/>
        <v>-26.412240402062626</v>
      </c>
      <c r="F26">
        <f t="shared" si="6"/>
        <v>-35.990305602810601</v>
      </c>
      <c r="G26">
        <f t="shared" si="6"/>
        <v>-44.407393203467912</v>
      </c>
      <c r="H26">
        <f t="shared" si="6"/>
        <v>-54.447210858797419</v>
      </c>
      <c r="I26">
        <f t="shared" si="6"/>
        <v>-75.107334969501721</v>
      </c>
      <c r="J26">
        <f t="shared" si="6"/>
        <v>-92.759471661789348</v>
      </c>
      <c r="K26">
        <f t="shared" si="6"/>
        <v>-99.791301898702116</v>
      </c>
      <c r="L26">
        <f t="shared" si="6"/>
        <v>-111.83644449964274</v>
      </c>
      <c r="M26">
        <f t="shared" si="6"/>
        <v>-116.65186295456427</v>
      </c>
      <c r="N26">
        <f t="shared" si="6"/>
        <v>-120.45142600940643</v>
      </c>
      <c r="O26">
        <f t="shared" si="6"/>
        <v>-125.86052619164707</v>
      </c>
      <c r="P26">
        <f t="shared" si="6"/>
        <v>-163.19651037638093</v>
      </c>
      <c r="Q26">
        <f t="shared" si="6"/>
        <v>-192.61673819686021</v>
      </c>
      <c r="R26">
        <f t="shared" si="6"/>
        <v>-144.33062437490764</v>
      </c>
      <c r="S26">
        <f t="shared" si="6"/>
        <v>-179.02802310488997</v>
      </c>
      <c r="T26">
        <f t="shared" si="6"/>
        <v>-152.6421685573749</v>
      </c>
    </row>
    <row r="28" spans="1:48" x14ac:dyDescent="0.3">
      <c r="A28" t="s">
        <v>35</v>
      </c>
      <c r="B28">
        <f>B26-B25</f>
        <v>0.42786300027610835</v>
      </c>
      <c r="C28">
        <f t="shared" ref="C28:T28" si="7">C26-C25</f>
        <v>0.20719848453182621</v>
      </c>
      <c r="D28">
        <f t="shared" si="7"/>
        <v>0.20855084236726817</v>
      </c>
      <c r="E28">
        <f t="shared" si="7"/>
        <v>0.57604689075505533</v>
      </c>
      <c r="F28">
        <f t="shared" si="7"/>
        <v>0.78494301597393701</v>
      </c>
      <c r="G28">
        <f t="shared" si="7"/>
        <v>0.96851839874203449</v>
      </c>
      <c r="H28">
        <f t="shared" si="7"/>
        <v>1.1874852737992754</v>
      </c>
      <c r="I28">
        <f t="shared" si="7"/>
        <v>1.6380793951391581</v>
      </c>
      <c r="J28">
        <f t="shared" si="7"/>
        <v>2.0230697746747381</v>
      </c>
      <c r="K28">
        <f t="shared" si="7"/>
        <v>2.1764329079277189</v>
      </c>
      <c r="L28">
        <f t="shared" si="7"/>
        <v>2.4391356108544784</v>
      </c>
      <c r="M28">
        <f t="shared" si="7"/>
        <v>2.5441591448832384</v>
      </c>
      <c r="N28">
        <f t="shared" si="7"/>
        <v>2.6270270292675804</v>
      </c>
      <c r="O28">
        <f t="shared" si="7"/>
        <v>2.7449986702313822</v>
      </c>
      <c r="P28">
        <f t="shared" si="7"/>
        <v>3.5592907285914634</v>
      </c>
      <c r="Q28">
        <f t="shared" si="7"/>
        <v>4.2009413611508251</v>
      </c>
      <c r="R28">
        <f t="shared" si="7"/>
        <v>3.1478286637663757</v>
      </c>
      <c r="S28">
        <f t="shared" si="7"/>
        <v>3.9045735801928743</v>
      </c>
      <c r="T28">
        <f t="shared" si="7"/>
        <v>3.3291021608571896</v>
      </c>
    </row>
    <row r="29" spans="1:48" x14ac:dyDescent="0.3">
      <c r="B29">
        <f t="shared" ref="B29:T29" si="8">SQRT(SUMPRODUCT($X3:$X23,$X3:$X23,AD3:AD23))</f>
        <v>17.398620481490617</v>
      </c>
      <c r="C29">
        <f t="shared" si="8"/>
        <v>2.6707436535281777</v>
      </c>
      <c r="D29">
        <f t="shared" si="8"/>
        <v>4.2728043874233954</v>
      </c>
      <c r="E29">
        <f t="shared" si="8"/>
        <v>3.5982524994675145</v>
      </c>
      <c r="F29">
        <f t="shared" si="8"/>
        <v>2.9111732193067388</v>
      </c>
      <c r="G29">
        <f t="shared" si="8"/>
        <v>3.423832654153208</v>
      </c>
      <c r="H29">
        <f t="shared" si="8"/>
        <v>3.4951424251656871</v>
      </c>
      <c r="I29">
        <f t="shared" si="8"/>
        <v>4.7324633167876176</v>
      </c>
      <c r="J29">
        <f t="shared" si="8"/>
        <v>5.0784120707535614</v>
      </c>
      <c r="K29">
        <f t="shared" si="8"/>
        <v>5.618053581118267</v>
      </c>
      <c r="L29">
        <f t="shared" si="8"/>
        <v>6.6106085019676355</v>
      </c>
      <c r="M29">
        <f t="shared" si="8"/>
        <v>7.2996150732368568</v>
      </c>
      <c r="N29">
        <f t="shared" si="8"/>
        <v>8.2488059441462021</v>
      </c>
      <c r="O29">
        <f t="shared" si="8"/>
        <v>14.57032077984703</v>
      </c>
      <c r="P29">
        <f t="shared" si="8"/>
        <v>20.448558660605425</v>
      </c>
      <c r="Q29">
        <f t="shared" si="8"/>
        <v>28.128813727760239</v>
      </c>
      <c r="R29">
        <f t="shared" si="8"/>
        <v>19.152455390175909</v>
      </c>
      <c r="S29">
        <f t="shared" si="8"/>
        <v>20.96410903211456</v>
      </c>
      <c r="T29">
        <f t="shared" si="8"/>
        <v>49.67592832017953</v>
      </c>
    </row>
    <row r="30" spans="1:48" x14ac:dyDescent="0.3">
      <c r="B30">
        <f>B28-2*B29</f>
        <v>-34.36937796270513</v>
      </c>
      <c r="C30">
        <f t="shared" ref="C30:T30" si="9">C28-2*C29</f>
        <v>-5.1342888225245291</v>
      </c>
      <c r="D30">
        <f t="shared" si="9"/>
        <v>-8.3370579324795226</v>
      </c>
      <c r="E30">
        <f t="shared" si="9"/>
        <v>-6.6204581081799736</v>
      </c>
      <c r="F30">
        <f t="shared" si="9"/>
        <v>-5.0374034226395406</v>
      </c>
      <c r="G30">
        <f t="shared" si="9"/>
        <v>-5.8791469095643816</v>
      </c>
      <c r="H30">
        <f t="shared" si="9"/>
        <v>-5.8027995765320988</v>
      </c>
      <c r="I30">
        <f t="shared" si="9"/>
        <v>-7.826847238436077</v>
      </c>
      <c r="J30">
        <f t="shared" si="9"/>
        <v>-8.1337543668323846</v>
      </c>
      <c r="K30">
        <f t="shared" si="9"/>
        <v>-9.0596742543088151</v>
      </c>
      <c r="L30">
        <f t="shared" si="9"/>
        <v>-10.782081393080793</v>
      </c>
      <c r="M30">
        <f t="shared" si="9"/>
        <v>-12.055071001590475</v>
      </c>
      <c r="N30">
        <f t="shared" si="9"/>
        <v>-13.870584859024824</v>
      </c>
      <c r="O30">
        <f t="shared" si="9"/>
        <v>-26.395642889462678</v>
      </c>
      <c r="P30">
        <f t="shared" si="9"/>
        <v>-37.337826592619386</v>
      </c>
      <c r="Q30">
        <f t="shared" si="9"/>
        <v>-52.056686094369653</v>
      </c>
      <c r="R30">
        <f t="shared" si="9"/>
        <v>-35.157082116585443</v>
      </c>
      <c r="S30">
        <f t="shared" si="9"/>
        <v>-38.023644484036247</v>
      </c>
      <c r="T30">
        <f t="shared" si="9"/>
        <v>-96.02275447950187</v>
      </c>
    </row>
    <row r="31" spans="1:48" x14ac:dyDescent="0.3">
      <c r="B31">
        <f>B28+2*B29</f>
        <v>35.22510396325734</v>
      </c>
      <c r="C31">
        <f t="shared" ref="C31:T31" si="10">C28+2*C29</f>
        <v>5.5486857915881815</v>
      </c>
      <c r="D31">
        <f t="shared" si="10"/>
        <v>8.754159617214059</v>
      </c>
      <c r="E31">
        <f t="shared" si="10"/>
        <v>7.7725518896900843</v>
      </c>
      <c r="F31">
        <f t="shared" si="10"/>
        <v>6.6072894545874146</v>
      </c>
      <c r="G31">
        <f t="shared" si="10"/>
        <v>7.8161837070484506</v>
      </c>
      <c r="H31">
        <f t="shared" si="10"/>
        <v>8.1777701241306495</v>
      </c>
      <c r="I31">
        <f t="shared" si="10"/>
        <v>11.103006028714393</v>
      </c>
      <c r="J31">
        <f t="shared" si="10"/>
        <v>12.179893916181861</v>
      </c>
      <c r="K31">
        <f t="shared" si="10"/>
        <v>13.412540070164253</v>
      </c>
      <c r="L31">
        <f t="shared" si="10"/>
        <v>15.660352614789749</v>
      </c>
      <c r="M31">
        <f t="shared" si="10"/>
        <v>17.143389291356954</v>
      </c>
      <c r="N31">
        <f t="shared" si="10"/>
        <v>19.124638917559984</v>
      </c>
      <c r="O31">
        <f t="shared" si="10"/>
        <v>31.885640229925443</v>
      </c>
      <c r="P31">
        <f t="shared" si="10"/>
        <v>44.456408049802313</v>
      </c>
      <c r="Q31">
        <f t="shared" si="10"/>
        <v>60.458568816671303</v>
      </c>
      <c r="R31">
        <f t="shared" si="10"/>
        <v>41.452739444118194</v>
      </c>
      <c r="S31">
        <f t="shared" si="10"/>
        <v>45.832791644421995</v>
      </c>
      <c r="T31">
        <f t="shared" si="10"/>
        <v>102.68095880121625</v>
      </c>
    </row>
    <row r="33" spans="1:20" x14ac:dyDescent="0.3">
      <c r="A33" t="s">
        <v>41</v>
      </c>
      <c r="B33">
        <f t="shared" ref="B33:T33" si="11">SUMPRODUCT(B3:B23,$AA3:$AA23)</f>
        <v>-29.92065700695407</v>
      </c>
      <c r="C33">
        <f t="shared" si="11"/>
        <v>-14.489485615808761</v>
      </c>
      <c r="D33">
        <f t="shared" si="11"/>
        <v>-14.584056623160937</v>
      </c>
      <c r="E33">
        <f t="shared" si="11"/>
        <v>-40.283224833841317</v>
      </c>
      <c r="F33">
        <f t="shared" si="11"/>
        <v>-54.891427246113452</v>
      </c>
      <c r="G33">
        <f t="shared" si="11"/>
        <v>-67.728938456898049</v>
      </c>
      <c r="H33">
        <f t="shared" si="11"/>
        <v>-83.041393051580002</v>
      </c>
      <c r="I33">
        <f t="shared" si="11"/>
        <v>-114.55164784168761</v>
      </c>
      <c r="J33">
        <f t="shared" si="11"/>
        <v>-141.47420270066846</v>
      </c>
      <c r="K33">
        <f t="shared" si="11"/>
        <v>-152.19895736422365</v>
      </c>
      <c r="L33">
        <f t="shared" si="11"/>
        <v>-170.56987857965677</v>
      </c>
      <c r="M33">
        <f t="shared" si="11"/>
        <v>-177.91422276764482</v>
      </c>
      <c r="N33">
        <f t="shared" si="11"/>
        <v>-183.70921215433131</v>
      </c>
      <c r="O33">
        <f t="shared" si="11"/>
        <v>-191.95902343398907</v>
      </c>
      <c r="P33">
        <f t="shared" si="11"/>
        <v>-248.90284275455403</v>
      </c>
      <c r="Q33">
        <f t="shared" si="11"/>
        <v>-293.77376751952215</v>
      </c>
      <c r="R33">
        <f t="shared" si="11"/>
        <v>-220.12911073038165</v>
      </c>
      <c r="S33">
        <f t="shared" si="11"/>
        <v>-273.04863186574761</v>
      </c>
      <c r="T33">
        <f t="shared" si="11"/>
        <v>-232.80565001375828</v>
      </c>
    </row>
    <row r="34" spans="1:20" x14ac:dyDescent="0.3">
      <c r="A34" t="s">
        <v>35</v>
      </c>
      <c r="B34">
        <f>B26-B33</f>
        <v>10.302774150876587</v>
      </c>
      <c r="C34">
        <f t="shared" ref="C34:T34" si="12">C26-C33</f>
        <v>4.9892586859759476</v>
      </c>
      <c r="D34">
        <f t="shared" si="12"/>
        <v>5.0218229351414614</v>
      </c>
      <c r="E34">
        <f t="shared" si="12"/>
        <v>13.870984431778691</v>
      </c>
      <c r="F34">
        <f t="shared" si="12"/>
        <v>18.901121643302851</v>
      </c>
      <c r="G34">
        <f t="shared" si="12"/>
        <v>23.321545253430138</v>
      </c>
      <c r="H34">
        <f t="shared" si="12"/>
        <v>28.594182192782583</v>
      </c>
      <c r="I34">
        <f t="shared" si="12"/>
        <v>39.44431287218589</v>
      </c>
      <c r="J34">
        <f t="shared" si="12"/>
        <v>48.714731038879108</v>
      </c>
      <c r="K34">
        <f t="shared" si="12"/>
        <v>52.407655465521529</v>
      </c>
      <c r="L34">
        <f t="shared" si="12"/>
        <v>58.733434080014035</v>
      </c>
      <c r="M34">
        <f t="shared" si="12"/>
        <v>61.26235981308055</v>
      </c>
      <c r="N34">
        <f t="shared" si="12"/>
        <v>63.257786144924879</v>
      </c>
      <c r="O34">
        <f t="shared" si="12"/>
        <v>66.098497242342006</v>
      </c>
      <c r="P34">
        <f t="shared" si="12"/>
        <v>85.706332378173101</v>
      </c>
      <c r="Q34">
        <f t="shared" si="12"/>
        <v>101.15702932266194</v>
      </c>
      <c r="R34">
        <f t="shared" si="12"/>
        <v>75.798486355474012</v>
      </c>
      <c r="S34">
        <f t="shared" si="12"/>
        <v>94.020608760857641</v>
      </c>
      <c r="T34">
        <f t="shared" si="12"/>
        <v>80.16348145638338</v>
      </c>
    </row>
    <row r="35" spans="1:20" x14ac:dyDescent="0.3">
      <c r="B35">
        <f>SQRT(SUMPRODUCT($AB3:$AB23,$AB3:$AB23,AD3:AD23))</f>
        <v>19.511837478698538</v>
      </c>
      <c r="C35">
        <f t="shared" ref="C35:T35" si="13">SQRT(SUMPRODUCT($AB3:$AB23,$AB3:$AB23,AE3:AE23))</f>
        <v>2.9951291925900305</v>
      </c>
      <c r="D35">
        <f t="shared" si="13"/>
        <v>4.7917744325975811</v>
      </c>
      <c r="E35">
        <f t="shared" si="13"/>
        <v>4.0352922262786119</v>
      </c>
      <c r="F35">
        <f t="shared" si="13"/>
        <v>3.2647610646994343</v>
      </c>
      <c r="G35">
        <f t="shared" si="13"/>
        <v>3.8396875415018505</v>
      </c>
      <c r="H35">
        <f t="shared" si="13"/>
        <v>3.9196585175984273</v>
      </c>
      <c r="I35">
        <f t="shared" si="13"/>
        <v>5.3072630217606491</v>
      </c>
      <c r="J35">
        <f t="shared" si="13"/>
        <v>5.6952303247156628</v>
      </c>
      <c r="K35">
        <f t="shared" si="13"/>
        <v>6.300416089770839</v>
      </c>
      <c r="L35">
        <f t="shared" si="13"/>
        <v>7.4135256219258912</v>
      </c>
      <c r="M35">
        <f t="shared" si="13"/>
        <v>8.1862181612374094</v>
      </c>
      <c r="N35">
        <f t="shared" si="13"/>
        <v>9.250696694414815</v>
      </c>
      <c r="O35">
        <f t="shared" si="13"/>
        <v>16.340015656489719</v>
      </c>
      <c r="P35">
        <f t="shared" si="13"/>
        <v>22.932217740126447</v>
      </c>
      <c r="Q35">
        <f t="shared" si="13"/>
        <v>31.545308003500992</v>
      </c>
      <c r="R35">
        <f t="shared" si="13"/>
        <v>21.47869121512786</v>
      </c>
      <c r="S35">
        <f t="shared" si="13"/>
        <v>23.510386283527374</v>
      </c>
      <c r="T35">
        <f t="shared" si="13"/>
        <v>55.709511051061185</v>
      </c>
    </row>
    <row r="36" spans="1:20" x14ac:dyDescent="0.3">
      <c r="B36">
        <f>B34-2*B35</f>
        <v>-28.72090080652049</v>
      </c>
      <c r="C36">
        <f t="shared" ref="C36:T36" si="14">C34-2*C35</f>
        <v>-1.0009996992041135</v>
      </c>
      <c r="D36">
        <f t="shared" si="14"/>
        <v>-4.5617259300537008</v>
      </c>
      <c r="E36">
        <f t="shared" si="14"/>
        <v>5.8003999792214671</v>
      </c>
      <c r="F36">
        <f t="shared" si="14"/>
        <v>12.371599513903982</v>
      </c>
      <c r="G36">
        <f t="shared" si="14"/>
        <v>15.642170170426436</v>
      </c>
      <c r="H36">
        <f t="shared" si="14"/>
        <v>20.754865157585726</v>
      </c>
      <c r="I36">
        <f t="shared" si="14"/>
        <v>28.829786828664592</v>
      </c>
      <c r="J36">
        <f t="shared" si="14"/>
        <v>37.324270389447783</v>
      </c>
      <c r="K36">
        <f t="shared" si="14"/>
        <v>39.806823285979853</v>
      </c>
      <c r="L36">
        <f t="shared" si="14"/>
        <v>43.906382836162251</v>
      </c>
      <c r="M36">
        <f t="shared" si="14"/>
        <v>44.889923490605732</v>
      </c>
      <c r="N36">
        <f t="shared" si="14"/>
        <v>44.756392756095252</v>
      </c>
      <c r="O36">
        <f t="shared" si="14"/>
        <v>33.418465929362569</v>
      </c>
      <c r="P36">
        <f t="shared" si="14"/>
        <v>39.841896897920208</v>
      </c>
      <c r="Q36">
        <f t="shared" si="14"/>
        <v>38.066413315659958</v>
      </c>
      <c r="R36">
        <f t="shared" si="14"/>
        <v>32.841103925218292</v>
      </c>
      <c r="S36">
        <f t="shared" si="14"/>
        <v>46.999836193802892</v>
      </c>
      <c r="T36">
        <f t="shared" si="14"/>
        <v>-31.255540645738989</v>
      </c>
    </row>
    <row r="37" spans="1:20" x14ac:dyDescent="0.3">
      <c r="B37">
        <f>B34+2*B35</f>
        <v>49.326449108273664</v>
      </c>
      <c r="C37">
        <f t="shared" ref="C37:T37" si="15">C34+2*C35</f>
        <v>10.979517071156009</v>
      </c>
      <c r="D37">
        <f t="shared" si="15"/>
        <v>14.605371800336624</v>
      </c>
      <c r="E37">
        <f t="shared" si="15"/>
        <v>21.941568884335915</v>
      </c>
      <c r="F37">
        <f t="shared" si="15"/>
        <v>25.430643772701721</v>
      </c>
      <c r="G37">
        <f t="shared" si="15"/>
        <v>31.00092033643384</v>
      </c>
      <c r="H37">
        <f t="shared" si="15"/>
        <v>36.433499227979439</v>
      </c>
      <c r="I37">
        <f t="shared" si="15"/>
        <v>50.058838915707184</v>
      </c>
      <c r="J37">
        <f t="shared" si="15"/>
        <v>60.105191688310434</v>
      </c>
      <c r="K37">
        <f t="shared" si="15"/>
        <v>65.008487645063212</v>
      </c>
      <c r="L37">
        <f t="shared" si="15"/>
        <v>73.560485323865819</v>
      </c>
      <c r="M37">
        <f t="shared" si="15"/>
        <v>77.634796135555376</v>
      </c>
      <c r="N37">
        <f t="shared" si="15"/>
        <v>81.759179533754505</v>
      </c>
      <c r="O37">
        <f t="shared" si="15"/>
        <v>98.778528555321444</v>
      </c>
      <c r="P37">
        <f t="shared" si="15"/>
        <v>131.570767858426</v>
      </c>
      <c r="Q37">
        <f t="shared" si="15"/>
        <v>164.24764532966392</v>
      </c>
      <c r="R37">
        <f t="shared" si="15"/>
        <v>118.75586878572973</v>
      </c>
      <c r="S37">
        <f t="shared" si="15"/>
        <v>141.0413813279124</v>
      </c>
      <c r="T37">
        <f t="shared" si="15"/>
        <v>191.58250355850575</v>
      </c>
    </row>
    <row r="39" spans="1:20" x14ac:dyDescent="0.3">
      <c r="A39" t="s">
        <v>42</v>
      </c>
      <c r="B39">
        <f>SUMPRODUCT(B3:B23,$Y3:$Y23)</f>
        <v>-20.151693989071035</v>
      </c>
      <c r="C39">
        <f t="shared" ref="C39:T39" si="16">SUMPRODUCT(C3:C23,$Y3:$Y23)</f>
        <v>-9.7587322404371566</v>
      </c>
      <c r="D39">
        <f t="shared" si="16"/>
        <v>-9.8224262295081974</v>
      </c>
      <c r="E39">
        <f t="shared" si="16"/>
        <v>-27.130928961748634</v>
      </c>
      <c r="F39">
        <f t="shared" si="16"/>
        <v>-36.969617486338798</v>
      </c>
      <c r="G39">
        <f t="shared" si="16"/>
        <v>-45.615737704918025</v>
      </c>
      <c r="H39">
        <f t="shared" si="16"/>
        <v>-55.928743169398913</v>
      </c>
      <c r="I39">
        <f t="shared" si="16"/>
        <v>-77.151038251366117</v>
      </c>
      <c r="J39">
        <f t="shared" si="16"/>
        <v>-95.283497267759557</v>
      </c>
      <c r="K39">
        <f t="shared" si="16"/>
        <v>-102.50666666666666</v>
      </c>
      <c r="L39">
        <f t="shared" si="16"/>
        <v>-114.87956284153006</v>
      </c>
      <c r="M39">
        <f t="shared" si="16"/>
        <v>-119.82601092896175</v>
      </c>
      <c r="N39">
        <f t="shared" si="16"/>
        <v>-123.72896174863386</v>
      </c>
      <c r="O39">
        <f t="shared" si="16"/>
        <v>-129.28524590163934</v>
      </c>
      <c r="P39">
        <f t="shared" si="16"/>
        <v>-167.63715846994538</v>
      </c>
      <c r="Q39">
        <f t="shared" si="16"/>
        <v>-197.85792349726776</v>
      </c>
      <c r="R39">
        <f t="shared" si="16"/>
        <v>-148.25792349726777</v>
      </c>
      <c r="S39">
        <f t="shared" si="16"/>
        <v>-183.89945355191256</v>
      </c>
      <c r="T39">
        <f t="shared" si="16"/>
        <v>-156.79562841530054</v>
      </c>
    </row>
    <row r="40" spans="1:20" x14ac:dyDescent="0.3">
      <c r="B40" s="11">
        <f>B26-B39</f>
        <v>0.53381113299355221</v>
      </c>
      <c r="C40" s="11">
        <f t="shared" ref="C40:T40" si="17">C26-C39</f>
        <v>0.25850531060434356</v>
      </c>
      <c r="D40" s="11">
        <f t="shared" si="17"/>
        <v>0.26019254148872228</v>
      </c>
      <c r="E40" s="11">
        <f t="shared" si="17"/>
        <v>0.71868855968600798</v>
      </c>
      <c r="F40" s="11">
        <f t="shared" si="17"/>
        <v>0.97931188352819731</v>
      </c>
      <c r="G40" s="11">
        <f t="shared" si="17"/>
        <v>1.2083445014501137</v>
      </c>
      <c r="H40" s="11">
        <f t="shared" si="17"/>
        <v>1.4815323106014944</v>
      </c>
      <c r="I40" s="11">
        <f t="shared" si="17"/>
        <v>2.0437032818643956</v>
      </c>
      <c r="J40" s="11">
        <f t="shared" si="17"/>
        <v>2.5240256059702091</v>
      </c>
      <c r="K40" s="11">
        <f t="shared" si="17"/>
        <v>2.7153647679645445</v>
      </c>
      <c r="L40" s="11">
        <f t="shared" si="17"/>
        <v>3.0431183418873218</v>
      </c>
      <c r="M40" s="11">
        <f t="shared" si="17"/>
        <v>3.174147974397485</v>
      </c>
      <c r="N40" s="11">
        <f t="shared" si="17"/>
        <v>3.2775357392274316</v>
      </c>
      <c r="O40" s="11">
        <f t="shared" si="17"/>
        <v>3.4247197099922744</v>
      </c>
      <c r="P40" s="11">
        <f t="shared" si="17"/>
        <v>4.4406480935644481</v>
      </c>
      <c r="Q40" s="11">
        <f t="shared" si="17"/>
        <v>5.241185300407551</v>
      </c>
      <c r="R40" s="11">
        <f t="shared" si="17"/>
        <v>3.9272991223601252</v>
      </c>
      <c r="S40" s="11">
        <f t="shared" si="17"/>
        <v>4.8714304470225898</v>
      </c>
      <c r="T40" s="11">
        <f t="shared" si="17"/>
        <v>4.1534598579256397</v>
      </c>
    </row>
    <row r="41" spans="1:20" x14ac:dyDescent="0.3">
      <c r="B41">
        <f>SQRT(SUMPRODUCT($Z3:$Z23,$Z3:$Z23,AD3:AD23))</f>
        <v>17.824576764310347</v>
      </c>
      <c r="C41">
        <f t="shared" ref="C41:T41" si="18">SQRT(SUMPRODUCT($Z3:$Z23,$Z3:$Z23,AE3:AE23))</f>
        <v>2.7361292994896775</v>
      </c>
      <c r="D41">
        <f t="shared" si="18"/>
        <v>4.3774119841014718</v>
      </c>
      <c r="E41">
        <f t="shared" si="18"/>
        <v>3.686345590580717</v>
      </c>
      <c r="F41">
        <f t="shared" si="18"/>
        <v>2.9824451068945756</v>
      </c>
      <c r="G41">
        <f t="shared" si="18"/>
        <v>3.5076555659703499</v>
      </c>
      <c r="H41">
        <f t="shared" si="18"/>
        <v>3.5807111561425438</v>
      </c>
      <c r="I41">
        <f t="shared" si="18"/>
        <v>4.8483243694006157</v>
      </c>
      <c r="J41">
        <f t="shared" si="18"/>
        <v>5.2027427055062594</v>
      </c>
      <c r="K41">
        <f t="shared" si="18"/>
        <v>5.7555958203228634</v>
      </c>
      <c r="L41">
        <f t="shared" si="18"/>
        <v>6.7724506565034064</v>
      </c>
      <c r="M41">
        <f t="shared" si="18"/>
        <v>7.4783256155996058</v>
      </c>
      <c r="N41">
        <f t="shared" si="18"/>
        <v>8.4507547550538114</v>
      </c>
      <c r="O41">
        <f t="shared" si="18"/>
        <v>14.927034100048321</v>
      </c>
      <c r="P41">
        <f t="shared" si="18"/>
        <v>20.949184100729191</v>
      </c>
      <c r="Q41">
        <f t="shared" si="18"/>
        <v>28.81746860981551</v>
      </c>
      <c r="R41">
        <f t="shared" si="18"/>
        <v>19.621349387464313</v>
      </c>
      <c r="S41">
        <f t="shared" si="18"/>
        <v>21.477356272920055</v>
      </c>
      <c r="T41">
        <f t="shared" si="18"/>
        <v>50.892103694278504</v>
      </c>
    </row>
    <row r="42" spans="1:20" x14ac:dyDescent="0.3">
      <c r="B42">
        <f>B40-2*B41</f>
        <v>-35.115342395627138</v>
      </c>
      <c r="C42">
        <f t="shared" ref="C42:T42" si="19">C40-2*C41</f>
        <v>-5.2137532883750115</v>
      </c>
      <c r="D42">
        <f t="shared" si="19"/>
        <v>-8.4946314267142213</v>
      </c>
      <c r="E42">
        <f t="shared" si="19"/>
        <v>-6.654002621475426</v>
      </c>
      <c r="F42">
        <f t="shared" si="19"/>
        <v>-4.985578330260954</v>
      </c>
      <c r="G42">
        <f t="shared" si="19"/>
        <v>-5.806966630490586</v>
      </c>
      <c r="H42">
        <f t="shared" si="19"/>
        <v>-5.6798900016835931</v>
      </c>
      <c r="I42">
        <f t="shared" si="19"/>
        <v>-7.6529454569368358</v>
      </c>
      <c r="J42">
        <f t="shared" si="19"/>
        <v>-7.8814598050423097</v>
      </c>
      <c r="K42">
        <f t="shared" si="19"/>
        <v>-8.7958268726811824</v>
      </c>
      <c r="L42">
        <f t="shared" si="19"/>
        <v>-10.501782971119491</v>
      </c>
      <c r="M42">
        <f t="shared" si="19"/>
        <v>-11.782503256801727</v>
      </c>
      <c r="N42">
        <f t="shared" si="19"/>
        <v>-13.623973770880191</v>
      </c>
      <c r="O42">
        <f t="shared" si="19"/>
        <v>-26.429348490104367</v>
      </c>
      <c r="P42">
        <f t="shared" si="19"/>
        <v>-37.457720107893934</v>
      </c>
      <c r="Q42">
        <f t="shared" si="19"/>
        <v>-52.393751919223469</v>
      </c>
      <c r="R42">
        <f t="shared" si="19"/>
        <v>-35.315399652568502</v>
      </c>
      <c r="S42">
        <f t="shared" si="19"/>
        <v>-38.08328209881752</v>
      </c>
      <c r="T42">
        <f t="shared" si="19"/>
        <v>-97.630747530631368</v>
      </c>
    </row>
    <row r="43" spans="1:20" x14ac:dyDescent="0.3">
      <c r="B43">
        <f>B40+2*B41</f>
        <v>36.18296466161425</v>
      </c>
      <c r="C43">
        <f t="shared" ref="C43:T43" si="20">C40+2*C41</f>
        <v>5.7307639095836986</v>
      </c>
      <c r="D43">
        <f t="shared" si="20"/>
        <v>9.0150165096916659</v>
      </c>
      <c r="E43">
        <f t="shared" si="20"/>
        <v>8.0913797408474419</v>
      </c>
      <c r="F43">
        <f t="shared" si="20"/>
        <v>6.9442020973173486</v>
      </c>
      <c r="G43">
        <f t="shared" si="20"/>
        <v>8.2236556333908126</v>
      </c>
      <c r="H43">
        <f t="shared" si="20"/>
        <v>8.642954622886581</v>
      </c>
      <c r="I43">
        <f t="shared" si="20"/>
        <v>11.740352020665627</v>
      </c>
      <c r="J43">
        <f t="shared" si="20"/>
        <v>12.929511016982728</v>
      </c>
      <c r="K43">
        <f t="shared" si="20"/>
        <v>14.226556408610271</v>
      </c>
      <c r="L43">
        <f t="shared" si="20"/>
        <v>16.588019654894133</v>
      </c>
      <c r="M43">
        <f t="shared" si="20"/>
        <v>18.130799205596695</v>
      </c>
      <c r="N43">
        <f t="shared" si="20"/>
        <v>20.179045249335054</v>
      </c>
      <c r="O43">
        <f t="shared" si="20"/>
        <v>33.278787910088916</v>
      </c>
      <c r="P43">
        <f t="shared" si="20"/>
        <v>46.33901629502283</v>
      </c>
      <c r="Q43">
        <f t="shared" si="20"/>
        <v>62.876122520038571</v>
      </c>
      <c r="R43">
        <f t="shared" si="20"/>
        <v>43.169997897288752</v>
      </c>
      <c r="S43">
        <f t="shared" si="20"/>
        <v>47.8261429928627</v>
      </c>
      <c r="T43">
        <f t="shared" si="20"/>
        <v>105.93766724648265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9</vt:i4>
      </vt:variant>
    </vt:vector>
  </HeadingPairs>
  <TitlesOfParts>
    <vt:vector size="19" baseType="lpstr">
      <vt:lpstr>emulator</vt:lpstr>
      <vt:lpstr>emulator (2)</vt:lpstr>
      <vt:lpstr>Sheet1</vt:lpstr>
      <vt:lpstr>csvpar</vt:lpstr>
      <vt:lpstr>rsB</vt:lpstr>
      <vt:lpstr>csvbm</vt:lpstr>
      <vt:lpstr>time</vt:lpstr>
      <vt:lpstr>5%</vt:lpstr>
      <vt:lpstr>risk</vt:lpstr>
      <vt:lpstr>comparison</vt:lpstr>
      <vt:lpstr>PRTP</vt:lpstr>
      <vt:lpstr>EIS</vt:lpstr>
      <vt:lpstr>Benchmark</vt:lpstr>
      <vt:lpstr>SCC-B (2)</vt:lpstr>
      <vt:lpstr>SCC-B</vt:lpstr>
      <vt:lpstr>TimeAll</vt:lpstr>
      <vt:lpstr>TimeDrupp2</vt:lpstr>
      <vt:lpstr>TimeDrupp</vt:lpstr>
      <vt:lpstr>RiskAll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2024-05-07T15:05:59Z</dcterms:created>
  <dcterms:modified xsi:type="dcterms:W3CDTF">2025-06-13T07:51:28Z</dcterms:modified>
</cp:coreProperties>
</file>