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tokyo-my.sharepoint.com/personal/8911126356_utac_u-tokyo_ac_jp/Documents/R5年度/4.即売会/3.ARTS10/1.サークル対応/4.配置作業準備/"/>
    </mc:Choice>
  </mc:AlternateContent>
  <xr:revisionPtr revIDLastSave="717" documentId="8_{A7ED7DFC-05BB-46A7-9B51-396A25BD9C90}" xr6:coauthVersionLast="47" xr6:coauthVersionMax="47" xr10:uidLastSave="{68C1208A-2FB7-4F61-8A20-D3B8AAB724F1}"/>
  <bookViews>
    <workbookView xWindow="-28920" yWindow="-120" windowWidth="29040" windowHeight="15840" xr2:uid="{6C287FC9-AA80-4F29-ABE4-3BD30A3BE9A5}"/>
  </bookViews>
  <sheets>
    <sheet name="2.5紙-理論SP数・付箋有無合計SP数比較" sheetId="2" r:id="rId1"/>
    <sheet name="参照用" sheetId="4" r:id="rId2"/>
    <sheet name="ブロック別SP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9" i="2" l="1"/>
  <c r="D29" i="3"/>
  <c r="AF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L30" i="3" l="1"/>
  <c r="J36" i="2"/>
  <c r="D26" i="3"/>
  <c r="E2" i="3" a="1"/>
  <c r="E2" i="3" s="1"/>
  <c r="E29" i="3" s="1"/>
  <c r="D30" i="3"/>
  <c r="AR36" i="2"/>
  <c r="AO36" i="2"/>
  <c r="AL36" i="2"/>
  <c r="AK36" i="2"/>
  <c r="AJ36" i="2"/>
  <c r="AI36" i="2"/>
  <c r="AH36" i="2"/>
  <c r="U36" i="2"/>
  <c r="R36" i="2"/>
  <c r="O36" i="2"/>
  <c r="N36" i="2"/>
  <c r="M36" i="2"/>
  <c r="L36" i="2"/>
  <c r="K36" i="2"/>
  <c r="AN35" i="2"/>
  <c r="AM35" i="2"/>
  <c r="AD35" i="2"/>
  <c r="AC35" i="2"/>
  <c r="Q35" i="2"/>
  <c r="S35" i="2" s="1"/>
  <c r="P35" i="2"/>
  <c r="G35" i="2"/>
  <c r="F35" i="2"/>
  <c r="AN34" i="2"/>
  <c r="AM34" i="2"/>
  <c r="AD34" i="2"/>
  <c r="AC34" i="2"/>
  <c r="Q34" i="2"/>
  <c r="S34" i="2" s="1"/>
  <c r="P34" i="2"/>
  <c r="G34" i="2"/>
  <c r="F34" i="2"/>
  <c r="AN33" i="2"/>
  <c r="AM33" i="2"/>
  <c r="AD33" i="2"/>
  <c r="AC33" i="2"/>
  <c r="Q33" i="2"/>
  <c r="S33" i="2" s="1"/>
  <c r="P33" i="2"/>
  <c r="G33" i="2"/>
  <c r="F33" i="2"/>
  <c r="AN32" i="2"/>
  <c r="AM32" i="2"/>
  <c r="AD32" i="2"/>
  <c r="AC32" i="2"/>
  <c r="Q32" i="2"/>
  <c r="S32" i="2" s="1"/>
  <c r="P32" i="2"/>
  <c r="G32" i="2"/>
  <c r="F32" i="2"/>
  <c r="AN31" i="2"/>
  <c r="AM31" i="2"/>
  <c r="AD31" i="2"/>
  <c r="AC31" i="2"/>
  <c r="Q31" i="2"/>
  <c r="S31" i="2" s="1"/>
  <c r="P31" i="2"/>
  <c r="G31" i="2"/>
  <c r="F31" i="2"/>
  <c r="AN30" i="2"/>
  <c r="AM30" i="2"/>
  <c r="AD30" i="2"/>
  <c r="AC30" i="2"/>
  <c r="Q30" i="2"/>
  <c r="S30" i="2" s="1"/>
  <c r="P30" i="2"/>
  <c r="G30" i="2"/>
  <c r="F30" i="2"/>
  <c r="AN29" i="2"/>
  <c r="AM29" i="2"/>
  <c r="AD29" i="2"/>
  <c r="AC29" i="2"/>
  <c r="Q29" i="2"/>
  <c r="S29" i="2" s="1"/>
  <c r="P29" i="2"/>
  <c r="G29" i="2"/>
  <c r="F29" i="2"/>
  <c r="AN28" i="2"/>
  <c r="AM28" i="2"/>
  <c r="AD28" i="2"/>
  <c r="AC28" i="2"/>
  <c r="Q28" i="2"/>
  <c r="S28" i="2" s="1"/>
  <c r="P28" i="2"/>
  <c r="G28" i="2"/>
  <c r="F28" i="2"/>
  <c r="AN27" i="2"/>
  <c r="AM27" i="2"/>
  <c r="AD27" i="2"/>
  <c r="AC27" i="2"/>
  <c r="Q27" i="2"/>
  <c r="S27" i="2" s="1"/>
  <c r="P27" i="2"/>
  <c r="G27" i="2"/>
  <c r="F27" i="2"/>
  <c r="AN26" i="2"/>
  <c r="AM26" i="2"/>
  <c r="AD26" i="2"/>
  <c r="AC26" i="2"/>
  <c r="Q26" i="2"/>
  <c r="S26" i="2" s="1"/>
  <c r="P26" i="2"/>
  <c r="G26" i="2"/>
  <c r="F26" i="2"/>
  <c r="AN25" i="2"/>
  <c r="AM25" i="2"/>
  <c r="AD25" i="2"/>
  <c r="AC25" i="2"/>
  <c r="Q25" i="2"/>
  <c r="S25" i="2" s="1"/>
  <c r="P25" i="2"/>
  <c r="G25" i="2"/>
  <c r="F25" i="2"/>
  <c r="AN24" i="2"/>
  <c r="AM24" i="2"/>
  <c r="AD24" i="2"/>
  <c r="AC24" i="2"/>
  <c r="Q24" i="2"/>
  <c r="S24" i="2" s="1"/>
  <c r="P24" i="2"/>
  <c r="G24" i="2"/>
  <c r="F24" i="2"/>
  <c r="AN23" i="2"/>
  <c r="AM23" i="2"/>
  <c r="AD23" i="2"/>
  <c r="AC23" i="2"/>
  <c r="Q23" i="2"/>
  <c r="P23" i="2"/>
  <c r="G23" i="2"/>
  <c r="F23" i="2"/>
  <c r="AN22" i="2"/>
  <c r="AM22" i="2"/>
  <c r="AD22" i="2"/>
  <c r="AC22" i="2"/>
  <c r="Q22" i="2"/>
  <c r="S22" i="2" s="1"/>
  <c r="P22" i="2"/>
  <c r="G22" i="2"/>
  <c r="F22" i="2"/>
  <c r="AN21" i="2"/>
  <c r="AM21" i="2"/>
  <c r="AD21" i="2"/>
  <c r="AC21" i="2"/>
  <c r="Q21" i="2"/>
  <c r="S21" i="2" s="1"/>
  <c r="P21" i="2"/>
  <c r="G21" i="2"/>
  <c r="F21" i="2"/>
  <c r="AN20" i="2"/>
  <c r="AM20" i="2"/>
  <c r="AC20" i="2"/>
  <c r="Q20" i="2"/>
  <c r="S20" i="2" s="1"/>
  <c r="P20" i="2"/>
  <c r="F20" i="2"/>
  <c r="AN19" i="2"/>
  <c r="AM19" i="2"/>
  <c r="AC19" i="2"/>
  <c r="AD19" i="2" s="1"/>
  <c r="Q19" i="2"/>
  <c r="S19" i="2" s="1"/>
  <c r="P19" i="2"/>
  <c r="F19" i="2"/>
  <c r="AN18" i="2"/>
  <c r="AM18" i="2"/>
  <c r="AC18" i="2"/>
  <c r="Q18" i="2"/>
  <c r="S18" i="2" s="1"/>
  <c r="P18" i="2"/>
  <c r="F18" i="2"/>
  <c r="AN17" i="2"/>
  <c r="AM17" i="2"/>
  <c r="AC17" i="2"/>
  <c r="Q17" i="2"/>
  <c r="S17" i="2" s="1"/>
  <c r="P17" i="2"/>
  <c r="F17" i="2"/>
  <c r="AN16" i="2"/>
  <c r="AM16" i="2"/>
  <c r="AC16" i="2"/>
  <c r="Q16" i="2"/>
  <c r="S16" i="2" s="1"/>
  <c r="P16" i="2"/>
  <c r="F16" i="2"/>
  <c r="AN15" i="2"/>
  <c r="AM15" i="2"/>
  <c r="AC15" i="2"/>
  <c r="AD15" i="2" s="1"/>
  <c r="Q15" i="2"/>
  <c r="S15" i="2" s="1"/>
  <c r="P15" i="2"/>
  <c r="F15" i="2"/>
  <c r="AN14" i="2"/>
  <c r="AM14" i="2"/>
  <c r="AC14" i="2"/>
  <c r="Q14" i="2"/>
  <c r="S14" i="2" s="1"/>
  <c r="P14" i="2"/>
  <c r="F14" i="2"/>
  <c r="G14" i="2" s="1"/>
  <c r="AN13" i="2"/>
  <c r="AM13" i="2"/>
  <c r="AC13" i="2"/>
  <c r="Q13" i="2"/>
  <c r="S13" i="2" s="1"/>
  <c r="P13" i="2"/>
  <c r="F13" i="2"/>
  <c r="AN12" i="2"/>
  <c r="AM12" i="2"/>
  <c r="AC12" i="2"/>
  <c r="Q12" i="2"/>
  <c r="S12" i="2" s="1"/>
  <c r="P12" i="2"/>
  <c r="F12" i="2"/>
  <c r="AN11" i="2"/>
  <c r="AM11" i="2"/>
  <c r="AC11" i="2"/>
  <c r="AD11" i="2" s="1"/>
  <c r="Q11" i="2"/>
  <c r="S11" i="2" s="1"/>
  <c r="P11" i="2"/>
  <c r="F11" i="2"/>
  <c r="AN10" i="2"/>
  <c r="AM10" i="2"/>
  <c r="AC10" i="2"/>
  <c r="Q10" i="2"/>
  <c r="S10" i="2" s="1"/>
  <c r="P10" i="2"/>
  <c r="F10" i="2"/>
  <c r="AN9" i="2"/>
  <c r="AM9" i="2"/>
  <c r="AC9" i="2"/>
  <c r="Q9" i="2"/>
  <c r="S9" i="2" s="1"/>
  <c r="P9" i="2"/>
  <c r="F9" i="2"/>
  <c r="AN8" i="2"/>
  <c r="AM8" i="2"/>
  <c r="AC8" i="2"/>
  <c r="Q8" i="2"/>
  <c r="S8" i="2" s="1"/>
  <c r="P8" i="2"/>
  <c r="F8" i="2"/>
  <c r="AN7" i="2"/>
  <c r="AM7" i="2"/>
  <c r="AC7" i="2"/>
  <c r="AD7" i="2" s="1"/>
  <c r="Q7" i="2"/>
  <c r="S7" i="2" s="1"/>
  <c r="P7" i="2"/>
  <c r="F7" i="2"/>
  <c r="AN6" i="2"/>
  <c r="AM6" i="2"/>
  <c r="AC6" i="2"/>
  <c r="AD6" i="2" s="1"/>
  <c r="Q6" i="2"/>
  <c r="S6" i="2" s="1"/>
  <c r="P6" i="2"/>
  <c r="F6" i="2"/>
  <c r="AN5" i="2"/>
  <c r="AM5" i="2"/>
  <c r="AC5" i="2"/>
  <c r="Q5" i="2"/>
  <c r="S5" i="2" s="1"/>
  <c r="P5" i="2"/>
  <c r="F5" i="2"/>
  <c r="AN4" i="2"/>
  <c r="AM4" i="2"/>
  <c r="AC4" i="2"/>
  <c r="Q4" i="2"/>
  <c r="S4" i="2" s="1"/>
  <c r="P4" i="2"/>
  <c r="F4" i="2"/>
  <c r="G4" i="2" s="1"/>
  <c r="AN3" i="2"/>
  <c r="AM3" i="2"/>
  <c r="AC3" i="2"/>
  <c r="AD3" i="2" s="1"/>
  <c r="Q3" i="2"/>
  <c r="S3" i="2" s="1"/>
  <c r="P3" i="2"/>
  <c r="F3" i="2"/>
  <c r="AN2" i="2"/>
  <c r="AM2" i="2"/>
  <c r="AC2" i="2"/>
  <c r="AD2" i="2" s="1"/>
  <c r="Q2" i="2"/>
  <c r="S2" i="2" s="1"/>
  <c r="P2" i="2"/>
  <c r="F2" i="2"/>
  <c r="S23" i="2" l="1"/>
  <c r="G16" i="2"/>
  <c r="F29" i="3"/>
  <c r="E26" i="3"/>
  <c r="E30" i="3"/>
  <c r="F30" i="3" s="1"/>
  <c r="T5" i="2"/>
  <c r="V5" i="2" s="1"/>
  <c r="G10" i="2"/>
  <c r="G20" i="2"/>
  <c r="AD8" i="2"/>
  <c r="G12" i="2"/>
  <c r="AD12" i="2"/>
  <c r="AQ22" i="2"/>
  <c r="AS22" i="2" s="1"/>
  <c r="AQ24" i="2"/>
  <c r="AS24" i="2" s="1"/>
  <c r="AQ30" i="2"/>
  <c r="AS30" i="2" s="1"/>
  <c r="AQ32" i="2"/>
  <c r="AS32" i="2" s="1"/>
  <c r="AQ21" i="2"/>
  <c r="AS21" i="2" s="1"/>
  <c r="AQ29" i="2"/>
  <c r="AS29" i="2" s="1"/>
  <c r="AQ33" i="2"/>
  <c r="AS33" i="2" s="1"/>
  <c r="AQ35" i="2"/>
  <c r="AS35" i="2" s="1"/>
  <c r="T21" i="2"/>
  <c r="V21" i="2" s="1"/>
  <c r="T31" i="2"/>
  <c r="V31" i="2" s="1"/>
  <c r="T33" i="2"/>
  <c r="V33" i="2" s="1"/>
  <c r="G2" i="2"/>
  <c r="AD4" i="2"/>
  <c r="G8" i="2"/>
  <c r="AD16" i="2"/>
  <c r="T28" i="2"/>
  <c r="V28" i="2" s="1"/>
  <c r="T34" i="2"/>
  <c r="V34" i="2" s="1"/>
  <c r="G6" i="2"/>
  <c r="AQ17" i="2"/>
  <c r="AS17" i="2" s="1"/>
  <c r="AQ18" i="2"/>
  <c r="AS18" i="2" s="1"/>
  <c r="G18" i="2"/>
  <c r="AD20" i="2"/>
  <c r="T35" i="2"/>
  <c r="V35" i="2" s="1"/>
  <c r="T4" i="2"/>
  <c r="V4" i="2" s="1"/>
  <c r="T9" i="2"/>
  <c r="V9" i="2" s="1"/>
  <c r="T15" i="2"/>
  <c r="V15" i="2" s="1"/>
  <c r="T20" i="2"/>
  <c r="V20" i="2" s="1"/>
  <c r="T7" i="2"/>
  <c r="V7" i="2" s="1"/>
  <c r="AQ9" i="2"/>
  <c r="AS9" i="2" s="1"/>
  <c r="AQ14" i="2"/>
  <c r="AS14" i="2" s="1"/>
  <c r="T17" i="2"/>
  <c r="V17" i="2" s="1"/>
  <c r="AQ34" i="2"/>
  <c r="AS34" i="2" s="1"/>
  <c r="AQ5" i="2"/>
  <c r="AS5" i="2" s="1"/>
  <c r="AQ10" i="2"/>
  <c r="AS10" i="2" s="1"/>
  <c r="T13" i="2"/>
  <c r="V13" i="2" s="1"/>
  <c r="AQ6" i="2"/>
  <c r="AS6" i="2" s="1"/>
  <c r="AQ19" i="2"/>
  <c r="AS19" i="2" s="1"/>
  <c r="AQ23" i="2"/>
  <c r="AS23" i="2" s="1"/>
  <c r="AQ25" i="2"/>
  <c r="AS25" i="2" s="1"/>
  <c r="AQ13" i="2"/>
  <c r="AS13" i="2" s="1"/>
  <c r="AQ27" i="2"/>
  <c r="AS27" i="2" s="1"/>
  <c r="AQ3" i="2"/>
  <c r="AS3" i="2" s="1"/>
  <c r="AQ7" i="2"/>
  <c r="AS7" i="2" s="1"/>
  <c r="AQ11" i="2"/>
  <c r="AS11" i="2" s="1"/>
  <c r="AQ15" i="2"/>
  <c r="AS15" i="2" s="1"/>
  <c r="AQ20" i="2"/>
  <c r="AS20" i="2" s="1"/>
  <c r="AQ31" i="2"/>
  <c r="AS31" i="2" s="1"/>
  <c r="AQ4" i="2"/>
  <c r="AS4" i="2" s="1"/>
  <c r="AQ8" i="2"/>
  <c r="AS8" i="2" s="1"/>
  <c r="AQ12" i="2"/>
  <c r="AS12" i="2" s="1"/>
  <c r="AQ16" i="2"/>
  <c r="AS16" i="2" s="1"/>
  <c r="AQ26" i="2"/>
  <c r="AS26" i="2" s="1"/>
  <c r="AQ28" i="2"/>
  <c r="AS28" i="2" s="1"/>
  <c r="T19" i="2"/>
  <c r="V19" i="2" s="1"/>
  <c r="T25" i="2"/>
  <c r="V25" i="2" s="1"/>
  <c r="T32" i="2"/>
  <c r="V32" i="2" s="1"/>
  <c r="T3" i="2"/>
  <c r="V3" i="2" s="1"/>
  <c r="T10" i="2"/>
  <c r="V10" i="2" s="1"/>
  <c r="T29" i="2"/>
  <c r="V29" i="2" s="1"/>
  <c r="T8" i="2"/>
  <c r="V8" i="2" s="1"/>
  <c r="T22" i="2"/>
  <c r="V22" i="2" s="1"/>
  <c r="T16" i="2"/>
  <c r="V16" i="2" s="1"/>
  <c r="T26" i="2"/>
  <c r="V26" i="2" s="1"/>
  <c r="P36" i="2"/>
  <c r="T12" i="2"/>
  <c r="V12" i="2" s="1"/>
  <c r="T14" i="2"/>
  <c r="V14" i="2" s="1"/>
  <c r="T18" i="2"/>
  <c r="V18" i="2" s="1"/>
  <c r="T23" i="2"/>
  <c r="V23" i="2" s="1"/>
  <c r="T6" i="2"/>
  <c r="V6" i="2" s="1"/>
  <c r="T27" i="2"/>
  <c r="V27" i="2" s="1"/>
  <c r="T11" i="2"/>
  <c r="V11" i="2" s="1"/>
  <c r="T24" i="2"/>
  <c r="V24" i="2" s="1"/>
  <c r="T30" i="2"/>
  <c r="V30" i="2" s="1"/>
  <c r="AQ2" i="2"/>
  <c r="AM36" i="2"/>
  <c r="Q36" i="2"/>
  <c r="Q37" i="2" s="1"/>
  <c r="T2" i="2"/>
  <c r="AD9" i="2"/>
  <c r="G13" i="2"/>
  <c r="AD5" i="2"/>
  <c r="AG36" i="2" s="1"/>
  <c r="G9" i="2"/>
  <c r="AN36" i="2"/>
  <c r="AN37" i="2" s="1"/>
  <c r="G5" i="2"/>
  <c r="G17" i="2"/>
  <c r="AD13" i="2"/>
  <c r="AD17" i="2"/>
  <c r="AD10" i="2"/>
  <c r="AD14" i="2"/>
  <c r="AD18" i="2"/>
  <c r="G3" i="2"/>
  <c r="G11" i="2"/>
  <c r="G15" i="2"/>
  <c r="G19" i="2"/>
  <c r="G7" i="2"/>
  <c r="E31" i="3" l="1"/>
  <c r="T36" i="2"/>
  <c r="V2" i="2"/>
  <c r="V36" i="2" s="1"/>
  <c r="AS2" i="2"/>
  <c r="AS36" i="2" s="1"/>
  <c r="AQ36" i="2"/>
  <c r="AQ3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<sst xmlns="http://schemas.openxmlformats.org/spreadsheetml/2006/main" count="193" uniqueCount="141">
  <si>
    <t>id</t>
    <phoneticPr fontId="3"/>
  </si>
  <si>
    <t>media</t>
    <phoneticPr fontId="3"/>
  </si>
  <si>
    <t>seinen</t>
    <phoneticPr fontId="3"/>
  </si>
  <si>
    <t>work</t>
    <phoneticPr fontId="3"/>
  </si>
  <si>
    <t>work_h</t>
    <phoneticPr fontId="3"/>
  </si>
  <si>
    <t>連結</t>
    <rPh sb="0" eb="2">
      <t>レンケツ</t>
    </rPh>
    <phoneticPr fontId="3"/>
  </si>
  <si>
    <t>media-v</t>
    <phoneticPr fontId="3"/>
  </si>
  <si>
    <t>work-v</t>
    <phoneticPr fontId="3"/>
  </si>
  <si>
    <t>理論SP</t>
    <rPh sb="0" eb="2">
      <t>リロン</t>
    </rPh>
    <phoneticPr fontId="3"/>
  </si>
  <si>
    <t>ピンク</t>
    <phoneticPr fontId="3"/>
  </si>
  <si>
    <t>オレンジ</t>
    <phoneticPr fontId="3"/>
  </si>
  <si>
    <t>イエロー</t>
    <phoneticPr fontId="3"/>
  </si>
  <si>
    <t>グリーン</t>
    <phoneticPr fontId="3"/>
  </si>
  <si>
    <t>他</t>
    <rPh sb="0" eb="1">
      <t>ホカ</t>
    </rPh>
    <phoneticPr fontId="3"/>
  </si>
  <si>
    <t>付箋有無合計</t>
    <rPh sb="0" eb="2">
      <t>フセン</t>
    </rPh>
    <rPh sb="2" eb="4">
      <t>ウム</t>
    </rPh>
    <rPh sb="4" eb="6">
      <t>ゴウケイ</t>
    </rPh>
    <phoneticPr fontId="3"/>
  </si>
  <si>
    <t>外周優先SP合計</t>
    <rPh sb="0" eb="2">
      <t>ガイシュウ</t>
    </rPh>
    <rPh sb="2" eb="4">
      <t>ユウセン</t>
    </rPh>
    <rPh sb="6" eb="8">
      <t>ゴウケイ</t>
    </rPh>
    <phoneticPr fontId="3"/>
  </si>
  <si>
    <t>調整</t>
    <rPh sb="0" eb="2">
      <t>チョウセイ</t>
    </rPh>
    <phoneticPr fontId="3"/>
  </si>
  <si>
    <t>島中実SP数</t>
    <rPh sb="0" eb="2">
      <t>シマナカ</t>
    </rPh>
    <rPh sb="2" eb="3">
      <t>ジツ</t>
    </rPh>
    <rPh sb="5" eb="6">
      <t>スウ</t>
    </rPh>
    <phoneticPr fontId="3"/>
  </si>
  <si>
    <t>事故SP数</t>
    <rPh sb="0" eb="2">
      <t>ジコ</t>
    </rPh>
    <rPh sb="4" eb="5">
      <t>スウ</t>
    </rPh>
    <phoneticPr fontId="3"/>
  </si>
  <si>
    <t>島中合計SP数</t>
    <rPh sb="0" eb="2">
      <t>シマナカ</t>
    </rPh>
    <rPh sb="2" eb="4">
      <t>ゴウケイ</t>
    </rPh>
    <rPh sb="6" eb="7">
      <t>カズ</t>
    </rPh>
    <phoneticPr fontId="3"/>
  </si>
  <si>
    <t>space</t>
    <phoneticPr fontId="3"/>
  </si>
  <si>
    <t>外周優先SP合計</t>
    <rPh sb="0" eb="4">
      <t>ガイシュウユウセン</t>
    </rPh>
    <rPh sb="6" eb="8">
      <t>ゴウケイ</t>
    </rPh>
    <phoneticPr fontId="3"/>
  </si>
  <si>
    <t>事故SP数</t>
    <rPh sb="0" eb="2">
      <t>ジコ</t>
    </rPh>
    <rPh sb="4" eb="5">
      <t>カズ</t>
    </rPh>
    <phoneticPr fontId="3"/>
  </si>
  <si>
    <t>成年向け無</t>
    <rPh sb="0" eb="3">
      <t>セイネンム</t>
    </rPh>
    <rPh sb="4" eb="5">
      <t>ナ</t>
    </rPh>
    <phoneticPr fontId="3"/>
  </si>
  <si>
    <t>Ａ</t>
    <phoneticPr fontId="3"/>
  </si>
  <si>
    <t>成年向け有</t>
    <rPh sb="0" eb="3">
      <t>セイネンム</t>
    </rPh>
    <rPh sb="4" eb="5">
      <t>アリ</t>
    </rPh>
    <phoneticPr fontId="3"/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</si>
  <si>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</si>
  <si>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</si>
  <si>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</si>
  <si>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</si>
  <si>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</si>
  <si>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</si>
  <si>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</si>
  <si>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</si>
  <si>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</si>
  <si>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</si>
  <si>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</si>
  <si>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M</t>
  </si>
  <si>
    <t>N</t>
    <phoneticPr fontId="3"/>
  </si>
  <si>
    <t>Ｖ</t>
  </si>
  <si>
    <t>Ｗ</t>
  </si>
  <si>
    <t>Ｘ</t>
  </si>
  <si>
    <t>Ｙ</t>
  </si>
  <si>
    <t>Ｚ</t>
  </si>
  <si>
    <t>合計</t>
    <rPh sb="0" eb="2">
      <t>ゴウケイ</t>
    </rPh>
    <phoneticPr fontId="3"/>
  </si>
  <si>
    <t>外周抜き</t>
    <rPh sb="0" eb="3">
      <t>ガイシュウヌ</t>
    </rPh>
    <phoneticPr fontId="3"/>
  </si>
  <si>
    <t>事故SP</t>
    <rPh sb="0" eb="2">
      <t>ジコ</t>
    </rPh>
    <phoneticPr fontId="3"/>
  </si>
  <si>
    <t>事故Sp</t>
    <rPh sb="0" eb="2">
      <t>ジコ</t>
    </rPh>
    <phoneticPr fontId="3"/>
  </si>
  <si>
    <t>あ</t>
    <phoneticPr fontId="3"/>
  </si>
  <si>
    <t>block_id</t>
    <phoneticPr fontId="3"/>
  </si>
  <si>
    <t>block</t>
    <phoneticPr fontId="3"/>
  </si>
  <si>
    <t>外周？</t>
    <rPh sb="0" eb="2">
      <t>ガイシュウ</t>
    </rPh>
    <phoneticPr fontId="3"/>
  </si>
  <si>
    <t>外周</t>
    <rPh sb="0" eb="2">
      <t>ガイシュウ</t>
    </rPh>
    <phoneticPr fontId="3"/>
  </si>
  <si>
    <t>い</t>
    <phoneticPr fontId="3"/>
  </si>
  <si>
    <t>う</t>
    <phoneticPr fontId="3"/>
  </si>
  <si>
    <t>え</t>
    <phoneticPr fontId="3"/>
  </si>
  <si>
    <t>お</t>
    <phoneticPr fontId="3"/>
  </si>
  <si>
    <t>か</t>
    <phoneticPr fontId="3"/>
  </si>
  <si>
    <t>き</t>
    <phoneticPr fontId="3"/>
  </si>
  <si>
    <t>く</t>
    <phoneticPr fontId="3"/>
  </si>
  <si>
    <t>け</t>
    <phoneticPr fontId="3"/>
  </si>
  <si>
    <t>こ</t>
    <phoneticPr fontId="3"/>
  </si>
  <si>
    <t>さ</t>
    <phoneticPr fontId="3"/>
  </si>
  <si>
    <t>し</t>
    <phoneticPr fontId="3"/>
  </si>
  <si>
    <t>す</t>
    <phoneticPr fontId="3"/>
  </si>
  <si>
    <t>せ</t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</si>
  <si>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</si>
  <si>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</si>
  <si>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</si>
  <si>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</si>
  <si>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E</t>
    <phoneticPr fontId="3"/>
  </si>
  <si>
    <t>F</t>
    <phoneticPr fontId="3"/>
  </si>
  <si>
    <t>成年向け</t>
    <rPh sb="0" eb="3">
      <t>セイネンム</t>
    </rPh>
    <phoneticPr fontId="3"/>
  </si>
  <si>
    <t>無</t>
    <rPh sb="0" eb="1">
      <t>ナ</t>
    </rPh>
    <phoneticPr fontId="3"/>
  </si>
  <si>
    <t>有</t>
    <rPh sb="0" eb="1">
      <t>アリ</t>
    </rPh>
    <phoneticPr fontId="3"/>
  </si>
  <si>
    <t>成年向け</t>
    <rPh sb="0" eb="3">
      <t>セイネンム</t>
    </rPh>
    <phoneticPr fontId="1"/>
  </si>
  <si>
    <t>机数</t>
    <rPh sb="0" eb="1">
      <t>ツクエ</t>
    </rPh>
    <rPh sb="1" eb="2">
      <t>カズ</t>
    </rPh>
    <phoneticPr fontId="3"/>
  </si>
  <si>
    <t>SP数</t>
    <rPh sb="2" eb="3">
      <t>カズ</t>
    </rPh>
    <phoneticPr fontId="3"/>
  </si>
  <si>
    <t>そ</t>
    <phoneticPr fontId="1"/>
  </si>
  <si>
    <t>た</t>
    <phoneticPr fontId="1"/>
  </si>
  <si>
    <t>ち</t>
    <phoneticPr fontId="1"/>
  </si>
  <si>
    <t>つ</t>
    <phoneticPr fontId="3"/>
  </si>
  <si>
    <t>外周抜きSP数</t>
    <rPh sb="0" eb="3">
      <t>ガイシュウヌ</t>
    </rPh>
    <rPh sb="6" eb="7">
      <t>スウ</t>
    </rPh>
    <phoneticPr fontId="1"/>
  </si>
  <si>
    <t>mediacode</t>
  </si>
  <si>
    <t>media-v</t>
  </si>
  <si>
    <t>漫画／イラスト</t>
    <rPh sb="0" eb="2">
      <t>マンガ</t>
    </rPh>
    <phoneticPr fontId="2"/>
  </si>
  <si>
    <t>小説</t>
    <rPh sb="0" eb="2">
      <t>ショウセツ</t>
    </rPh>
    <phoneticPr fontId="2"/>
  </si>
  <si>
    <t>その他</t>
    <rPh sb="2" eb="3">
      <t>タ</t>
    </rPh>
    <phoneticPr fontId="2"/>
  </si>
  <si>
    <t>音楽</t>
    <rPh sb="0" eb="2">
      <t>オンガク</t>
    </rPh>
    <phoneticPr fontId="2"/>
  </si>
  <si>
    <t>ゲーム</t>
  </si>
  <si>
    <t>映像</t>
    <rPh sb="0" eb="2">
      <t>エイゾウ</t>
    </rPh>
    <phoneticPr fontId="2"/>
  </si>
  <si>
    <t>写真集</t>
    <rPh sb="0" eb="2">
      <t>シャシン</t>
    </rPh>
    <rPh sb="2" eb="3">
      <t>シュウ</t>
    </rPh>
    <phoneticPr fontId="2"/>
  </si>
  <si>
    <t>造形物</t>
    <rPh sb="0" eb="2">
      <t>ゾウケイ</t>
    </rPh>
    <rPh sb="2" eb="3">
      <t>ブツ</t>
    </rPh>
    <phoneticPr fontId="1"/>
  </si>
  <si>
    <t>非電源ゲーム</t>
    <rPh sb="0" eb="1">
      <t>ヒ</t>
    </rPh>
    <rPh sb="1" eb="3">
      <t>デンゲン</t>
    </rPh>
    <phoneticPr fontId="1"/>
  </si>
  <si>
    <t>布物</t>
    <rPh sb="0" eb="1">
      <t>ヌノ</t>
    </rPh>
    <rPh sb="1" eb="2">
      <t>モノ</t>
    </rPh>
    <phoneticPr fontId="1"/>
  </si>
  <si>
    <t>装飾品</t>
    <rPh sb="0" eb="3">
      <t>ソウショクヒン</t>
    </rPh>
    <phoneticPr fontId="1"/>
  </si>
  <si>
    <t>日用品</t>
    <rPh sb="0" eb="3">
      <t>ニチヨウヒン</t>
    </rPh>
    <phoneticPr fontId="1"/>
  </si>
  <si>
    <t>イラスト</t>
  </si>
  <si>
    <t>その他</t>
    <rPh sb="2" eb="3">
      <t>タ</t>
    </rPh>
    <phoneticPr fontId="1"/>
  </si>
  <si>
    <t>落選</t>
    <rPh sb="0" eb="2">
      <t>ラクセン</t>
    </rPh>
    <phoneticPr fontId="3"/>
  </si>
  <si>
    <t>work-h</t>
  </si>
  <si>
    <t>work-v</t>
  </si>
  <si>
    <t>A</t>
  </si>
  <si>
    <t>主人公</t>
    <rPh sb="0" eb="3">
      <t>シュジンコウ</t>
    </rPh>
    <phoneticPr fontId="1"/>
  </si>
  <si>
    <t>B</t>
  </si>
  <si>
    <t>紅魔郷</t>
    <rPh sb="0" eb="1">
      <t>コウ</t>
    </rPh>
    <rPh sb="1" eb="2">
      <t>マ</t>
    </rPh>
    <rPh sb="2" eb="3">
      <t>キョウ</t>
    </rPh>
    <phoneticPr fontId="1"/>
  </si>
  <si>
    <t>C</t>
  </si>
  <si>
    <t>妖々夢</t>
    <rPh sb="0" eb="1">
      <t>ヨウ</t>
    </rPh>
    <rPh sb="2" eb="3">
      <t>ム</t>
    </rPh>
    <phoneticPr fontId="1"/>
  </si>
  <si>
    <t>D</t>
  </si>
  <si>
    <t>永夜抄・儚月抄</t>
    <rPh sb="0" eb="1">
      <t>エイ</t>
    </rPh>
    <rPh sb="1" eb="2">
      <t>ヨル</t>
    </rPh>
    <rPh sb="2" eb="3">
      <t>ショウ</t>
    </rPh>
    <rPh sb="4" eb="7">
      <t>ボウゲツショウ</t>
    </rPh>
    <phoneticPr fontId="1"/>
  </si>
  <si>
    <t>E</t>
  </si>
  <si>
    <t>花映塚</t>
  </si>
  <si>
    <t>F</t>
  </si>
  <si>
    <t>風神録・文花帖・ダブスポ</t>
    <rPh sb="4" eb="5">
      <t>モン</t>
    </rPh>
    <phoneticPr fontId="1"/>
  </si>
  <si>
    <t>G</t>
  </si>
  <si>
    <t>地霊殿</t>
  </si>
  <si>
    <t>H</t>
  </si>
  <si>
    <t>星蓮船</t>
  </si>
  <si>
    <t>I</t>
  </si>
  <si>
    <t>神霊廟</t>
  </si>
  <si>
    <t>J</t>
  </si>
  <si>
    <t>輝針城</t>
    <rPh sb="0" eb="1">
      <t>カガヤ</t>
    </rPh>
    <rPh sb="1" eb="2">
      <t>ハリ</t>
    </rPh>
    <rPh sb="2" eb="3">
      <t>シロ</t>
    </rPh>
    <phoneticPr fontId="1"/>
  </si>
  <si>
    <t>K</t>
  </si>
  <si>
    <t>紺珠伝</t>
    <rPh sb="0" eb="1">
      <t>コン</t>
    </rPh>
    <rPh sb="1" eb="2">
      <t>ジュ</t>
    </rPh>
    <rPh sb="2" eb="3">
      <t>デン</t>
    </rPh>
    <phoneticPr fontId="1"/>
  </si>
  <si>
    <t>L</t>
  </si>
  <si>
    <t>天空璋</t>
    <rPh sb="0" eb="2">
      <t>テンクウ</t>
    </rPh>
    <rPh sb="2" eb="3">
      <t>ショウ</t>
    </rPh>
    <phoneticPr fontId="1"/>
  </si>
  <si>
    <t>鬼形獣</t>
    <rPh sb="0" eb="1">
      <t>オニ</t>
    </rPh>
    <rPh sb="1" eb="2">
      <t>カタチ</t>
    </rPh>
    <rPh sb="2" eb="3">
      <t>ケモノ</t>
    </rPh>
    <phoneticPr fontId="1"/>
  </si>
  <si>
    <t>N</t>
  </si>
  <si>
    <t>虹龍洞</t>
    <rPh sb="0" eb="3">
      <t>コウリュウドウ</t>
    </rPh>
    <phoneticPr fontId="3"/>
  </si>
  <si>
    <t>V</t>
  </si>
  <si>
    <t>黄昏作品</t>
    <rPh sb="0" eb="4">
      <t>タソガレサクヒン</t>
    </rPh>
    <phoneticPr fontId="3"/>
  </si>
  <si>
    <t>W</t>
  </si>
  <si>
    <t>秘封</t>
    <rPh sb="0" eb="1">
      <t>ヒ</t>
    </rPh>
    <rPh sb="1" eb="2">
      <t>フウ</t>
    </rPh>
    <phoneticPr fontId="1"/>
  </si>
  <si>
    <t>X</t>
  </si>
  <si>
    <t>書籍</t>
    <rPh sb="0" eb="2">
      <t>ショセキ</t>
    </rPh>
    <phoneticPr fontId="1"/>
  </si>
  <si>
    <t>Y</t>
  </si>
  <si>
    <t>その他作品</t>
    <rPh sb="2" eb="3">
      <t>タ</t>
    </rPh>
    <rPh sb="3" eb="5">
      <t>サクヒン</t>
    </rPh>
    <phoneticPr fontId="1"/>
  </si>
  <si>
    <t>Z</t>
  </si>
  <si>
    <t>机数</t>
    <rPh sb="0" eb="2">
      <t>ツクエカズ</t>
    </rPh>
    <phoneticPr fontId="1"/>
  </si>
  <si>
    <t>外周含むSP</t>
    <rPh sb="0" eb="3">
      <t>ガイシュウフク</t>
    </rPh>
    <phoneticPr fontId="3"/>
  </si>
  <si>
    <t>外周なしSP</t>
    <rPh sb="0" eb="2">
      <t>ガイシュウ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</si>
</sst>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源ノ角ゴシック JP"/>
      <family val="2"/>
      <charset val="128"/>
    </font>
    <font>
      <sz val="6"/>
      <name val="源ノ角ゴシック JP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1" xfId="1" applyBorder="1">
      <alignment vertical="center"/>
    </xf>
    <xf numFmtId="0" fontId="2" fillId="2" borderId="1" xfId="1" applyFill="1" applyBorder="1">
      <alignment vertical="center"/>
    </xf>
    <xf numFmtId="0" fontId="2" fillId="3" borderId="1" xfId="1" applyFill="1" applyBorder="1">
      <alignment vertical="center"/>
    </xf>
    <xf numFmtId="0" fontId="2" fillId="0" borderId="0" xfId="1">
      <alignment vertical="center"/>
    </xf>
    <xf numFmtId="0" fontId="2" fillId="9" borderId="1" xfId="1" applyFill="1" applyBorder="1">
      <alignment vertical="center"/>
    </xf>
    <xf numFmtId="0" fontId="2" fillId="10" borderId="1" xfId="1" applyFill="1" applyBorder="1">
      <alignment vertical="center"/>
    </xf>
    <xf numFmtId="0" fontId="8" fillId="0" borderId="0" xfId="1" applyFont="1">
      <alignment vertical="center"/>
    </xf>
    <xf numFmtId="0" fontId="2" fillId="0" borderId="0" xfId="1" applyAlignment="1">
      <alignment horizontal="center" vertical="center"/>
    </xf>
    <xf numFmtId="0" fontId="7" fillId="0" borderId="0" xfId="1" applyFont="1">
      <alignment vertical="center"/>
    </xf>
    <xf numFmtId="0" fontId="2" fillId="0" borderId="5" xfId="1" applyBorder="1">
      <alignment vertical="center"/>
    </xf>
    <xf numFmtId="0" fontId="4" fillId="4" borderId="0" xfId="1" applyFont="1" applyFill="1">
      <alignment vertical="center"/>
    </xf>
    <xf numFmtId="0" fontId="4" fillId="5" borderId="0" xfId="1" applyFont="1" applyFill="1">
      <alignment vertical="center"/>
    </xf>
    <xf numFmtId="0" fontId="4" fillId="6" borderId="0" xfId="1" applyFont="1" applyFill="1">
      <alignment vertical="center"/>
    </xf>
    <xf numFmtId="0" fontId="4" fillId="7" borderId="0" xfId="1" applyFont="1" applyFill="1">
      <alignment vertical="center"/>
    </xf>
    <xf numFmtId="0" fontId="4" fillId="8" borderId="0" xfId="1" applyFont="1" applyFill="1">
      <alignment vertical="center"/>
    </xf>
    <xf numFmtId="0" fontId="2" fillId="5" borderId="7" xfId="1" applyFill="1" applyBorder="1">
      <alignment vertical="center"/>
    </xf>
    <xf numFmtId="0" fontId="2" fillId="6" borderId="7" xfId="1" applyFill="1" applyBorder="1">
      <alignment vertical="center"/>
    </xf>
    <xf numFmtId="0" fontId="2" fillId="7" borderId="7" xfId="1" applyFill="1" applyBorder="1">
      <alignment vertical="center"/>
    </xf>
    <xf numFmtId="0" fontId="2" fillId="8" borderId="8" xfId="1" applyFill="1" applyBorder="1">
      <alignment vertical="center"/>
    </xf>
    <xf numFmtId="0" fontId="2" fillId="5" borderId="0" xfId="1" applyFill="1">
      <alignment vertical="center"/>
    </xf>
    <xf numFmtId="0" fontId="2" fillId="6" borderId="0" xfId="1" applyFill="1">
      <alignment vertical="center"/>
    </xf>
    <xf numFmtId="0" fontId="2" fillId="7" borderId="0" xfId="1" applyFill="1">
      <alignment vertical="center"/>
    </xf>
    <xf numFmtId="0" fontId="2" fillId="8" borderId="10" xfId="1" applyFill="1" applyBorder="1">
      <alignment vertical="center"/>
    </xf>
    <xf numFmtId="0" fontId="2" fillId="5" borderId="4" xfId="1" applyFill="1" applyBorder="1">
      <alignment vertical="center"/>
    </xf>
    <xf numFmtId="0" fontId="2" fillId="6" borderId="4" xfId="1" applyFill="1" applyBorder="1">
      <alignment vertical="center"/>
    </xf>
    <xf numFmtId="0" fontId="2" fillId="7" borderId="4" xfId="1" applyFill="1" applyBorder="1">
      <alignment vertical="center"/>
    </xf>
    <xf numFmtId="0" fontId="2" fillId="8" borderId="12" xfId="1" applyFill="1" applyBorder="1">
      <alignment vertical="center"/>
    </xf>
    <xf numFmtId="0" fontId="2" fillId="3" borderId="0" xfId="1" applyFill="1">
      <alignment vertical="center"/>
    </xf>
    <xf numFmtId="0" fontId="2" fillId="0" borderId="6" xfId="1" applyBorder="1">
      <alignment vertical="center"/>
    </xf>
    <xf numFmtId="0" fontId="2" fillId="4" borderId="7" xfId="1" applyFill="1" applyBorder="1">
      <alignment vertical="center"/>
    </xf>
    <xf numFmtId="0" fontId="2" fillId="0" borderId="9" xfId="1" applyBorder="1">
      <alignment vertical="center"/>
    </xf>
    <xf numFmtId="0" fontId="2" fillId="4" borderId="0" xfId="1" applyFill="1">
      <alignment vertical="center"/>
    </xf>
    <xf numFmtId="0" fontId="2" fillId="0" borderId="11" xfId="1" applyBorder="1">
      <alignment vertical="center"/>
    </xf>
    <xf numFmtId="0" fontId="2" fillId="4" borderId="4" xfId="1" applyFill="1" applyBorder="1">
      <alignment vertical="center"/>
    </xf>
    <xf numFmtId="0" fontId="2" fillId="2" borderId="0" xfId="1" applyFill="1">
      <alignment vertical="center"/>
    </xf>
    <xf numFmtId="0" fontId="2" fillId="2" borderId="13" xfId="1" applyFill="1" applyBorder="1">
      <alignment vertical="center"/>
    </xf>
    <xf numFmtId="0" fontId="2" fillId="2" borderId="14" xfId="1" applyFill="1" applyBorder="1">
      <alignment vertical="center"/>
    </xf>
    <xf numFmtId="0" fontId="2" fillId="5" borderId="14" xfId="1" applyFill="1" applyBorder="1">
      <alignment vertical="center"/>
    </xf>
    <xf numFmtId="0" fontId="2" fillId="2" borderId="15" xfId="1" applyFill="1" applyBorder="1">
      <alignment vertical="center"/>
    </xf>
    <xf numFmtId="0" fontId="2" fillId="10" borderId="0" xfId="1" applyFill="1">
      <alignment vertical="center"/>
    </xf>
    <xf numFmtId="0" fontId="4" fillId="11" borderId="0" xfId="1" applyFont="1" applyFill="1">
      <alignment vertical="center"/>
    </xf>
    <xf numFmtId="0" fontId="5" fillId="10" borderId="0" xfId="1" applyFont="1" applyFill="1">
      <alignment vertical="center"/>
    </xf>
    <xf numFmtId="0" fontId="6" fillId="10" borderId="0" xfId="1" applyFont="1" applyFill="1">
      <alignment vertical="center"/>
    </xf>
    <xf numFmtId="0" fontId="2" fillId="13" borderId="13" xfId="1" applyFill="1" applyBorder="1">
      <alignment vertical="center"/>
    </xf>
    <xf numFmtId="0" fontId="2" fillId="13" borderId="14" xfId="1" applyFill="1" applyBorder="1">
      <alignment vertical="center"/>
    </xf>
    <xf numFmtId="0" fontId="2" fillId="13" borderId="15" xfId="1" applyFill="1" applyBorder="1">
      <alignment vertical="center"/>
    </xf>
    <xf numFmtId="0" fontId="7" fillId="13" borderId="13" xfId="1" applyFont="1" applyFill="1" applyBorder="1">
      <alignment vertical="center"/>
    </xf>
    <xf numFmtId="0" fontId="7" fillId="13" borderId="14" xfId="1" applyFont="1" applyFill="1" applyBorder="1">
      <alignment vertical="center"/>
    </xf>
    <xf numFmtId="0" fontId="7" fillId="13" borderId="15" xfId="1" applyFont="1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14" borderId="17" xfId="0" applyFill="1" applyBorder="1">
      <alignment vertical="center"/>
    </xf>
    <xf numFmtId="0" fontId="0" fillId="0" borderId="3" xfId="0" applyBorder="1">
      <alignment vertical="center"/>
    </xf>
    <xf numFmtId="0" fontId="0" fillId="14" borderId="3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9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8" fillId="0" borderId="0" xfId="0" applyFont="1">
      <alignment vertical="center"/>
    </xf>
    <xf numFmtId="0" fontId="2" fillId="12" borderId="2" xfId="1" applyFill="1" applyBorder="1" applyAlignment="1">
      <alignment horizontal="center" vertical="center"/>
    </xf>
    <xf numFmtId="0" fontId="2" fillId="10" borderId="2" xfId="1" applyFill="1" applyBorder="1" applyAlignment="1">
      <alignment horizontal="center" vertical="center"/>
    </xf>
    <xf numFmtId="0" fontId="2" fillId="10" borderId="0" xfId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2" fillId="12" borderId="0" xfId="1" applyFill="1" applyBorder="1" applyAlignment="1">
      <alignment horizontal="center" vertical="center"/>
    </xf>
  </cellXfs>
  <cellStyles count="2">
    <cellStyle name="標準" xfId="0" builtinId="0"/>
    <cellStyle name="標準 2" xfId="1" xr:uid="{31D2F32B-D22B-4D9C-AC97-187119F45464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游ゴシック"/>
        <family val="3"/>
        <charset val="128"/>
        <scheme val="minor"/>
      </font>
      <numFmt numFmtId="0" formatCode="General"/>
      <fill>
        <patternFill patternType="solid">
          <fgColor indexed="64"/>
          <bgColor rgb="FF9933FF"/>
        </patternFill>
      </fill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游ゴシック"/>
        <family val="3"/>
        <charset val="128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9933FF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border outline="0">
        <bottom style="medium">
          <color indexed="64"/>
        </bottom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rgb="FFCC00FF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rgb="FF33CCFF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33CCFF"/>
        </patternFill>
      </fill>
      <border diagonalUp="0" diagonalDown="0" outline="0">
        <left style="medium">
          <color indexed="64"/>
        </left>
        <right/>
        <top/>
        <bottom/>
      </border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99FF"/>
        </patternFill>
      </fill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border outline="0">
        <bottom style="medium">
          <color indexed="64"/>
        </bottom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D5E06-8E55-4917-AA56-5A9F10DD965D}" name="テーブル2" displayName="テーブル2" ref="B1:V36" totalsRowCount="1" headerRowBorderDxfId="40" tableBorderDxfId="39">
  <autoFilter ref="B1:V35" xr:uid="{559E81A7-1112-4CFC-B79B-B74AF3B59D7A}"/>
  <tableColumns count="21">
    <tableColumn id="1" xr3:uid="{EACC96C3-CB0D-4332-B9D1-EAD0896D78E1}" name="id" totalsRowCellStyle="標準 2"/>
    <tableColumn id="2" xr3:uid="{5ADB953D-B1C1-4AC8-BA9B-08F4A36D3388}" name="media" totalsRowCellStyle="標準 2"/>
    <tableColumn id="3" xr3:uid="{97137C77-8FBE-412B-9AF7-E7A9C9403E23}" name="seinen" totalsRowCellStyle="標準 2"/>
    <tableColumn id="4" xr3:uid="{A03764E9-6505-4E49-BC2B-CE13C884154E}" name="work" totalsRowCellStyle="標準 2"/>
    <tableColumn id="10" xr3:uid="{16B7D408-C297-47EF-A690-E67BCE830F16}" name="work_h" dataDxfId="38" totalsRowCellStyle="標準 2">
      <calculatedColumnFormula>ASC(テーブル2[[#This Row],[work]])</calculatedColumnFormula>
    </tableColumn>
    <tableColumn id="5" xr3:uid="{6AC3CD10-E01F-4D7E-9CEC-04BD482A8ED6}" name="連結" dataDxfId="37" totalsRowCellStyle="標準 2">
      <calculatedColumnFormula>IF(テーブル2[[#This Row],[media]]=10,テーブル2[[#This Row],[media]]&amp;テーブル2[[#This Row],[seinen]]&amp;テーブル2[[#This Row],[work_h]],テーブル2[[#This Row],[media]]&amp;テーブル2[[#This Row],[seinen]])</calculatedColumnFormula>
    </tableColumn>
    <tableColumn id="11" xr3:uid="{1DD817A2-40A6-4082-957E-4B73F075A782}" name="media-v" dataDxfId="8" totalsRowCellStyle="標準 2">
      <calculatedColumnFormula>VLOOKUP(テーブル2[[#This Row],[media]],参照用!$A$2:$B$18,2)</calculatedColumnFormula>
    </tableColumn>
    <tableColumn id="12" xr3:uid="{8E9BE67B-B971-4647-AF5B-BE07901CAD58}" name="work-v" dataDxfId="7" totalsRowCellStyle="標準 2">
      <calculatedColumnFormula>IF(テーブル2[[#This Row],[media]]=10,VLOOKUP(テーブル2[[#This Row],[work_h]],参照用!$D$2:$E$20,2),"")</calculatedColumnFormula>
    </tableColumn>
    <tableColumn id="7" xr3:uid="{3B51DC5B-27B9-44CE-9600-ACD8E581EB3C}" name="理論SP" totalsRowFunction="custom" dataDxfId="36" totalsRowCellStyle="標準 2">
      <totalsRowFormula>SUM(テーブル2[理論SP])</totalsRowFormula>
    </tableColumn>
    <tableColumn id="16" xr3:uid="{19EE98BF-8EE1-450C-A31F-111907A32C8A}" name="ピンク" totalsRowFunction="custom" dataDxfId="35" totalsRowCellStyle="標準 2">
      <totalsRowFormula>SUM(テーブル2[ピンク])</totalsRowFormula>
    </tableColumn>
    <tableColumn id="15" xr3:uid="{FCD662BB-B5E9-4502-91EB-C9E5165927A6}" name="オレンジ" totalsRowFunction="custom" dataDxfId="34" totalsRowCellStyle="標準 2">
      <totalsRowFormula>SUM(テーブル2[オレンジ])</totalsRowFormula>
    </tableColumn>
    <tableColumn id="14" xr3:uid="{041E4D3A-CE8E-4A3C-BA59-390491207CF2}" name="イエロー" totalsRowFunction="custom" dataDxfId="33" totalsRowCellStyle="標準 2">
      <totalsRowFormula>SUM(テーブル2[イエロー])</totalsRowFormula>
    </tableColumn>
    <tableColumn id="13" xr3:uid="{79476ED0-3D2F-4EAA-9E61-0C25A4F78F35}" name="グリーン" totalsRowFunction="custom" dataDxfId="32" totalsRowCellStyle="標準 2">
      <totalsRowFormula>SUM(テーブル2[グリーン])</totalsRowFormula>
    </tableColumn>
    <tableColumn id="18" xr3:uid="{9BADE3B4-F834-4550-B478-CB5623F1C428}" name="他" totalsRowFunction="custom" dataDxfId="31" totalsRowCellStyle="標準 2">
      <totalsRowFormula>SUM(テーブル2[他])</totalsRowFormula>
    </tableColumn>
    <tableColumn id="9" xr3:uid="{30C5F12A-3B23-4CAC-B2F7-34500017D933}" name="付箋有無合計" totalsRowFunction="custom" dataDxfId="30" totalsRowCellStyle="標準 2">
      <calculatedColumnFormula>SUM(テーブル2[[#This Row],[ピンク]:[他]])</calculatedColumnFormula>
      <totalsRowFormula>SUM(テーブル2[付箋有無合計])</totalsRowFormula>
    </tableColumn>
    <tableColumn id="19" xr3:uid="{D4CA98D8-A541-472E-A2D3-22931517E60A}" name="外周優先SP合計" totalsRowFunction="custom" dataDxfId="29" totalsRowCellStyle="標準 2">
      <calculatedColumnFormula>SUM(テーブル2[[#This Row],[ピンク]:[オレンジ]])</calculatedColumnFormula>
      <totalsRowFormula>SUM(テーブル2[外周優先SP合計])</totalsRowFormula>
    </tableColumn>
    <tableColumn id="20" xr3:uid="{BE1DE88D-25F4-45E1-AD5F-AA6B6C63FCB3}" name="調整" totalsRowFunction="custom" dataDxfId="28" totalsRowCellStyle="標準 2">
      <totalsRowFormula>SUM(テーブル2[調整])</totalsRowFormula>
    </tableColumn>
    <tableColumn id="8" xr3:uid="{BC5E868D-0008-407B-A862-5AD6F8FE341E}" name="外周抜きSP数" dataDxfId="27" dataCellStyle="標準 2">
      <calculatedColumnFormula>テーブル2[[#This Row],[外周優先SP合計]]+テーブル2[[#This Row],[調整]]</calculatedColumnFormula>
    </tableColumn>
    <tableColumn id="21" xr3:uid="{01201F46-DBAE-4D59-BB15-19D2817396BE}" name="島中実SP数" totalsRowFunction="custom" dataDxfId="26" totalsRowCellStyle="標準 2">
      <calculatedColumnFormula>テーブル2[[#This Row],[付箋有無合計]]-テーブル2[[#This Row],[外周優先SP合計]]-テーブル2[[#This Row],[調整]]</calculatedColumnFormula>
      <totalsRowFormula>SUM(テーブル2[島中実SP数])</totalsRowFormula>
    </tableColumn>
    <tableColumn id="22" xr3:uid="{C2FD876C-4388-49A1-AE7C-599985B1CBB1}" name="事故SP数" totalsRowFunction="custom" dataDxfId="25" totalsRowCellStyle="標準 2">
      <totalsRowFormula>SUM(テーブル2[事故SP数])</totalsRowFormula>
    </tableColumn>
    <tableColumn id="23" xr3:uid="{D05B2CC8-4755-434B-9F3F-EA549C1E2298}" name="島中合計SP数" totalsRowFunction="custom" dataDxfId="24" totalsRowCellStyle="標準 2">
      <calculatedColumnFormula>SUM(テーブル2[[#This Row],[島中実SP数]:[事故SP数]])</calculatedColumnFormula>
      <totalsRowFormula>SUM(テーブル2[島中合計SP数])</totalsRow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CBEA96-2F88-4890-B202-9A3BB14C1A5E}" name="テーブル4" displayName="テーブル4" ref="Y1:AS36" totalsRowCount="1" headerRowDxfId="23" headerRowBorderDxfId="22" tableBorderDxfId="21">
  <autoFilter ref="Y1:AS35" xr:uid="{DC0478B8-C54B-4B4B-9B96-EC907BB05A4A}"/>
  <tableColumns count="21">
    <tableColumn id="1" xr3:uid="{DC4BB877-1677-4AA6-B73B-018CFF31D2B8}" name="id" totalsRowCellStyle="標準 2"/>
    <tableColumn id="2" xr3:uid="{0EC23614-9F9E-4524-AA4D-81A9BAAC1349}" name="media" totalsRowCellStyle="標準 2"/>
    <tableColumn id="3" xr3:uid="{5C1A9747-DDCB-4B2B-85AE-5EB94B3D1437}" name="seinen" totalsRowCellStyle="標準 2"/>
    <tableColumn id="4" xr3:uid="{E2D99784-3E4A-49E9-824C-4BEEE1B55E50}" name="work" totalsRowCellStyle="標準 2"/>
    <tableColumn id="10" xr3:uid="{5CAA7459-62CE-4C77-91A9-111B3539BA4B}" name="work_h" dataDxfId="20" totalsRowCellStyle="標準 2">
      <calculatedColumnFormula>ASC(テーブル4[[#This Row],[work]])</calculatedColumnFormula>
    </tableColumn>
    <tableColumn id="9" xr3:uid="{BE82F958-59BA-4B0A-A660-9933ACE43C5C}" name="連結" dataDxfId="19" totalsRowCellStyle="標準 2">
      <calculatedColumnFormula>IF(テーブル4[[#This Row],[media]]=10,テーブル4[[#This Row],[media]]&amp;テーブル4[[#This Row],[seinen]]&amp;テーブル4[[#This Row],[work_h]],テーブル4[[#This Row],[media]]&amp;テーブル4[[#This Row],[seinen]])</calculatedColumnFormula>
    </tableColumn>
    <tableColumn id="7" xr3:uid="{5ECB45C8-A8E8-4FAE-96ED-99F441B18200}" name="media-v" dataDxfId="6" totalsRowCellStyle="標準 2">
      <calculatedColumnFormula>VLOOKUP(テーブル4[[#This Row],[media]],参照用!$A$2:$B$18,2)</calculatedColumnFormula>
    </tableColumn>
    <tableColumn id="8" xr3:uid="{86CF1F38-1606-4A80-825B-41FFC3D84AB5}" name="work-v" dataDxfId="5" totalsRowCellStyle="標準 2">
      <calculatedColumnFormula>IF(テーブル4[[#This Row],[media]]=10,VLOOKUP(テーブル4[[#This Row],[work_h]],参照用!$D$2:$E$20,2),"")</calculatedColumnFormula>
    </tableColumn>
    <tableColumn id="12" xr3:uid="{1054B7D1-F2C5-485D-8E3F-AE8908411C2B}" name="space" totalsRowFunction="custom" dataDxfId="18" totalsRowCellStyle="標準 2">
      <totalsRowFormula>SUM(テーブル4[space])</totalsRowFormula>
    </tableColumn>
    <tableColumn id="13" xr3:uid="{A0913E7A-3FFB-4A9B-BDFA-58254A693573}" name="ピンク" totalsRowFunction="custom" dataDxfId="17" totalsRowCellStyle="標準 2">
      <totalsRowFormula>SUM(テーブル4[ピンク])</totalsRowFormula>
    </tableColumn>
    <tableColumn id="14" xr3:uid="{ABC28A37-5079-4B31-9B10-059F5754C0E6}" name="オレンジ" totalsRowFunction="custom" dataDxfId="16" totalsRowCellStyle="標準 2">
      <totalsRowFormula>SUM(テーブル4[オレンジ])</totalsRowFormula>
    </tableColumn>
    <tableColumn id="15" xr3:uid="{C33DBFE0-E008-4822-9046-65E32406BEA2}" name="イエロー" totalsRowFunction="custom" dataDxfId="15" totalsRowCellStyle="標準 2">
      <totalsRowFormula>SUM(テーブル4[イエロー])</totalsRowFormula>
    </tableColumn>
    <tableColumn id="16" xr3:uid="{AFDC9773-C6BB-4416-8178-F0EE06A93095}" name="グリーン" totalsRowFunction="custom" dataDxfId="14" totalsRowCellStyle="標準 2">
      <totalsRowFormula>SUM(テーブル4[グリーン])</totalsRowFormula>
    </tableColumn>
    <tableColumn id="17" xr3:uid="{ABA7EAC0-D053-4F12-8082-46AC011D93C0}" name="他" totalsRowFunction="custom" dataDxfId="13" totalsRowCellStyle="標準 2">
      <totalsRowFormula>SUM(テーブル4[他])</totalsRowFormula>
    </tableColumn>
    <tableColumn id="18" xr3:uid="{7DAA8D4F-84FA-41F9-A3F0-795CB4029746}" name="付箋有無合計" totalsRowFunction="custom" dataDxfId="12" totalsRowCellStyle="標準 2">
      <calculatedColumnFormula>SUM(テーブル4[[#This Row],[ピンク]:[他]])</calculatedColumnFormula>
      <totalsRowFormula>SUM(テーブル4[付箋有無合計])</totalsRowFormula>
    </tableColumn>
    <tableColumn id="5" xr3:uid="{CC7DB441-E776-4CDB-BDEB-6F119722A375}" name="外周優先SP合計" totalsRowFunction="custom" dataDxfId="11" totalsRowCellStyle="標準 2">
      <calculatedColumnFormula>SUM(テーブル4[[#This Row],[ピンク]:[オレンジ]])</calculatedColumnFormula>
      <totalsRowFormula>SUM(テーブル4[外周優先SP合計])</totalsRowFormula>
    </tableColumn>
    <tableColumn id="6" xr3:uid="{E8FFF9B3-9520-4B14-A520-1451DE38C92B}" name="調整" totalsRowFunction="custom" dataDxfId="2" totalsRowDxfId="4" totalsRowCellStyle="標準 2">
      <totalsRowFormula>SUM(テーブル4[調整])</totalsRowFormula>
    </tableColumn>
    <tableColumn id="22" xr3:uid="{48053D33-14F1-432E-BEB3-2BD3E66D29C4}" name="外周抜きSP数" dataDxfId="0" totalsRowDxfId="3" dataCellStyle="標準 2"/>
    <tableColumn id="11" xr3:uid="{BC27B152-829B-4D3F-A60C-E37195DBABD0}" name="島中実SP数" totalsRowFunction="custom" dataDxfId="1" totalsRowCellStyle="標準 2">
      <calculatedColumnFormula>テーブル4[[#This Row],[付箋有無合計]]-テーブル4[[#This Row],[外周優先SP合計]]-テーブル4[[#This Row],[調整]]</calculatedColumnFormula>
      <totalsRowFormula>SUM(テーブル4[島中実SP数])</totalsRowFormula>
    </tableColumn>
    <tableColumn id="19" xr3:uid="{E87D1F73-A1A1-49BA-AED2-4DD7C2E1F477}" name="事故SP数" totalsRowFunction="custom" dataDxfId="10" totalsRowCellStyle="標準 2">
      <totalsRowFormula>SUM(テーブル4[事故SP数])</totalsRowFormula>
    </tableColumn>
    <tableColumn id="20" xr3:uid="{8BEA2815-B52F-4A86-AD9E-D247D3E0A1F7}" name="島中合計SP数" totalsRowFunction="custom" dataDxfId="9" totalsRowCellStyle="標準 2">
      <calculatedColumnFormula>SUM(テーブル4[[#This Row],[島中実SP数]:[事故SP数]])</calculatedColumnFormula>
      <totalsRowFormula>SUM(テーブル4[島中合計SP数])</totalsRow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AF00-E01D-42E6-ABEC-26003653D490}">
  <sheetPr codeName="Sheet6">
    <pageSetUpPr fitToPage="1"/>
  </sheetPr>
  <dimension ref="A1:AS40"/>
  <sheetViews>
    <sheetView tabSelected="1" topLeftCell="A20" zoomScaleNormal="100" workbookViewId="0">
      <selection activeCell="H40" sqref="H40"/>
    </sheetView>
  </sheetViews>
  <sheetFormatPr defaultColWidth="9" defaultRowHeight="18" x14ac:dyDescent="0.55000000000000004"/>
  <cols>
    <col min="1" max="1" width="10.5" style="4" customWidth="1"/>
    <col min="2" max="2" width="6.33203125" style="4" hidden="1" customWidth="1"/>
    <col min="3" max="4" width="6.33203125" style="4" customWidth="1"/>
    <col min="5" max="5" width="6.33203125" style="4" hidden="1" customWidth="1"/>
    <col min="6" max="6" width="6.33203125" style="4" customWidth="1"/>
    <col min="7" max="7" width="9" style="4" hidden="1" customWidth="1"/>
    <col min="8" max="8" width="11.58203125" style="4" customWidth="1"/>
    <col min="9" max="9" width="9" style="4"/>
    <col min="10" max="15" width="5.83203125" style="4" customWidth="1"/>
    <col min="16" max="16" width="6.83203125" style="4" customWidth="1"/>
    <col min="17" max="19" width="5.83203125" style="4" customWidth="1"/>
    <col min="20" max="20" width="6.5" style="4" customWidth="1"/>
    <col min="21" max="23" width="6.58203125" style="4" customWidth="1"/>
    <col min="24" max="24" width="10.58203125" style="4" customWidth="1"/>
    <col min="25" max="25" width="5.25" style="4" hidden="1" customWidth="1"/>
    <col min="26" max="27" width="5.25" style="4" customWidth="1"/>
    <col min="28" max="28" width="5.25" style="4" hidden="1" customWidth="1"/>
    <col min="29" max="29" width="5.25" style="4" customWidth="1"/>
    <col min="30" max="30" width="0" style="4" hidden="1" customWidth="1"/>
    <col min="31" max="31" width="10.25" style="4" customWidth="1"/>
    <col min="32" max="32" width="10.83203125" style="4" customWidth="1"/>
    <col min="33" max="33" width="6.33203125" style="4" customWidth="1"/>
    <col min="34" max="38" width="5.83203125" style="4" customWidth="1"/>
    <col min="39" max="39" width="6.83203125" style="4" customWidth="1"/>
    <col min="40" max="40" width="6.5" style="4" customWidth="1"/>
    <col min="41" max="42" width="5.83203125" style="9" customWidth="1"/>
    <col min="43" max="45" width="5.83203125" style="4" customWidth="1"/>
    <col min="46" max="16384" width="9" style="4"/>
  </cols>
  <sheetData>
    <row r="1" spans="1:45" ht="18.5" thickBot="1" x14ac:dyDescent="0.6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8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3" t="s">
        <v>14</v>
      </c>
      <c r="Q1" s="3" t="s">
        <v>15</v>
      </c>
      <c r="R1" s="35" t="s">
        <v>16</v>
      </c>
      <c r="S1" s="4" t="s">
        <v>82</v>
      </c>
      <c r="T1" s="3" t="s">
        <v>17</v>
      </c>
      <c r="U1" s="35" t="s">
        <v>18</v>
      </c>
      <c r="V1" s="1" t="s">
        <v>19</v>
      </c>
      <c r="X1" s="1"/>
      <c r="Y1" s="5" t="s">
        <v>0</v>
      </c>
      <c r="Z1" s="6" t="s">
        <v>1</v>
      </c>
      <c r="AA1" s="6" t="s">
        <v>2</v>
      </c>
      <c r="AB1" s="6" t="s">
        <v>3</v>
      </c>
      <c r="AC1" s="6" t="s">
        <v>4</v>
      </c>
      <c r="AD1" s="6" t="s">
        <v>5</v>
      </c>
      <c r="AE1" s="6" t="s">
        <v>6</v>
      </c>
      <c r="AF1" s="6" t="s">
        <v>7</v>
      </c>
      <c r="AG1" s="40" t="s">
        <v>20</v>
      </c>
      <c r="AH1" s="11" t="s">
        <v>9</v>
      </c>
      <c r="AI1" s="41" t="s">
        <v>10</v>
      </c>
      <c r="AJ1" s="13" t="s">
        <v>11</v>
      </c>
      <c r="AK1" s="14" t="s">
        <v>12</v>
      </c>
      <c r="AL1" s="42" t="s">
        <v>13</v>
      </c>
      <c r="AM1" s="6" t="s">
        <v>14</v>
      </c>
      <c r="AN1" s="6" t="s">
        <v>21</v>
      </c>
      <c r="AO1" s="43" t="s">
        <v>16</v>
      </c>
      <c r="AP1" s="59" t="s">
        <v>82</v>
      </c>
      <c r="AQ1" s="6" t="s">
        <v>17</v>
      </c>
      <c r="AR1" s="40" t="s">
        <v>22</v>
      </c>
      <c r="AS1" s="6" t="s">
        <v>19</v>
      </c>
    </row>
    <row r="2" spans="1:45" ht="18.5" thickTop="1" x14ac:dyDescent="0.55000000000000004">
      <c r="A2" s="61" t="s">
        <v>23</v>
      </c>
      <c r="B2" s="4">
        <v>1</v>
      </c>
      <c r="C2" s="4">
        <v>10</v>
      </c>
      <c r="D2" s="4">
        <v>0</v>
      </c>
      <c r="E2" s="4" t="s">
        <v>24</v>
      </c>
      <c r="F2" s="4" t="str">
        <f>ASC(テーブル2[[#This Row],[work]])</f>
        <v>A</v>
      </c>
      <c r="G2" s="4" t="str">
        <f>IF(テーブル2[[#This Row],[media]]=10,テーブル2[[#This Row],[media]]&amp;テーブル2[[#This Row],[seinen]]&amp;テーブル2[[#This Row],[work_h]],テーブル2[[#This Row],[media]]&amp;テーブル2[[#This Row],[seinen]])</f>
        <v>100A</v>
      </c>
      <c r="H2" s="4" t="str">
        <f>VLOOKUP(テーブル2[[#This Row],[media]],参照用!$A$2:$B$18,2)</f>
        <v>漫画／イラスト</v>
      </c>
      <c r="I2" s="4" t="str">
        <f>IF(テーブル2[[#This Row],[media]]=10,VLOOKUP(テーブル2[[#This Row],[work_h]],参照用!$D$2:$E$20,2),"")</f>
        <v>主人公</v>
      </c>
      <c r="J2" s="29"/>
      <c r="K2" s="30"/>
      <c r="L2" s="16"/>
      <c r="M2" s="17"/>
      <c r="N2" s="18"/>
      <c r="O2" s="19"/>
      <c r="P2" s="4">
        <f>SUM(テーブル2[[#This Row],[ピンク]:[他]])</f>
        <v>0</v>
      </c>
      <c r="Q2" s="4">
        <f>SUM(テーブル2[[#This Row],[ピンク]:[オレンジ]])</f>
        <v>0</v>
      </c>
      <c r="R2" s="36"/>
      <c r="S2" s="4">
        <f>テーブル2[[#This Row],[外周優先SP合計]]+テーブル2[[#This Row],[調整]]</f>
        <v>0</v>
      </c>
      <c r="T2" s="4">
        <f>テーブル2[[#This Row],[付箋有無合計]]-テーブル2[[#This Row],[外周優先SP合計]]-テーブル2[[#This Row],[調整]]</f>
        <v>0</v>
      </c>
      <c r="U2" s="36"/>
      <c r="V2" s="4">
        <f>SUM(テーブル2[[#This Row],[島中実SP数]:[事故SP数]])</f>
        <v>0</v>
      </c>
      <c r="X2" s="62" t="s">
        <v>25</v>
      </c>
      <c r="Y2" s="4">
        <v>35</v>
      </c>
      <c r="Z2" s="4">
        <v>10</v>
      </c>
      <c r="AA2" s="4">
        <v>1</v>
      </c>
      <c r="AB2" s="4" t="s">
        <v>24</v>
      </c>
      <c r="AC2" s="4" t="str">
        <f>ASC(テーブル4[[#This Row],[work]])</f>
        <v>A</v>
      </c>
      <c r="AD2" s="4" t="str">
        <f>IF(テーブル4[[#This Row],[media]]=10,テーブル4[[#This Row],[media]]&amp;テーブル4[[#This Row],[seinen]]&amp;テーブル4[[#This Row],[work_h]],テーブル4[[#This Row],[media]]&amp;テーブル4[[#This Row],[seinen]])</f>
        <v>101A</v>
      </c>
      <c r="AE2" s="4" t="str">
        <f>VLOOKUP(テーブル4[[#This Row],[media]],参照用!$A$2:$B$18,2)</f>
        <v>漫画／イラスト</v>
      </c>
      <c r="AF2" s="4" t="str">
        <f>IF(テーブル4[[#This Row],[media]]=10,VLOOKUP(テーブル4[[#This Row],[work_h]],参照用!$D$2:$E$20,2),"")</f>
        <v>主人公</v>
      </c>
      <c r="AG2" s="29"/>
      <c r="AH2" s="30"/>
      <c r="AI2" s="16"/>
      <c r="AJ2" s="17"/>
      <c r="AK2" s="18"/>
      <c r="AL2" s="19"/>
      <c r="AM2" s="4">
        <f>SUM(テーブル4[[#This Row],[ピンク]:[他]])</f>
        <v>0</v>
      </c>
      <c r="AN2" s="4">
        <f>SUM(テーブル4[[#This Row],[ピンク]:[オレンジ]])</f>
        <v>0</v>
      </c>
      <c r="AO2" s="47"/>
      <c r="AP2" s="7"/>
      <c r="AQ2" s="4">
        <f>テーブル4[[#This Row],[付箋有無合計]]-テーブル4[[#This Row],[外周優先SP合計]]-テーブル4[[#This Row],[調整]]</f>
        <v>0</v>
      </c>
      <c r="AR2" s="44"/>
      <c r="AS2" s="4">
        <f>SUM(テーブル4[[#This Row],[島中実SP数]:[事故SP数]])</f>
        <v>0</v>
      </c>
    </row>
    <row r="3" spans="1:45" x14ac:dyDescent="0.55000000000000004">
      <c r="A3" s="65"/>
      <c r="B3" s="4">
        <v>2</v>
      </c>
      <c r="C3" s="4">
        <v>10</v>
      </c>
      <c r="D3" s="4">
        <v>0</v>
      </c>
      <c r="E3" s="4" t="s">
        <v>26</v>
      </c>
      <c r="F3" s="4" t="str">
        <f>ASC(テーブル2[[#This Row],[work]])</f>
        <v>B</v>
      </c>
      <c r="G3" s="4" t="str">
        <f>IF(テーブル2[[#This Row],[media]]=10,テーブル2[[#This Row],[media]]&amp;テーブル2[[#This Row],[seinen]]&amp;テーブル2[[#This Row],[work_h]],テーブル2[[#This Row],[media]]&amp;テーブル2[[#This Row],[seinen]])</f>
        <v>100B</v>
      </c>
      <c r="H3" s="4" t="str">
        <f>VLOOKUP(テーブル2[[#This Row],[media]],参照用!$A$2:$B$18,2)</f>
        <v>漫画／イラスト</v>
      </c>
      <c r="I3" s="4" t="str">
        <f>IF(テーブル2[[#This Row],[media]]=10,VLOOKUP(テーブル2[[#This Row],[work_h]],参照用!$D$2:$E$20,2),"")</f>
        <v>紅魔郷</v>
      </c>
      <c r="J3" s="31"/>
      <c r="K3" s="32"/>
      <c r="L3" s="20"/>
      <c r="M3" s="21"/>
      <c r="N3" s="22"/>
      <c r="O3" s="23"/>
      <c r="P3" s="4">
        <f>SUM(テーブル2[[#This Row],[ピンク]:[他]])</f>
        <v>0</v>
      </c>
      <c r="Q3" s="4">
        <f>SUM(テーブル2[[#This Row],[ピンク]:[オレンジ]])</f>
        <v>0</v>
      </c>
      <c r="R3" s="37"/>
      <c r="S3" s="4">
        <f>テーブル2[[#This Row],[外周優先SP合計]]+テーブル2[[#This Row],[調整]]</f>
        <v>0</v>
      </c>
      <c r="T3" s="4">
        <f>テーブル2[[#This Row],[付箋有無合計]]-テーブル2[[#This Row],[外周優先SP合計]]-テーブル2[[#This Row],[調整]]</f>
        <v>0</v>
      </c>
      <c r="U3" s="37"/>
      <c r="V3" s="4">
        <f>SUM(テーブル2[[#This Row],[島中実SP数]:[事故SP数]])</f>
        <v>0</v>
      </c>
      <c r="X3" s="63"/>
      <c r="Y3" s="4">
        <v>36</v>
      </c>
      <c r="Z3" s="4">
        <v>10</v>
      </c>
      <c r="AA3" s="4">
        <v>1</v>
      </c>
      <c r="AB3" s="4" t="s">
        <v>26</v>
      </c>
      <c r="AC3" s="4" t="str">
        <f>ASC(テーブル4[[#This Row],[work]])</f>
        <v>B</v>
      </c>
      <c r="AD3" s="4" t="str">
        <f>IF(テーブル4[[#This Row],[media]]=10,テーブル4[[#This Row],[media]]&amp;テーブル4[[#This Row],[seinen]]&amp;テーブル4[[#This Row],[work_h]],テーブル4[[#This Row],[media]]&amp;テーブル4[[#This Row],[seinen]])</f>
        <v>101B</v>
      </c>
      <c r="AE3" s="4" t="str">
        <f>VLOOKUP(テーブル4[[#This Row],[media]],参照用!$A$2:$B$18,2)</f>
        <v>漫画／イラスト</v>
      </c>
      <c r="AF3" s="4" t="str">
        <f>IF(テーブル4[[#This Row],[media]]=10,VLOOKUP(テーブル4[[#This Row],[work_h]],参照用!$D$2:$E$20,2),"")</f>
        <v>紅魔郷</v>
      </c>
      <c r="AG3" s="31"/>
      <c r="AH3" s="32"/>
      <c r="AI3" s="20"/>
      <c r="AJ3" s="21"/>
      <c r="AK3" s="22"/>
      <c r="AL3" s="23"/>
      <c r="AM3" s="4">
        <f>SUM(テーブル4[[#This Row],[ピンク]:[他]])</f>
        <v>0</v>
      </c>
      <c r="AN3" s="4">
        <f>SUM(テーブル4[[#This Row],[ピンク]:[オレンジ]])</f>
        <v>0</v>
      </c>
      <c r="AO3" s="48"/>
      <c r="AP3" s="7"/>
      <c r="AQ3" s="4">
        <f>テーブル4[[#This Row],[付箋有無合計]]-テーブル4[[#This Row],[外周優先SP合計]]-テーブル4[[#This Row],[調整]]</f>
        <v>0</v>
      </c>
      <c r="AR3" s="45"/>
      <c r="AS3" s="4">
        <f>SUM(テーブル4[[#This Row],[島中実SP数]:[事故SP数]])</f>
        <v>0</v>
      </c>
    </row>
    <row r="4" spans="1:45" x14ac:dyDescent="0.55000000000000004">
      <c r="A4" s="65"/>
      <c r="B4" s="4">
        <v>3</v>
      </c>
      <c r="C4" s="4">
        <v>10</v>
      </c>
      <c r="D4" s="4">
        <v>0</v>
      </c>
      <c r="E4" s="4" t="s">
        <v>27</v>
      </c>
      <c r="F4" s="4" t="str">
        <f>ASC(テーブル2[[#This Row],[work]])</f>
        <v>C</v>
      </c>
      <c r="G4" s="4" t="str">
        <f>IF(テーブル2[[#This Row],[media]]=10,テーブル2[[#This Row],[media]]&amp;テーブル2[[#This Row],[seinen]]&amp;テーブル2[[#This Row],[work_h]],テーブル2[[#This Row],[media]]&amp;テーブル2[[#This Row],[seinen]])</f>
        <v>100C</v>
      </c>
      <c r="H4" s="4" t="str">
        <f>VLOOKUP(テーブル2[[#This Row],[media]],参照用!$A$2:$B$18,2)</f>
        <v>漫画／イラスト</v>
      </c>
      <c r="I4" s="4" t="str">
        <f>IF(テーブル2[[#This Row],[media]]=10,VLOOKUP(テーブル2[[#This Row],[work_h]],参照用!$D$2:$E$20,2),"")</f>
        <v>妖々夢</v>
      </c>
      <c r="J4" s="31"/>
      <c r="K4" s="32"/>
      <c r="L4" s="20"/>
      <c r="M4" s="21"/>
      <c r="N4" s="22"/>
      <c r="O4" s="23"/>
      <c r="P4" s="4">
        <f>SUM(テーブル2[[#This Row],[ピンク]:[他]])</f>
        <v>0</v>
      </c>
      <c r="Q4" s="4">
        <f>SUM(テーブル2[[#This Row],[ピンク]:[オレンジ]])</f>
        <v>0</v>
      </c>
      <c r="R4" s="37"/>
      <c r="S4" s="4">
        <f>テーブル2[[#This Row],[外周優先SP合計]]+テーブル2[[#This Row],[調整]]</f>
        <v>0</v>
      </c>
      <c r="T4" s="4">
        <f>テーブル2[[#This Row],[付箋有無合計]]-テーブル2[[#This Row],[外周優先SP合計]]-テーブル2[[#This Row],[調整]]</f>
        <v>0</v>
      </c>
      <c r="U4" s="37"/>
      <c r="V4" s="4">
        <f>SUM(テーブル2[[#This Row],[島中実SP数]:[事故SP数]])</f>
        <v>0</v>
      </c>
      <c r="X4" s="63"/>
      <c r="Y4" s="4">
        <v>37</v>
      </c>
      <c r="Z4" s="4">
        <v>10</v>
      </c>
      <c r="AA4" s="4">
        <v>1</v>
      </c>
      <c r="AB4" s="4" t="s">
        <v>27</v>
      </c>
      <c r="AC4" s="4" t="str">
        <f>ASC(テーブル4[[#This Row],[work]])</f>
        <v>C</v>
      </c>
      <c r="AD4" s="4" t="str">
        <f>IF(テーブル4[[#This Row],[media]]=10,テーブル4[[#This Row],[media]]&amp;テーブル4[[#This Row],[seinen]]&amp;テーブル4[[#This Row],[work_h]],テーブル4[[#This Row],[media]]&amp;テーブル4[[#This Row],[seinen]])</f>
        <v>101C</v>
      </c>
      <c r="AE4" s="4" t="str">
        <f>VLOOKUP(テーブル4[[#This Row],[media]],参照用!$A$2:$B$18,2)</f>
        <v>漫画／イラスト</v>
      </c>
      <c r="AF4" s="4" t="str">
        <f>IF(テーブル4[[#This Row],[media]]=10,VLOOKUP(テーブル4[[#This Row],[work_h]],参照用!$D$2:$E$20,2),"")</f>
        <v>妖々夢</v>
      </c>
      <c r="AG4" s="31"/>
      <c r="AH4" s="32"/>
      <c r="AI4" s="20"/>
      <c r="AJ4" s="21"/>
      <c r="AK4" s="22"/>
      <c r="AL4" s="23"/>
      <c r="AM4" s="4">
        <f>SUM(テーブル4[[#This Row],[ピンク]:[他]])</f>
        <v>0</v>
      </c>
      <c r="AN4" s="4">
        <f>SUM(テーブル4[[#This Row],[ピンク]:[オレンジ]])</f>
        <v>0</v>
      </c>
      <c r="AO4" s="48"/>
      <c r="AP4" s="7"/>
      <c r="AQ4" s="4">
        <f>テーブル4[[#This Row],[付箋有無合計]]-テーブル4[[#This Row],[外周優先SP合計]]-テーブル4[[#This Row],[調整]]</f>
        <v>0</v>
      </c>
      <c r="AR4" s="45"/>
      <c r="AS4" s="4">
        <f>SUM(テーブル4[[#This Row],[島中実SP数]:[事故SP数]])</f>
        <v>0</v>
      </c>
    </row>
    <row r="5" spans="1:45" x14ac:dyDescent="0.55000000000000004">
      <c r="A5" s="65"/>
      <c r="B5" s="4">
        <v>4</v>
      </c>
      <c r="C5" s="4">
        <v>10</v>
      </c>
      <c r="D5" s="4">
        <v>0</v>
      </c>
      <c r="E5" s="4" t="s">
        <v>28</v>
      </c>
      <c r="F5" s="4" t="str">
        <f>ASC(テーブル2[[#This Row],[work]])</f>
        <v>D</v>
      </c>
      <c r="G5" s="4" t="str">
        <f>IF(テーブル2[[#This Row],[media]]=10,テーブル2[[#This Row],[media]]&amp;テーブル2[[#This Row],[seinen]]&amp;テーブル2[[#This Row],[work_h]],テーブル2[[#This Row],[media]]&amp;テーブル2[[#This Row],[seinen]])</f>
        <v>100D</v>
      </c>
      <c r="H5" s="4" t="str">
        <f>VLOOKUP(テーブル2[[#This Row],[media]],参照用!$A$2:$B$18,2)</f>
        <v>漫画／イラスト</v>
      </c>
      <c r="I5" s="4" t="str">
        <f>IF(テーブル2[[#This Row],[media]]=10,VLOOKUP(テーブル2[[#This Row],[work_h]],参照用!$D$2:$E$20,2),"")</f>
        <v>永夜抄・儚月抄</v>
      </c>
      <c r="J5" s="31"/>
      <c r="K5" s="32"/>
      <c r="L5" s="20"/>
      <c r="M5" s="21"/>
      <c r="N5" s="22"/>
      <c r="O5" s="23"/>
      <c r="P5" s="4">
        <f>SUM(テーブル2[[#This Row],[ピンク]:[他]])</f>
        <v>0</v>
      </c>
      <c r="Q5" s="4">
        <f>SUM(テーブル2[[#This Row],[ピンク]:[オレンジ]])</f>
        <v>0</v>
      </c>
      <c r="R5" s="37"/>
      <c r="S5" s="4">
        <f>テーブル2[[#This Row],[外周優先SP合計]]+テーブル2[[#This Row],[調整]]</f>
        <v>0</v>
      </c>
      <c r="T5" s="4">
        <f>テーブル2[[#This Row],[付箋有無合計]]-テーブル2[[#This Row],[外周優先SP合計]]-テーブル2[[#This Row],[調整]]</f>
        <v>0</v>
      </c>
      <c r="U5" s="37"/>
      <c r="V5" s="4">
        <f>SUM(テーブル2[[#This Row],[島中実SP数]:[事故SP数]])</f>
        <v>0</v>
      </c>
      <c r="X5" s="63"/>
      <c r="Y5" s="4">
        <v>38</v>
      </c>
      <c r="Z5" s="4">
        <v>10</v>
      </c>
      <c r="AA5" s="4">
        <v>1</v>
      </c>
      <c r="AB5" s="4" t="s">
        <v>28</v>
      </c>
      <c r="AC5" s="4" t="str">
        <f>ASC(テーブル4[[#This Row],[work]])</f>
        <v>D</v>
      </c>
      <c r="AD5" s="4" t="str">
        <f>IF(テーブル4[[#This Row],[media]]=10,テーブル4[[#This Row],[media]]&amp;テーブル4[[#This Row],[seinen]]&amp;テーブル4[[#This Row],[work_h]],テーブル4[[#This Row],[media]]&amp;テーブル4[[#This Row],[seinen]])</f>
        <v>101D</v>
      </c>
      <c r="AE5" s="4" t="str">
        <f>VLOOKUP(テーブル4[[#This Row],[media]],参照用!$A$2:$B$18,2)</f>
        <v>漫画／イラスト</v>
      </c>
      <c r="AF5" s="4" t="str">
        <f>IF(テーブル4[[#This Row],[media]]=10,VLOOKUP(テーブル4[[#This Row],[work_h]],参照用!$D$2:$E$20,2),"")</f>
        <v>永夜抄・儚月抄</v>
      </c>
      <c r="AG5" s="31"/>
      <c r="AH5" s="32"/>
      <c r="AI5" s="20"/>
      <c r="AJ5" s="21"/>
      <c r="AK5" s="22"/>
      <c r="AL5" s="23"/>
      <c r="AM5" s="4">
        <f>SUM(テーブル4[[#This Row],[ピンク]:[他]])</f>
        <v>0</v>
      </c>
      <c r="AN5" s="4">
        <f>SUM(テーブル4[[#This Row],[ピンク]:[オレンジ]])</f>
        <v>0</v>
      </c>
      <c r="AO5" s="48"/>
      <c r="AP5" s="7"/>
      <c r="AQ5" s="4">
        <f>テーブル4[[#This Row],[付箋有無合計]]-テーブル4[[#This Row],[外周優先SP合計]]-テーブル4[[#This Row],[調整]]</f>
        <v>0</v>
      </c>
      <c r="AR5" s="45"/>
      <c r="AS5" s="4">
        <f>SUM(テーブル4[[#This Row],[島中実SP数]:[事故SP数]])</f>
        <v>0</v>
      </c>
    </row>
    <row r="6" spans="1:45" x14ac:dyDescent="0.55000000000000004">
      <c r="A6" s="65"/>
      <c r="B6" s="4">
        <v>5</v>
      </c>
      <c r="C6" s="4">
        <v>10</v>
      </c>
      <c r="D6" s="4">
        <v>0</v>
      </c>
      <c r="E6" s="4" t="s">
        <v>29</v>
      </c>
      <c r="F6" s="4" t="str">
        <f>ASC(テーブル2[[#This Row],[work]])</f>
        <v>E</v>
      </c>
      <c r="G6" s="4" t="str">
        <f>IF(テーブル2[[#This Row],[media]]=10,テーブル2[[#This Row],[media]]&amp;テーブル2[[#This Row],[seinen]]&amp;テーブル2[[#This Row],[work_h]],テーブル2[[#This Row],[media]]&amp;テーブル2[[#This Row],[seinen]])</f>
        <v>100E</v>
      </c>
      <c r="H6" s="4" t="str">
        <f>VLOOKUP(テーブル2[[#This Row],[media]],参照用!$A$2:$B$18,2)</f>
        <v>漫画／イラスト</v>
      </c>
      <c r="I6" s="4" t="str">
        <f>IF(テーブル2[[#This Row],[media]]=10,VLOOKUP(テーブル2[[#This Row],[work_h]],参照用!$D$2:$E$20,2),"")</f>
        <v>花映塚</v>
      </c>
      <c r="J6" s="31"/>
      <c r="K6" s="32"/>
      <c r="L6" s="20"/>
      <c r="M6" s="21"/>
      <c r="N6" s="22"/>
      <c r="O6" s="23"/>
      <c r="P6" s="4">
        <f>SUM(テーブル2[[#This Row],[ピンク]:[他]])</f>
        <v>0</v>
      </c>
      <c r="Q6" s="4">
        <f>SUM(テーブル2[[#This Row],[ピンク]:[オレンジ]])</f>
        <v>0</v>
      </c>
      <c r="R6" s="37"/>
      <c r="S6" s="4">
        <f>テーブル2[[#This Row],[外周優先SP合計]]+テーブル2[[#This Row],[調整]]</f>
        <v>0</v>
      </c>
      <c r="T6" s="4">
        <f>テーブル2[[#This Row],[付箋有無合計]]-テーブル2[[#This Row],[外周優先SP合計]]-テーブル2[[#This Row],[調整]]</f>
        <v>0</v>
      </c>
      <c r="U6" s="37"/>
      <c r="V6" s="4">
        <f>SUM(テーブル2[[#This Row],[島中実SP数]:[事故SP数]])</f>
        <v>0</v>
      </c>
      <c r="X6" s="63"/>
      <c r="Y6" s="4">
        <v>39</v>
      </c>
      <c r="Z6" s="4">
        <v>10</v>
      </c>
      <c r="AA6" s="4">
        <v>1</v>
      </c>
      <c r="AB6" s="4" t="s">
        <v>29</v>
      </c>
      <c r="AC6" s="4" t="str">
        <f>ASC(テーブル4[[#This Row],[work]])</f>
        <v>E</v>
      </c>
      <c r="AD6" s="4" t="str">
        <f>IF(テーブル4[[#This Row],[media]]=10,テーブル4[[#This Row],[media]]&amp;テーブル4[[#This Row],[seinen]]&amp;テーブル4[[#This Row],[work_h]],テーブル4[[#This Row],[media]]&amp;テーブル4[[#This Row],[seinen]])</f>
        <v>101E</v>
      </c>
      <c r="AE6" s="4" t="str">
        <f>VLOOKUP(テーブル4[[#This Row],[media]],参照用!$A$2:$B$18,2)</f>
        <v>漫画／イラスト</v>
      </c>
      <c r="AF6" s="4" t="str">
        <f>IF(テーブル4[[#This Row],[media]]=10,VLOOKUP(テーブル4[[#This Row],[work_h]],参照用!$D$2:$E$20,2),"")</f>
        <v>花映塚</v>
      </c>
      <c r="AG6" s="31"/>
      <c r="AH6" s="32"/>
      <c r="AI6" s="20"/>
      <c r="AJ6" s="21"/>
      <c r="AK6" s="22"/>
      <c r="AL6" s="23"/>
      <c r="AM6" s="4">
        <f>SUM(テーブル4[[#This Row],[ピンク]:[他]])</f>
        <v>0</v>
      </c>
      <c r="AN6" s="4">
        <f>SUM(テーブル4[[#This Row],[ピンク]:[オレンジ]])</f>
        <v>0</v>
      </c>
      <c r="AO6" s="48"/>
      <c r="AP6" s="7"/>
      <c r="AQ6" s="4">
        <f>テーブル4[[#This Row],[付箋有無合計]]-テーブル4[[#This Row],[外周優先SP合計]]-テーブル4[[#This Row],[調整]]</f>
        <v>0</v>
      </c>
      <c r="AR6" s="45"/>
      <c r="AS6" s="4">
        <f>SUM(テーブル4[[#This Row],[島中実SP数]:[事故SP数]])</f>
        <v>0</v>
      </c>
    </row>
    <row r="7" spans="1:45" x14ac:dyDescent="0.55000000000000004">
      <c r="A7" s="65"/>
      <c r="B7" s="4">
        <v>6</v>
      </c>
      <c r="C7" s="4">
        <v>10</v>
      </c>
      <c r="D7" s="4">
        <v>0</v>
      </c>
      <c r="E7" s="4" t="s">
        <v>30</v>
      </c>
      <c r="F7" s="4" t="str">
        <f>ASC(テーブル2[[#This Row],[work]])</f>
        <v>F</v>
      </c>
      <c r="G7" s="4" t="str">
        <f>IF(テーブル2[[#This Row],[media]]=10,テーブル2[[#This Row],[media]]&amp;テーブル2[[#This Row],[seinen]]&amp;テーブル2[[#This Row],[work_h]],テーブル2[[#This Row],[media]]&amp;テーブル2[[#This Row],[seinen]])</f>
        <v>100F</v>
      </c>
      <c r="H7" s="4" t="str">
        <f>VLOOKUP(テーブル2[[#This Row],[media]],参照用!$A$2:$B$18,2)</f>
        <v>漫画／イラスト</v>
      </c>
      <c r="I7" s="4" t="str">
        <f>IF(テーブル2[[#This Row],[media]]=10,VLOOKUP(テーブル2[[#This Row],[work_h]],参照用!$D$2:$E$20,2),"")</f>
        <v>風神録・文花帖・ダブスポ</v>
      </c>
      <c r="J7" s="31"/>
      <c r="K7" s="32"/>
      <c r="L7" s="20"/>
      <c r="M7" s="21"/>
      <c r="N7" s="22"/>
      <c r="O7" s="23"/>
      <c r="P7" s="4">
        <f>SUM(テーブル2[[#This Row],[ピンク]:[他]])</f>
        <v>0</v>
      </c>
      <c r="Q7" s="4">
        <f>SUM(テーブル2[[#This Row],[ピンク]:[オレンジ]])</f>
        <v>0</v>
      </c>
      <c r="R7" s="37"/>
      <c r="S7" s="4">
        <f>テーブル2[[#This Row],[外周優先SP合計]]+テーブル2[[#This Row],[調整]]</f>
        <v>0</v>
      </c>
      <c r="T7" s="4">
        <f>テーブル2[[#This Row],[付箋有無合計]]-テーブル2[[#This Row],[外周優先SP合計]]-テーブル2[[#This Row],[調整]]</f>
        <v>0</v>
      </c>
      <c r="U7" s="37"/>
      <c r="V7" s="4">
        <f>SUM(テーブル2[[#This Row],[島中実SP数]:[事故SP数]])</f>
        <v>0</v>
      </c>
      <c r="X7" s="63"/>
      <c r="Y7" s="4">
        <v>40</v>
      </c>
      <c r="Z7" s="4">
        <v>10</v>
      </c>
      <c r="AA7" s="4">
        <v>1</v>
      </c>
      <c r="AB7" s="4" t="s">
        <v>30</v>
      </c>
      <c r="AC7" s="4" t="str">
        <f>ASC(テーブル4[[#This Row],[work]])</f>
        <v>F</v>
      </c>
      <c r="AD7" s="4" t="str">
        <f>IF(テーブル4[[#This Row],[media]]=10,テーブル4[[#This Row],[media]]&amp;テーブル4[[#This Row],[seinen]]&amp;テーブル4[[#This Row],[work_h]],テーブル4[[#This Row],[media]]&amp;テーブル4[[#This Row],[seinen]])</f>
        <v>101F</v>
      </c>
      <c r="AE7" s="4" t="str">
        <f>VLOOKUP(テーブル4[[#This Row],[media]],参照用!$A$2:$B$18,2)</f>
        <v>漫画／イラスト</v>
      </c>
      <c r="AF7" s="4" t="str">
        <f>IF(テーブル4[[#This Row],[media]]=10,VLOOKUP(テーブル4[[#This Row],[work_h]],参照用!$D$2:$E$20,2),"")</f>
        <v>風神録・文花帖・ダブスポ</v>
      </c>
      <c r="AG7" s="31"/>
      <c r="AH7" s="32"/>
      <c r="AI7" s="20"/>
      <c r="AJ7" s="21"/>
      <c r="AK7" s="22"/>
      <c r="AL7" s="23"/>
      <c r="AM7" s="4">
        <f>SUM(テーブル4[[#This Row],[ピンク]:[他]])</f>
        <v>0</v>
      </c>
      <c r="AN7" s="4">
        <f>SUM(テーブル4[[#This Row],[ピンク]:[オレンジ]])</f>
        <v>0</v>
      </c>
      <c r="AO7" s="48"/>
      <c r="AP7" s="7"/>
      <c r="AQ7" s="4">
        <f>テーブル4[[#This Row],[付箋有無合計]]-テーブル4[[#This Row],[外周優先SP合計]]-テーブル4[[#This Row],[調整]]</f>
        <v>0</v>
      </c>
      <c r="AR7" s="45"/>
      <c r="AS7" s="4">
        <f>SUM(テーブル4[[#This Row],[島中実SP数]:[事故SP数]])</f>
        <v>0</v>
      </c>
    </row>
    <row r="8" spans="1:45" x14ac:dyDescent="0.55000000000000004">
      <c r="A8" s="65"/>
      <c r="B8" s="4">
        <v>7</v>
      </c>
      <c r="C8" s="4">
        <v>10</v>
      </c>
      <c r="D8" s="4">
        <v>0</v>
      </c>
      <c r="E8" s="4" t="s">
        <v>31</v>
      </c>
      <c r="F8" s="4" t="str">
        <f>ASC(テーブル2[[#This Row],[work]])</f>
        <v>G</v>
      </c>
      <c r="G8" s="4" t="str">
        <f>IF(テーブル2[[#This Row],[media]]=10,テーブル2[[#This Row],[media]]&amp;テーブル2[[#This Row],[seinen]]&amp;テーブル2[[#This Row],[work_h]],テーブル2[[#This Row],[media]]&amp;テーブル2[[#This Row],[seinen]])</f>
        <v>100G</v>
      </c>
      <c r="H8" s="4" t="str">
        <f>VLOOKUP(テーブル2[[#This Row],[media]],参照用!$A$2:$B$18,2)</f>
        <v>漫画／イラスト</v>
      </c>
      <c r="I8" s="4" t="str">
        <f>IF(テーブル2[[#This Row],[media]]=10,VLOOKUP(テーブル2[[#This Row],[work_h]],参照用!$D$2:$E$20,2),"")</f>
        <v>地霊殿</v>
      </c>
      <c r="J8" s="31"/>
      <c r="K8" s="32"/>
      <c r="L8" s="20"/>
      <c r="M8" s="21"/>
      <c r="N8" s="22"/>
      <c r="O8" s="23"/>
      <c r="P8" s="4">
        <f>SUM(テーブル2[[#This Row],[ピンク]:[他]])</f>
        <v>0</v>
      </c>
      <c r="Q8" s="4">
        <f>SUM(テーブル2[[#This Row],[ピンク]:[オレンジ]])</f>
        <v>0</v>
      </c>
      <c r="R8" s="37"/>
      <c r="S8" s="4">
        <f>テーブル2[[#This Row],[外周優先SP合計]]+テーブル2[[#This Row],[調整]]</f>
        <v>0</v>
      </c>
      <c r="T8" s="4">
        <f>テーブル2[[#This Row],[付箋有無合計]]-テーブル2[[#This Row],[外周優先SP合計]]-テーブル2[[#This Row],[調整]]</f>
        <v>0</v>
      </c>
      <c r="U8" s="37"/>
      <c r="V8" s="4">
        <f>SUM(テーブル2[[#This Row],[島中実SP数]:[事故SP数]])</f>
        <v>0</v>
      </c>
      <c r="X8" s="63"/>
      <c r="Y8" s="4">
        <v>41</v>
      </c>
      <c r="Z8" s="4">
        <v>10</v>
      </c>
      <c r="AA8" s="4">
        <v>1</v>
      </c>
      <c r="AB8" s="4" t="s">
        <v>31</v>
      </c>
      <c r="AC8" s="4" t="str">
        <f>ASC(テーブル4[[#This Row],[work]])</f>
        <v>G</v>
      </c>
      <c r="AD8" s="4" t="str">
        <f>IF(テーブル4[[#This Row],[media]]=10,テーブル4[[#This Row],[media]]&amp;テーブル4[[#This Row],[seinen]]&amp;テーブル4[[#This Row],[work_h]],テーブル4[[#This Row],[media]]&amp;テーブル4[[#This Row],[seinen]])</f>
        <v>101G</v>
      </c>
      <c r="AE8" s="4" t="str">
        <f>VLOOKUP(テーブル4[[#This Row],[media]],参照用!$A$2:$B$18,2)</f>
        <v>漫画／イラスト</v>
      </c>
      <c r="AF8" s="4" t="str">
        <f>IF(テーブル4[[#This Row],[media]]=10,VLOOKUP(テーブル4[[#This Row],[work_h]],参照用!$D$2:$E$20,2),"")</f>
        <v>地霊殿</v>
      </c>
      <c r="AG8" s="31"/>
      <c r="AH8" s="32"/>
      <c r="AI8" s="20"/>
      <c r="AJ8" s="21"/>
      <c r="AK8" s="22"/>
      <c r="AL8" s="23"/>
      <c r="AM8" s="4">
        <f>SUM(テーブル4[[#This Row],[ピンク]:[他]])</f>
        <v>0</v>
      </c>
      <c r="AN8" s="4">
        <f>SUM(テーブル4[[#This Row],[ピンク]:[オレンジ]])</f>
        <v>0</v>
      </c>
      <c r="AO8" s="48"/>
      <c r="AP8" s="7"/>
      <c r="AQ8" s="4">
        <f>テーブル4[[#This Row],[付箋有無合計]]-テーブル4[[#This Row],[外周優先SP合計]]-テーブル4[[#This Row],[調整]]</f>
        <v>0</v>
      </c>
      <c r="AR8" s="45"/>
      <c r="AS8" s="4">
        <f>SUM(テーブル4[[#This Row],[島中実SP数]:[事故SP数]])</f>
        <v>0</v>
      </c>
    </row>
    <row r="9" spans="1:45" x14ac:dyDescent="0.55000000000000004">
      <c r="A9" s="65"/>
      <c r="B9" s="4">
        <v>8</v>
      </c>
      <c r="C9" s="4">
        <v>10</v>
      </c>
      <c r="D9" s="4">
        <v>0</v>
      </c>
      <c r="E9" s="4" t="s">
        <v>32</v>
      </c>
      <c r="F9" s="4" t="str">
        <f>ASC(テーブル2[[#This Row],[work]])</f>
        <v>H</v>
      </c>
      <c r="G9" s="4" t="str">
        <f>IF(テーブル2[[#This Row],[media]]=10,テーブル2[[#This Row],[media]]&amp;テーブル2[[#This Row],[seinen]]&amp;テーブル2[[#This Row],[work_h]],テーブル2[[#This Row],[media]]&amp;テーブル2[[#This Row],[seinen]])</f>
        <v>100H</v>
      </c>
      <c r="H9" s="4" t="str">
        <f>VLOOKUP(テーブル2[[#This Row],[media]],参照用!$A$2:$B$18,2)</f>
        <v>漫画／イラスト</v>
      </c>
      <c r="I9" s="4" t="str">
        <f>IF(テーブル2[[#This Row],[media]]=10,VLOOKUP(テーブル2[[#This Row],[work_h]],参照用!$D$2:$E$20,2),"")</f>
        <v>星蓮船</v>
      </c>
      <c r="J9" s="31"/>
      <c r="K9" s="32"/>
      <c r="L9" s="20"/>
      <c r="M9" s="21"/>
      <c r="N9" s="22"/>
      <c r="O9" s="23"/>
      <c r="P9" s="4">
        <f>SUM(テーブル2[[#This Row],[ピンク]:[他]])</f>
        <v>0</v>
      </c>
      <c r="Q9" s="4">
        <f>SUM(テーブル2[[#This Row],[ピンク]:[オレンジ]])</f>
        <v>0</v>
      </c>
      <c r="R9" s="37"/>
      <c r="S9" s="4">
        <f>テーブル2[[#This Row],[外周優先SP合計]]+テーブル2[[#This Row],[調整]]</f>
        <v>0</v>
      </c>
      <c r="T9" s="4">
        <f>テーブル2[[#This Row],[付箋有無合計]]-テーブル2[[#This Row],[外周優先SP合計]]-テーブル2[[#This Row],[調整]]</f>
        <v>0</v>
      </c>
      <c r="U9" s="37"/>
      <c r="V9" s="4">
        <f>SUM(テーブル2[[#This Row],[島中実SP数]:[事故SP数]])</f>
        <v>0</v>
      </c>
      <c r="X9" s="63"/>
      <c r="Y9" s="4">
        <v>42</v>
      </c>
      <c r="Z9" s="4">
        <v>10</v>
      </c>
      <c r="AA9" s="4">
        <v>1</v>
      </c>
      <c r="AB9" s="4" t="s">
        <v>32</v>
      </c>
      <c r="AC9" s="4" t="str">
        <f>ASC(テーブル4[[#This Row],[work]])</f>
        <v>H</v>
      </c>
      <c r="AD9" s="4" t="str">
        <f>IF(テーブル4[[#This Row],[media]]=10,テーブル4[[#This Row],[media]]&amp;テーブル4[[#This Row],[seinen]]&amp;テーブル4[[#This Row],[work_h]],テーブル4[[#This Row],[media]]&amp;テーブル4[[#This Row],[seinen]])</f>
        <v>101H</v>
      </c>
      <c r="AE9" s="4" t="str">
        <f>VLOOKUP(テーブル4[[#This Row],[media]],参照用!$A$2:$B$18,2)</f>
        <v>漫画／イラスト</v>
      </c>
      <c r="AF9" s="4" t="str">
        <f>IF(テーブル4[[#This Row],[media]]=10,VLOOKUP(テーブル4[[#This Row],[work_h]],参照用!$D$2:$E$20,2),"")</f>
        <v>星蓮船</v>
      </c>
      <c r="AG9" s="31"/>
      <c r="AH9" s="32"/>
      <c r="AI9" s="20"/>
      <c r="AJ9" s="21"/>
      <c r="AK9" s="22"/>
      <c r="AL9" s="23"/>
      <c r="AM9" s="4">
        <f>SUM(テーブル4[[#This Row],[ピンク]:[他]])</f>
        <v>0</v>
      </c>
      <c r="AN9" s="4">
        <f>SUM(テーブル4[[#This Row],[ピンク]:[オレンジ]])</f>
        <v>0</v>
      </c>
      <c r="AO9" s="48"/>
      <c r="AP9" s="7"/>
      <c r="AQ9" s="4">
        <f>テーブル4[[#This Row],[付箋有無合計]]-テーブル4[[#This Row],[外周優先SP合計]]-テーブル4[[#This Row],[調整]]</f>
        <v>0</v>
      </c>
      <c r="AR9" s="45"/>
      <c r="AS9" s="4">
        <f>SUM(テーブル4[[#This Row],[島中実SP数]:[事故SP数]])</f>
        <v>0</v>
      </c>
    </row>
    <row r="10" spans="1:45" x14ac:dyDescent="0.55000000000000004">
      <c r="A10" s="65"/>
      <c r="B10" s="4">
        <v>9</v>
      </c>
      <c r="C10" s="4">
        <v>10</v>
      </c>
      <c r="D10" s="4">
        <v>0</v>
      </c>
      <c r="E10" s="4" t="s">
        <v>33</v>
      </c>
      <c r="F10" s="4" t="str">
        <f>ASC(テーブル2[[#This Row],[work]])</f>
        <v>I</v>
      </c>
      <c r="G10" s="4" t="str">
        <f>IF(テーブル2[[#This Row],[media]]=10,テーブル2[[#This Row],[media]]&amp;テーブル2[[#This Row],[seinen]]&amp;テーブル2[[#This Row],[work_h]],テーブル2[[#This Row],[media]]&amp;テーブル2[[#This Row],[seinen]])</f>
        <v>100I</v>
      </c>
      <c r="H10" s="4" t="str">
        <f>VLOOKUP(テーブル2[[#This Row],[media]],参照用!$A$2:$B$18,2)</f>
        <v>漫画／イラスト</v>
      </c>
      <c r="I10" s="4" t="str">
        <f>IF(テーブル2[[#This Row],[media]]=10,VLOOKUP(テーブル2[[#This Row],[work_h]],参照用!$D$2:$E$20,2),"")</f>
        <v>神霊廟</v>
      </c>
      <c r="J10" s="31"/>
      <c r="K10" s="32"/>
      <c r="L10" s="20"/>
      <c r="M10" s="21"/>
      <c r="N10" s="22"/>
      <c r="O10" s="23"/>
      <c r="P10" s="4">
        <f>SUM(テーブル2[[#This Row],[ピンク]:[他]])</f>
        <v>0</v>
      </c>
      <c r="Q10" s="4">
        <f>SUM(テーブル2[[#This Row],[ピンク]:[オレンジ]])</f>
        <v>0</v>
      </c>
      <c r="R10" s="37"/>
      <c r="S10" s="4">
        <f>テーブル2[[#This Row],[外周優先SP合計]]+テーブル2[[#This Row],[調整]]</f>
        <v>0</v>
      </c>
      <c r="T10" s="4">
        <f>テーブル2[[#This Row],[付箋有無合計]]-テーブル2[[#This Row],[外周優先SP合計]]-テーブル2[[#This Row],[調整]]</f>
        <v>0</v>
      </c>
      <c r="U10" s="37"/>
      <c r="V10" s="4">
        <f>SUM(テーブル2[[#This Row],[島中実SP数]:[事故SP数]])</f>
        <v>0</v>
      </c>
      <c r="X10" s="63"/>
      <c r="Y10" s="4">
        <v>43</v>
      </c>
      <c r="Z10" s="4">
        <v>10</v>
      </c>
      <c r="AA10" s="4">
        <v>1</v>
      </c>
      <c r="AB10" s="4" t="s">
        <v>33</v>
      </c>
      <c r="AC10" s="4" t="str">
        <f>ASC(テーブル4[[#This Row],[work]])</f>
        <v>I</v>
      </c>
      <c r="AD10" s="4" t="str">
        <f>IF(テーブル4[[#This Row],[media]]=10,テーブル4[[#This Row],[media]]&amp;テーブル4[[#This Row],[seinen]]&amp;テーブル4[[#This Row],[work_h]],テーブル4[[#This Row],[media]]&amp;テーブル4[[#This Row],[seinen]])</f>
        <v>101I</v>
      </c>
      <c r="AE10" s="4" t="str">
        <f>VLOOKUP(テーブル4[[#This Row],[media]],参照用!$A$2:$B$18,2)</f>
        <v>漫画／イラスト</v>
      </c>
      <c r="AF10" s="4" t="str">
        <f>IF(テーブル4[[#This Row],[media]]=10,VLOOKUP(テーブル4[[#This Row],[work_h]],参照用!$D$2:$E$20,2),"")</f>
        <v>神霊廟</v>
      </c>
      <c r="AG10" s="31"/>
      <c r="AH10" s="32"/>
      <c r="AI10" s="20"/>
      <c r="AJ10" s="21"/>
      <c r="AK10" s="22"/>
      <c r="AL10" s="23"/>
      <c r="AM10" s="4">
        <f>SUM(テーブル4[[#This Row],[ピンク]:[他]])</f>
        <v>0</v>
      </c>
      <c r="AN10" s="4">
        <f>SUM(テーブル4[[#This Row],[ピンク]:[オレンジ]])</f>
        <v>0</v>
      </c>
      <c r="AO10" s="48"/>
      <c r="AP10" s="7"/>
      <c r="AQ10" s="4">
        <f>テーブル4[[#This Row],[付箋有無合計]]-テーブル4[[#This Row],[外周優先SP合計]]-テーブル4[[#This Row],[調整]]</f>
        <v>0</v>
      </c>
      <c r="AR10" s="45"/>
      <c r="AS10" s="4">
        <f>SUM(テーブル4[[#This Row],[島中実SP数]:[事故SP数]])</f>
        <v>0</v>
      </c>
    </row>
    <row r="11" spans="1:45" x14ac:dyDescent="0.55000000000000004">
      <c r="A11" s="65"/>
      <c r="B11" s="4">
        <v>10</v>
      </c>
      <c r="C11" s="4">
        <v>10</v>
      </c>
      <c r="D11" s="4">
        <v>0</v>
      </c>
      <c r="E11" s="4" t="s">
        <v>34</v>
      </c>
      <c r="F11" s="4" t="str">
        <f>ASC(テーブル2[[#This Row],[work]])</f>
        <v>J</v>
      </c>
      <c r="G11" s="4" t="str">
        <f>IF(テーブル2[[#This Row],[media]]=10,テーブル2[[#This Row],[media]]&amp;テーブル2[[#This Row],[seinen]]&amp;テーブル2[[#This Row],[work_h]],テーブル2[[#This Row],[media]]&amp;テーブル2[[#This Row],[seinen]])</f>
        <v>100J</v>
      </c>
      <c r="H11" s="4" t="str">
        <f>VLOOKUP(テーブル2[[#This Row],[media]],参照用!$A$2:$B$18,2)</f>
        <v>漫画／イラスト</v>
      </c>
      <c r="I11" s="4" t="str">
        <f>IF(テーブル2[[#This Row],[media]]=10,VLOOKUP(テーブル2[[#This Row],[work_h]],参照用!$D$2:$E$20,2),"")</f>
        <v>輝針城</v>
      </c>
      <c r="J11" s="31"/>
      <c r="K11" s="32"/>
      <c r="L11" s="20"/>
      <c r="M11" s="21"/>
      <c r="N11" s="22"/>
      <c r="O11" s="23"/>
      <c r="P11" s="4">
        <f>SUM(テーブル2[[#This Row],[ピンク]:[他]])</f>
        <v>0</v>
      </c>
      <c r="Q11" s="4">
        <f>SUM(テーブル2[[#This Row],[ピンク]:[オレンジ]])</f>
        <v>0</v>
      </c>
      <c r="R11" s="37"/>
      <c r="S11" s="4">
        <f>テーブル2[[#This Row],[外周優先SP合計]]+テーブル2[[#This Row],[調整]]</f>
        <v>0</v>
      </c>
      <c r="T11" s="4">
        <f>テーブル2[[#This Row],[付箋有無合計]]-テーブル2[[#This Row],[外周優先SP合計]]-テーブル2[[#This Row],[調整]]</f>
        <v>0</v>
      </c>
      <c r="U11" s="37"/>
      <c r="V11" s="4">
        <f>SUM(テーブル2[[#This Row],[島中実SP数]:[事故SP数]])</f>
        <v>0</v>
      </c>
      <c r="X11" s="63"/>
      <c r="Y11" s="4">
        <v>44</v>
      </c>
      <c r="Z11" s="4">
        <v>10</v>
      </c>
      <c r="AA11" s="4">
        <v>1</v>
      </c>
      <c r="AB11" s="4" t="s">
        <v>34</v>
      </c>
      <c r="AC11" s="4" t="str">
        <f>ASC(テーブル4[[#This Row],[work]])</f>
        <v>J</v>
      </c>
      <c r="AD11" s="4" t="str">
        <f>IF(テーブル4[[#This Row],[media]]=10,テーブル4[[#This Row],[media]]&amp;テーブル4[[#This Row],[seinen]]&amp;テーブル4[[#This Row],[work_h]],テーブル4[[#This Row],[media]]&amp;テーブル4[[#This Row],[seinen]])</f>
        <v>101J</v>
      </c>
      <c r="AE11" s="4" t="str">
        <f>VLOOKUP(テーブル4[[#This Row],[media]],参照用!$A$2:$B$18,2)</f>
        <v>漫画／イラスト</v>
      </c>
      <c r="AF11" s="4" t="str">
        <f>IF(テーブル4[[#This Row],[media]]=10,VLOOKUP(テーブル4[[#This Row],[work_h]],参照用!$D$2:$E$20,2),"")</f>
        <v>輝針城</v>
      </c>
      <c r="AG11" s="31"/>
      <c r="AH11" s="32"/>
      <c r="AI11" s="20"/>
      <c r="AJ11" s="21"/>
      <c r="AK11" s="22"/>
      <c r="AL11" s="23"/>
      <c r="AM11" s="4">
        <f>SUM(テーブル4[[#This Row],[ピンク]:[他]])</f>
        <v>0</v>
      </c>
      <c r="AN11" s="4">
        <f>SUM(テーブル4[[#This Row],[ピンク]:[オレンジ]])</f>
        <v>0</v>
      </c>
      <c r="AO11" s="48"/>
      <c r="AP11" s="7"/>
      <c r="AQ11" s="4">
        <f>テーブル4[[#This Row],[付箋有無合計]]-テーブル4[[#This Row],[外周優先SP合計]]-テーブル4[[#This Row],[調整]]</f>
        <v>0</v>
      </c>
      <c r="AR11" s="45"/>
      <c r="AS11" s="4">
        <f>SUM(テーブル4[[#This Row],[島中実SP数]:[事故SP数]])</f>
        <v>0</v>
      </c>
    </row>
    <row r="12" spans="1:45" x14ac:dyDescent="0.55000000000000004">
      <c r="A12" s="65"/>
      <c r="B12" s="4">
        <v>11</v>
      </c>
      <c r="C12" s="4">
        <v>10</v>
      </c>
      <c r="D12" s="4">
        <v>0</v>
      </c>
      <c r="E12" s="4" t="s">
        <v>35</v>
      </c>
      <c r="F12" s="4" t="str">
        <f>ASC(テーブル2[[#This Row],[work]])</f>
        <v>K</v>
      </c>
      <c r="G12" s="4" t="str">
        <f>IF(テーブル2[[#This Row],[media]]=10,テーブル2[[#This Row],[media]]&amp;テーブル2[[#This Row],[seinen]]&amp;テーブル2[[#This Row],[work_h]],テーブル2[[#This Row],[media]]&amp;テーブル2[[#This Row],[seinen]])</f>
        <v>100K</v>
      </c>
      <c r="H12" s="4" t="str">
        <f>VLOOKUP(テーブル2[[#This Row],[media]],参照用!$A$2:$B$18,2)</f>
        <v>漫画／イラスト</v>
      </c>
      <c r="I12" s="4" t="str">
        <f>IF(テーブル2[[#This Row],[media]]=10,VLOOKUP(テーブル2[[#This Row],[work_h]],参照用!$D$2:$E$20,2),"")</f>
        <v>紺珠伝</v>
      </c>
      <c r="J12" s="31"/>
      <c r="K12" s="32"/>
      <c r="L12" s="20"/>
      <c r="M12" s="21"/>
      <c r="N12" s="22"/>
      <c r="O12" s="23"/>
      <c r="P12" s="4">
        <f>SUM(テーブル2[[#This Row],[ピンク]:[他]])</f>
        <v>0</v>
      </c>
      <c r="Q12" s="4">
        <f>SUM(テーブル2[[#This Row],[ピンク]:[オレンジ]])</f>
        <v>0</v>
      </c>
      <c r="R12" s="37"/>
      <c r="S12" s="4">
        <f>テーブル2[[#This Row],[外周優先SP合計]]+テーブル2[[#This Row],[調整]]</f>
        <v>0</v>
      </c>
      <c r="T12" s="4">
        <f>テーブル2[[#This Row],[付箋有無合計]]-テーブル2[[#This Row],[外周優先SP合計]]-テーブル2[[#This Row],[調整]]</f>
        <v>0</v>
      </c>
      <c r="U12" s="37"/>
      <c r="V12" s="4">
        <f>SUM(テーブル2[[#This Row],[島中実SP数]:[事故SP数]])</f>
        <v>0</v>
      </c>
      <c r="X12" s="63"/>
      <c r="Y12" s="4">
        <v>45</v>
      </c>
      <c r="Z12" s="4">
        <v>10</v>
      </c>
      <c r="AA12" s="4">
        <v>1</v>
      </c>
      <c r="AB12" s="4" t="s">
        <v>35</v>
      </c>
      <c r="AC12" s="4" t="str">
        <f>ASC(テーブル4[[#This Row],[work]])</f>
        <v>K</v>
      </c>
      <c r="AD12" s="4" t="str">
        <f>IF(テーブル4[[#This Row],[media]]=10,テーブル4[[#This Row],[media]]&amp;テーブル4[[#This Row],[seinen]]&amp;テーブル4[[#This Row],[work_h]],テーブル4[[#This Row],[media]]&amp;テーブル4[[#This Row],[seinen]])</f>
        <v>101K</v>
      </c>
      <c r="AE12" s="4" t="str">
        <f>VLOOKUP(テーブル4[[#This Row],[media]],参照用!$A$2:$B$18,2)</f>
        <v>漫画／イラスト</v>
      </c>
      <c r="AF12" s="4" t="str">
        <f>IF(テーブル4[[#This Row],[media]]=10,VLOOKUP(テーブル4[[#This Row],[work_h]],参照用!$D$2:$E$20,2),"")</f>
        <v>紺珠伝</v>
      </c>
      <c r="AG12" s="31"/>
      <c r="AH12" s="32"/>
      <c r="AI12" s="20"/>
      <c r="AJ12" s="21"/>
      <c r="AK12" s="22"/>
      <c r="AL12" s="23"/>
      <c r="AM12" s="4">
        <f>SUM(テーブル4[[#This Row],[ピンク]:[他]])</f>
        <v>0</v>
      </c>
      <c r="AN12" s="4">
        <f>SUM(テーブル4[[#This Row],[ピンク]:[オレンジ]])</f>
        <v>0</v>
      </c>
      <c r="AO12" s="48"/>
      <c r="AP12" s="7"/>
      <c r="AQ12" s="4">
        <f>テーブル4[[#This Row],[付箋有無合計]]-テーブル4[[#This Row],[外周優先SP合計]]-テーブル4[[#This Row],[調整]]</f>
        <v>0</v>
      </c>
      <c r="AR12" s="45"/>
      <c r="AS12" s="4">
        <f>SUM(テーブル4[[#This Row],[島中実SP数]:[事故SP数]])</f>
        <v>0</v>
      </c>
    </row>
    <row r="13" spans="1:45" x14ac:dyDescent="0.55000000000000004">
      <c r="A13" s="65"/>
      <c r="B13" s="4">
        <v>12</v>
      </c>
      <c r="C13" s="4">
        <v>10</v>
      </c>
      <c r="D13" s="4">
        <v>0</v>
      </c>
      <c r="E13" s="4" t="s">
        <v>36</v>
      </c>
      <c r="F13" s="4" t="str">
        <f>ASC(テーブル2[[#This Row],[work]])</f>
        <v>L</v>
      </c>
      <c r="G13" s="4" t="str">
        <f>IF(テーブル2[[#This Row],[media]]=10,テーブル2[[#This Row],[media]]&amp;テーブル2[[#This Row],[seinen]]&amp;テーブル2[[#This Row],[work_h]],テーブル2[[#This Row],[media]]&amp;テーブル2[[#This Row],[seinen]])</f>
        <v>100L</v>
      </c>
      <c r="H13" s="4" t="str">
        <f>VLOOKUP(テーブル2[[#This Row],[media]],参照用!$A$2:$B$18,2)</f>
        <v>漫画／イラスト</v>
      </c>
      <c r="I13" s="4" t="str">
        <f>IF(テーブル2[[#This Row],[media]]=10,VLOOKUP(テーブル2[[#This Row],[work_h]],参照用!$D$2:$E$20,2),"")</f>
        <v>天空璋</v>
      </c>
      <c r="J13" s="31"/>
      <c r="K13" s="32"/>
      <c r="L13" s="20"/>
      <c r="M13" s="21"/>
      <c r="N13" s="22"/>
      <c r="O13" s="23"/>
      <c r="P13" s="4">
        <f>SUM(テーブル2[[#This Row],[ピンク]:[他]])</f>
        <v>0</v>
      </c>
      <c r="Q13" s="4">
        <f>SUM(テーブル2[[#This Row],[ピンク]:[オレンジ]])</f>
        <v>0</v>
      </c>
      <c r="R13" s="37"/>
      <c r="S13" s="4">
        <f>テーブル2[[#This Row],[外周優先SP合計]]+テーブル2[[#This Row],[調整]]</f>
        <v>0</v>
      </c>
      <c r="T13" s="4">
        <f>テーブル2[[#This Row],[付箋有無合計]]-テーブル2[[#This Row],[外周優先SP合計]]-テーブル2[[#This Row],[調整]]</f>
        <v>0</v>
      </c>
      <c r="U13" s="37"/>
      <c r="V13" s="4">
        <f>SUM(テーブル2[[#This Row],[島中実SP数]:[事故SP数]])</f>
        <v>0</v>
      </c>
      <c r="X13" s="63"/>
      <c r="Y13" s="4">
        <v>46</v>
      </c>
      <c r="Z13" s="4">
        <v>10</v>
      </c>
      <c r="AA13" s="4">
        <v>1</v>
      </c>
      <c r="AB13" s="4" t="s">
        <v>36</v>
      </c>
      <c r="AC13" s="4" t="str">
        <f>ASC(テーブル4[[#This Row],[work]])</f>
        <v>L</v>
      </c>
      <c r="AD13" s="4" t="str">
        <f>IF(テーブル4[[#This Row],[media]]=10,テーブル4[[#This Row],[media]]&amp;テーブル4[[#This Row],[seinen]]&amp;テーブル4[[#This Row],[work_h]],テーブル4[[#This Row],[media]]&amp;テーブル4[[#This Row],[seinen]])</f>
        <v>101L</v>
      </c>
      <c r="AE13" s="4" t="str">
        <f>VLOOKUP(テーブル4[[#This Row],[media]],参照用!$A$2:$B$18,2)</f>
        <v>漫画／イラスト</v>
      </c>
      <c r="AF13" s="4" t="str">
        <f>IF(テーブル4[[#This Row],[media]]=10,VLOOKUP(テーブル4[[#This Row],[work_h]],参照用!$D$2:$E$20,2),"")</f>
        <v>天空璋</v>
      </c>
      <c r="AG13" s="31"/>
      <c r="AH13" s="32"/>
      <c r="AI13" s="20"/>
      <c r="AJ13" s="21"/>
      <c r="AK13" s="22"/>
      <c r="AL13" s="23"/>
      <c r="AM13" s="4">
        <f>SUM(テーブル4[[#This Row],[ピンク]:[他]])</f>
        <v>0</v>
      </c>
      <c r="AN13" s="4">
        <f>SUM(テーブル4[[#This Row],[ピンク]:[オレンジ]])</f>
        <v>0</v>
      </c>
      <c r="AO13" s="48"/>
      <c r="AP13" s="7"/>
      <c r="AQ13" s="4">
        <f>テーブル4[[#This Row],[付箋有無合計]]-テーブル4[[#This Row],[外周優先SP合計]]-テーブル4[[#This Row],[調整]]</f>
        <v>0</v>
      </c>
      <c r="AR13" s="45"/>
      <c r="AS13" s="4">
        <f>SUM(テーブル4[[#This Row],[島中実SP数]:[事故SP数]])</f>
        <v>0</v>
      </c>
    </row>
    <row r="14" spans="1:45" x14ac:dyDescent="0.55000000000000004">
      <c r="A14" s="65"/>
      <c r="B14" s="4">
        <v>13</v>
      </c>
      <c r="C14" s="4">
        <v>10</v>
      </c>
      <c r="D14" s="4">
        <v>0</v>
      </c>
      <c r="E14" s="4" t="s">
        <v>37</v>
      </c>
      <c r="F14" s="4" t="str">
        <f>ASC(テーブル2[[#This Row],[work]])</f>
        <v>M</v>
      </c>
      <c r="G14" s="4" t="str">
        <f>IF(テーブル2[[#This Row],[media]]=10,テーブル2[[#This Row],[media]]&amp;テーブル2[[#This Row],[seinen]]&amp;テーブル2[[#This Row],[work_h]],テーブル2[[#This Row],[media]]&amp;テーブル2[[#This Row],[seinen]])</f>
        <v>100M</v>
      </c>
      <c r="H14" s="4" t="str">
        <f>VLOOKUP(テーブル2[[#This Row],[media]],参照用!$A$2:$B$18,2)</f>
        <v>漫画／イラスト</v>
      </c>
      <c r="I14" s="4" t="str">
        <f>IF(テーブル2[[#This Row],[media]]=10,VLOOKUP(テーブル2[[#This Row],[work_h]],参照用!$D$2:$E$20,2),"")</f>
        <v>鬼形獣</v>
      </c>
      <c r="J14" s="31"/>
      <c r="K14" s="32"/>
      <c r="L14" s="20"/>
      <c r="M14" s="21"/>
      <c r="N14" s="22"/>
      <c r="O14" s="23"/>
      <c r="P14" s="4">
        <f>SUM(テーブル2[[#This Row],[ピンク]:[他]])</f>
        <v>0</v>
      </c>
      <c r="Q14" s="4">
        <f>SUM(テーブル2[[#This Row],[ピンク]:[オレンジ]])</f>
        <v>0</v>
      </c>
      <c r="R14" s="37"/>
      <c r="S14" s="4">
        <f>テーブル2[[#This Row],[外周優先SP合計]]+テーブル2[[#This Row],[調整]]</f>
        <v>0</v>
      </c>
      <c r="T14" s="4">
        <f>テーブル2[[#This Row],[付箋有無合計]]-テーブル2[[#This Row],[外周優先SP合計]]-テーブル2[[#This Row],[調整]]</f>
        <v>0</v>
      </c>
      <c r="U14" s="37"/>
      <c r="V14" s="4">
        <f>SUM(テーブル2[[#This Row],[島中実SP数]:[事故SP数]])</f>
        <v>0</v>
      </c>
      <c r="X14" s="63"/>
      <c r="Y14" s="4">
        <v>47</v>
      </c>
      <c r="Z14" s="4">
        <v>10</v>
      </c>
      <c r="AA14" s="4">
        <v>1</v>
      </c>
      <c r="AB14" s="4" t="s">
        <v>37</v>
      </c>
      <c r="AC14" s="4" t="str">
        <f>ASC(テーブル4[[#This Row],[work]])</f>
        <v>M</v>
      </c>
      <c r="AD14" s="4" t="str">
        <f>IF(テーブル4[[#This Row],[media]]=10,テーブル4[[#This Row],[media]]&amp;テーブル4[[#This Row],[seinen]]&amp;テーブル4[[#This Row],[work_h]],テーブル4[[#This Row],[media]]&amp;テーブル4[[#This Row],[seinen]])</f>
        <v>101M</v>
      </c>
      <c r="AE14" s="4" t="str">
        <f>VLOOKUP(テーブル4[[#This Row],[media]],参照用!$A$2:$B$18,2)</f>
        <v>漫画／イラスト</v>
      </c>
      <c r="AF14" s="4" t="str">
        <f>IF(テーブル4[[#This Row],[media]]=10,VLOOKUP(テーブル4[[#This Row],[work_h]],参照用!$D$2:$E$20,2),"")</f>
        <v>鬼形獣</v>
      </c>
      <c r="AG14" s="31"/>
      <c r="AH14" s="32"/>
      <c r="AI14" s="20"/>
      <c r="AJ14" s="21"/>
      <c r="AK14" s="22"/>
      <c r="AL14" s="23"/>
      <c r="AM14" s="4">
        <f>SUM(テーブル4[[#This Row],[ピンク]:[他]])</f>
        <v>0</v>
      </c>
      <c r="AN14" s="4">
        <f>SUM(テーブル4[[#This Row],[ピンク]:[オレンジ]])</f>
        <v>0</v>
      </c>
      <c r="AO14" s="48"/>
      <c r="AP14" s="7"/>
      <c r="AQ14" s="4">
        <f>テーブル4[[#This Row],[付箋有無合計]]-テーブル4[[#This Row],[外周優先SP合計]]-テーブル4[[#This Row],[調整]]</f>
        <v>0</v>
      </c>
      <c r="AR14" s="45"/>
      <c r="AS14" s="4">
        <f>SUM(テーブル4[[#This Row],[島中実SP数]:[事故SP数]])</f>
        <v>0</v>
      </c>
    </row>
    <row r="15" spans="1:45" x14ac:dyDescent="0.55000000000000004">
      <c r="A15" s="65"/>
      <c r="B15" s="4">
        <v>14</v>
      </c>
      <c r="C15" s="4">
        <v>10</v>
      </c>
      <c r="D15" s="4">
        <v>0</v>
      </c>
      <c r="E15" s="4" t="s">
        <v>38</v>
      </c>
      <c r="F15" s="4" t="str">
        <f>ASC(テーブル2[[#This Row],[work]])</f>
        <v>N</v>
      </c>
      <c r="G15" s="4" t="str">
        <f>IF(テーブル2[[#This Row],[media]]=10,テーブル2[[#This Row],[media]]&amp;テーブル2[[#This Row],[seinen]]&amp;テーブル2[[#This Row],[work_h]],テーブル2[[#This Row],[media]]&amp;テーブル2[[#This Row],[seinen]])</f>
        <v>100N</v>
      </c>
      <c r="H15" s="4" t="str">
        <f>VLOOKUP(テーブル2[[#This Row],[media]],参照用!$A$2:$B$18,2)</f>
        <v>漫画／イラスト</v>
      </c>
      <c r="I15" s="4" t="str">
        <f>IF(テーブル2[[#This Row],[media]]=10,VLOOKUP(テーブル2[[#This Row],[work_h]],参照用!$D$2:$E$20,2),"")</f>
        <v>虹龍洞</v>
      </c>
      <c r="J15" s="31"/>
      <c r="K15" s="32"/>
      <c r="L15" s="20"/>
      <c r="M15" s="21"/>
      <c r="N15" s="22"/>
      <c r="O15" s="23"/>
      <c r="P15" s="4">
        <f>SUM(テーブル2[[#This Row],[ピンク]:[他]])</f>
        <v>0</v>
      </c>
      <c r="Q15" s="4">
        <f>SUM(テーブル2[[#This Row],[ピンク]:[オレンジ]])</f>
        <v>0</v>
      </c>
      <c r="R15" s="37"/>
      <c r="S15" s="4">
        <f>テーブル2[[#This Row],[外周優先SP合計]]+テーブル2[[#This Row],[調整]]</f>
        <v>0</v>
      </c>
      <c r="T15" s="4">
        <f>テーブル2[[#This Row],[付箋有無合計]]-テーブル2[[#This Row],[外周優先SP合計]]-テーブル2[[#This Row],[調整]]</f>
        <v>0</v>
      </c>
      <c r="U15" s="37"/>
      <c r="V15" s="4">
        <f>SUM(テーブル2[[#This Row],[島中実SP数]:[事故SP数]])</f>
        <v>0</v>
      </c>
      <c r="X15" s="63"/>
      <c r="Y15" s="4">
        <v>48</v>
      </c>
      <c r="Z15" s="4">
        <v>10</v>
      </c>
      <c r="AA15" s="4">
        <v>1</v>
      </c>
      <c r="AB15" s="4" t="s">
        <v>38</v>
      </c>
      <c r="AC15" s="4" t="str">
        <f>ASC(テーブル4[[#This Row],[work]])</f>
        <v>N</v>
      </c>
      <c r="AD15" s="4" t="str">
        <f>IF(テーブル4[[#This Row],[media]]=10,テーブル4[[#This Row],[media]]&amp;テーブル4[[#This Row],[seinen]]&amp;テーブル4[[#This Row],[work_h]],テーブル4[[#This Row],[media]]&amp;テーブル4[[#This Row],[seinen]])</f>
        <v>101N</v>
      </c>
      <c r="AE15" s="4" t="str">
        <f>VLOOKUP(テーブル4[[#This Row],[media]],参照用!$A$2:$B$18,2)</f>
        <v>漫画／イラスト</v>
      </c>
      <c r="AF15" s="4" t="str">
        <f>IF(テーブル4[[#This Row],[media]]=10,VLOOKUP(テーブル4[[#This Row],[work_h]],参照用!$D$2:$E$20,2),"")</f>
        <v>虹龍洞</v>
      </c>
      <c r="AG15" s="31"/>
      <c r="AH15" s="32"/>
      <c r="AI15" s="20"/>
      <c r="AJ15" s="21"/>
      <c r="AK15" s="22"/>
      <c r="AL15" s="23"/>
      <c r="AM15" s="4">
        <f>SUM(テーブル4[[#This Row],[ピンク]:[他]])</f>
        <v>0</v>
      </c>
      <c r="AN15" s="4">
        <f>SUM(テーブル4[[#This Row],[ピンク]:[オレンジ]])</f>
        <v>0</v>
      </c>
      <c r="AO15" s="48"/>
      <c r="AP15" s="7"/>
      <c r="AQ15" s="4">
        <f>テーブル4[[#This Row],[付箋有無合計]]-テーブル4[[#This Row],[外周優先SP合計]]-テーブル4[[#This Row],[調整]]</f>
        <v>0</v>
      </c>
      <c r="AR15" s="45"/>
      <c r="AS15" s="4">
        <f>SUM(テーブル4[[#This Row],[島中実SP数]:[事故SP数]])</f>
        <v>0</v>
      </c>
    </row>
    <row r="16" spans="1:45" x14ac:dyDescent="0.55000000000000004">
      <c r="A16" s="65"/>
      <c r="B16" s="4">
        <v>15</v>
      </c>
      <c r="C16" s="4">
        <v>10</v>
      </c>
      <c r="D16" s="4">
        <v>0</v>
      </c>
      <c r="E16" s="4" t="s">
        <v>39</v>
      </c>
      <c r="F16" s="4" t="str">
        <f>ASC(テーブル2[[#This Row],[work]])</f>
        <v>V</v>
      </c>
      <c r="G16" s="4" t="str">
        <f>IF(テーブル2[[#This Row],[media]]=10,テーブル2[[#This Row],[media]]&amp;テーブル2[[#This Row],[seinen]]&amp;テーブル2[[#This Row],[work_h]],テーブル2[[#This Row],[media]]&amp;テーブル2[[#This Row],[seinen]])</f>
        <v>100V</v>
      </c>
      <c r="H16" s="4" t="str">
        <f>VLOOKUP(テーブル2[[#This Row],[media]],参照用!$A$2:$B$18,2)</f>
        <v>漫画／イラスト</v>
      </c>
      <c r="I16" s="4" t="str">
        <f>IF(テーブル2[[#This Row],[media]]=10,VLOOKUP(テーブル2[[#This Row],[work_h]],参照用!$D$2:$E$20,2),"")</f>
        <v>黄昏作品</v>
      </c>
      <c r="J16" s="31"/>
      <c r="K16" s="32"/>
      <c r="L16" s="20"/>
      <c r="M16" s="21"/>
      <c r="N16" s="22"/>
      <c r="O16" s="23"/>
      <c r="P16" s="4">
        <f>SUM(テーブル2[[#This Row],[ピンク]:[他]])</f>
        <v>0</v>
      </c>
      <c r="Q16" s="4">
        <f>SUM(テーブル2[[#This Row],[ピンク]:[オレンジ]])</f>
        <v>0</v>
      </c>
      <c r="R16" s="37"/>
      <c r="S16" s="4">
        <f>テーブル2[[#This Row],[外周優先SP合計]]+テーブル2[[#This Row],[調整]]</f>
        <v>0</v>
      </c>
      <c r="T16" s="4">
        <f>テーブル2[[#This Row],[付箋有無合計]]-テーブル2[[#This Row],[外周優先SP合計]]-テーブル2[[#This Row],[調整]]</f>
        <v>0</v>
      </c>
      <c r="U16" s="37"/>
      <c r="V16" s="4">
        <f>SUM(テーブル2[[#This Row],[島中実SP数]:[事故SP数]])</f>
        <v>0</v>
      </c>
      <c r="X16" s="63"/>
      <c r="Y16" s="4">
        <v>49</v>
      </c>
      <c r="Z16" s="4">
        <v>10</v>
      </c>
      <c r="AA16" s="4">
        <v>1</v>
      </c>
      <c r="AB16" s="4" t="s">
        <v>39</v>
      </c>
      <c r="AC16" s="4" t="str">
        <f>ASC(テーブル4[[#This Row],[work]])</f>
        <v>V</v>
      </c>
      <c r="AD16" s="4" t="str">
        <f>IF(テーブル4[[#This Row],[media]]=10,テーブル4[[#This Row],[media]]&amp;テーブル4[[#This Row],[seinen]]&amp;テーブル4[[#This Row],[work_h]],テーブル4[[#This Row],[media]]&amp;テーブル4[[#This Row],[seinen]])</f>
        <v>101V</v>
      </c>
      <c r="AE16" s="4" t="str">
        <f>VLOOKUP(テーブル4[[#This Row],[media]],参照用!$A$2:$B$18,2)</f>
        <v>漫画／イラスト</v>
      </c>
      <c r="AF16" s="4" t="str">
        <f>IF(テーブル4[[#This Row],[media]]=10,VLOOKUP(テーブル4[[#This Row],[work_h]],参照用!$D$2:$E$20,2),"")</f>
        <v>黄昏作品</v>
      </c>
      <c r="AG16" s="31"/>
      <c r="AH16" s="32"/>
      <c r="AI16" s="20"/>
      <c r="AJ16" s="21"/>
      <c r="AK16" s="22"/>
      <c r="AL16" s="23"/>
      <c r="AM16" s="4">
        <f>SUM(テーブル4[[#This Row],[ピンク]:[他]])</f>
        <v>0</v>
      </c>
      <c r="AN16" s="4">
        <f>SUM(テーブル4[[#This Row],[ピンク]:[オレンジ]])</f>
        <v>0</v>
      </c>
      <c r="AO16" s="48"/>
      <c r="AP16" s="7"/>
      <c r="AQ16" s="4">
        <f>テーブル4[[#This Row],[付箋有無合計]]-テーブル4[[#This Row],[外周優先SP合計]]-テーブル4[[#This Row],[調整]]</f>
        <v>0</v>
      </c>
      <c r="AR16" s="45"/>
      <c r="AS16" s="4">
        <f>SUM(テーブル4[[#This Row],[島中実SP数]:[事故SP数]])</f>
        <v>0</v>
      </c>
    </row>
    <row r="17" spans="1:45" x14ac:dyDescent="0.55000000000000004">
      <c r="A17" s="65"/>
      <c r="B17" s="4">
        <v>16</v>
      </c>
      <c r="C17" s="4">
        <v>10</v>
      </c>
      <c r="D17" s="4">
        <v>0</v>
      </c>
      <c r="E17" s="4" t="s">
        <v>40</v>
      </c>
      <c r="F17" s="4" t="str">
        <f>ASC(テーブル2[[#This Row],[work]])</f>
        <v>W</v>
      </c>
      <c r="G17" s="4" t="str">
        <f>IF(テーブル2[[#This Row],[media]]=10,テーブル2[[#This Row],[media]]&amp;テーブル2[[#This Row],[seinen]]&amp;テーブル2[[#This Row],[work_h]],テーブル2[[#This Row],[media]]&amp;テーブル2[[#This Row],[seinen]])</f>
        <v>100W</v>
      </c>
      <c r="H17" s="4" t="str">
        <f>VLOOKUP(テーブル2[[#This Row],[media]],参照用!$A$2:$B$18,2)</f>
        <v>漫画／イラスト</v>
      </c>
      <c r="I17" s="4" t="str">
        <f>IF(テーブル2[[#This Row],[media]]=10,VLOOKUP(テーブル2[[#This Row],[work_h]],参照用!$D$2:$E$20,2),"")</f>
        <v>秘封</v>
      </c>
      <c r="J17" s="31"/>
      <c r="K17" s="32"/>
      <c r="L17" s="20"/>
      <c r="M17" s="21"/>
      <c r="N17" s="22"/>
      <c r="O17" s="23"/>
      <c r="P17" s="4">
        <f>SUM(テーブル2[[#This Row],[ピンク]:[他]])</f>
        <v>0</v>
      </c>
      <c r="Q17" s="4">
        <f>SUM(テーブル2[[#This Row],[ピンク]:[オレンジ]])</f>
        <v>0</v>
      </c>
      <c r="R17" s="37"/>
      <c r="S17" s="4">
        <f>テーブル2[[#This Row],[外周優先SP合計]]+テーブル2[[#This Row],[調整]]</f>
        <v>0</v>
      </c>
      <c r="T17" s="4">
        <f>テーブル2[[#This Row],[付箋有無合計]]-テーブル2[[#This Row],[外周優先SP合計]]-テーブル2[[#This Row],[調整]]</f>
        <v>0</v>
      </c>
      <c r="U17" s="37"/>
      <c r="V17" s="4">
        <f>SUM(テーブル2[[#This Row],[島中実SP数]:[事故SP数]])</f>
        <v>0</v>
      </c>
      <c r="X17" s="63"/>
      <c r="Y17" s="4">
        <v>50</v>
      </c>
      <c r="Z17" s="4">
        <v>10</v>
      </c>
      <c r="AA17" s="4">
        <v>1</v>
      </c>
      <c r="AB17" s="4" t="s">
        <v>40</v>
      </c>
      <c r="AC17" s="4" t="str">
        <f>ASC(テーブル4[[#This Row],[work]])</f>
        <v>W</v>
      </c>
      <c r="AD17" s="4" t="str">
        <f>IF(テーブル4[[#This Row],[media]]=10,テーブル4[[#This Row],[media]]&amp;テーブル4[[#This Row],[seinen]]&amp;テーブル4[[#This Row],[work_h]],テーブル4[[#This Row],[media]]&amp;テーブル4[[#This Row],[seinen]])</f>
        <v>101W</v>
      </c>
      <c r="AE17" s="4" t="str">
        <f>VLOOKUP(テーブル4[[#This Row],[media]],参照用!$A$2:$B$18,2)</f>
        <v>漫画／イラスト</v>
      </c>
      <c r="AF17" s="4" t="str">
        <f>IF(テーブル4[[#This Row],[media]]=10,VLOOKUP(テーブル4[[#This Row],[work_h]],参照用!$D$2:$E$20,2),"")</f>
        <v>秘封</v>
      </c>
      <c r="AG17" s="31"/>
      <c r="AH17" s="32"/>
      <c r="AI17" s="20"/>
      <c r="AJ17" s="21"/>
      <c r="AK17" s="22"/>
      <c r="AL17" s="23"/>
      <c r="AM17" s="4">
        <f>SUM(テーブル4[[#This Row],[ピンク]:[他]])</f>
        <v>0</v>
      </c>
      <c r="AN17" s="4">
        <f>SUM(テーブル4[[#This Row],[ピンク]:[オレンジ]])</f>
        <v>0</v>
      </c>
      <c r="AO17" s="48"/>
      <c r="AP17" s="7"/>
      <c r="AQ17" s="4">
        <f>テーブル4[[#This Row],[付箋有無合計]]-テーブル4[[#This Row],[外周優先SP合計]]-テーブル4[[#This Row],[調整]]</f>
        <v>0</v>
      </c>
      <c r="AR17" s="45"/>
      <c r="AS17" s="4">
        <f>SUM(テーブル4[[#This Row],[島中実SP数]:[事故SP数]])</f>
        <v>0</v>
      </c>
    </row>
    <row r="18" spans="1:45" x14ac:dyDescent="0.55000000000000004">
      <c r="A18" s="65"/>
      <c r="B18" s="4">
        <v>17</v>
      </c>
      <c r="C18" s="4">
        <v>10</v>
      </c>
      <c r="D18" s="4">
        <v>0</v>
      </c>
      <c r="E18" s="4" t="s">
        <v>41</v>
      </c>
      <c r="F18" s="4" t="str">
        <f>ASC(テーブル2[[#This Row],[work]])</f>
        <v>X</v>
      </c>
      <c r="G18" s="4" t="str">
        <f>IF(テーブル2[[#This Row],[media]]=10,テーブル2[[#This Row],[media]]&amp;テーブル2[[#This Row],[seinen]]&amp;テーブル2[[#This Row],[work_h]],テーブル2[[#This Row],[media]]&amp;テーブル2[[#This Row],[seinen]])</f>
        <v>100X</v>
      </c>
      <c r="H18" s="4" t="str">
        <f>VLOOKUP(テーブル2[[#This Row],[media]],参照用!$A$2:$B$18,2)</f>
        <v>漫画／イラスト</v>
      </c>
      <c r="I18" s="4" t="str">
        <f>IF(テーブル2[[#This Row],[media]]=10,VLOOKUP(テーブル2[[#This Row],[work_h]],参照用!$D$2:$E$20,2),"")</f>
        <v>書籍</v>
      </c>
      <c r="J18" s="31"/>
      <c r="K18" s="32"/>
      <c r="L18" s="20"/>
      <c r="M18" s="21"/>
      <c r="N18" s="22"/>
      <c r="O18" s="23"/>
      <c r="P18" s="4">
        <f>SUM(テーブル2[[#This Row],[ピンク]:[他]])</f>
        <v>0</v>
      </c>
      <c r="Q18" s="4">
        <f>SUM(テーブル2[[#This Row],[ピンク]:[オレンジ]])</f>
        <v>0</v>
      </c>
      <c r="R18" s="37"/>
      <c r="S18" s="4">
        <f>テーブル2[[#This Row],[外周優先SP合計]]+テーブル2[[#This Row],[調整]]</f>
        <v>0</v>
      </c>
      <c r="T18" s="4">
        <f>テーブル2[[#This Row],[付箋有無合計]]-テーブル2[[#This Row],[外周優先SP合計]]-テーブル2[[#This Row],[調整]]</f>
        <v>0</v>
      </c>
      <c r="U18" s="37"/>
      <c r="V18" s="4">
        <f>SUM(テーブル2[[#This Row],[島中実SP数]:[事故SP数]])</f>
        <v>0</v>
      </c>
      <c r="X18" s="63"/>
      <c r="Y18" s="4">
        <v>51</v>
      </c>
      <c r="Z18" s="4">
        <v>10</v>
      </c>
      <c r="AA18" s="4">
        <v>1</v>
      </c>
      <c r="AB18" s="4" t="s">
        <v>41</v>
      </c>
      <c r="AC18" s="4" t="str">
        <f>ASC(テーブル4[[#This Row],[work]])</f>
        <v>X</v>
      </c>
      <c r="AD18" s="4" t="str">
        <f>IF(テーブル4[[#This Row],[media]]=10,テーブル4[[#This Row],[media]]&amp;テーブル4[[#This Row],[seinen]]&amp;テーブル4[[#This Row],[work_h]],テーブル4[[#This Row],[media]]&amp;テーブル4[[#This Row],[seinen]])</f>
        <v>101X</v>
      </c>
      <c r="AE18" s="4" t="str">
        <f>VLOOKUP(テーブル4[[#This Row],[media]],参照用!$A$2:$B$18,2)</f>
        <v>漫画／イラスト</v>
      </c>
      <c r="AF18" s="4" t="str">
        <f>IF(テーブル4[[#This Row],[media]]=10,VLOOKUP(テーブル4[[#This Row],[work_h]],参照用!$D$2:$E$20,2),"")</f>
        <v>書籍</v>
      </c>
      <c r="AG18" s="31"/>
      <c r="AH18" s="32"/>
      <c r="AI18" s="20"/>
      <c r="AJ18" s="21"/>
      <c r="AK18" s="22"/>
      <c r="AL18" s="23"/>
      <c r="AM18" s="4">
        <f>SUM(テーブル4[[#This Row],[ピンク]:[他]])</f>
        <v>0</v>
      </c>
      <c r="AN18" s="4">
        <f>SUM(テーブル4[[#This Row],[ピンク]:[オレンジ]])</f>
        <v>0</v>
      </c>
      <c r="AO18" s="48"/>
      <c r="AP18" s="7"/>
      <c r="AQ18" s="4">
        <f>テーブル4[[#This Row],[付箋有無合計]]-テーブル4[[#This Row],[外周優先SP合計]]-テーブル4[[#This Row],[調整]]</f>
        <v>0</v>
      </c>
      <c r="AR18" s="45"/>
      <c r="AS18" s="4">
        <f>SUM(テーブル4[[#This Row],[島中実SP数]:[事故SP数]])</f>
        <v>0</v>
      </c>
    </row>
    <row r="19" spans="1:45" x14ac:dyDescent="0.55000000000000004">
      <c r="A19" s="65"/>
      <c r="B19" s="4">
        <v>18</v>
      </c>
      <c r="C19" s="4">
        <v>10</v>
      </c>
      <c r="D19" s="4">
        <v>0</v>
      </c>
      <c r="E19" s="4" t="s">
        <v>42</v>
      </c>
      <c r="F19" s="4" t="str">
        <f>ASC(テーブル2[[#This Row],[work]])</f>
        <v>Y</v>
      </c>
      <c r="G19" s="4" t="str">
        <f>IF(テーブル2[[#This Row],[media]]=10,テーブル2[[#This Row],[media]]&amp;テーブル2[[#This Row],[seinen]]&amp;テーブル2[[#This Row],[work_h]],テーブル2[[#This Row],[media]]&amp;テーブル2[[#This Row],[seinen]])</f>
        <v>100Y</v>
      </c>
      <c r="H19" s="4" t="str">
        <f>VLOOKUP(テーブル2[[#This Row],[media]],参照用!$A$2:$B$18,2)</f>
        <v>漫画／イラスト</v>
      </c>
      <c r="I19" s="4" t="str">
        <f>IF(テーブル2[[#This Row],[media]]=10,VLOOKUP(テーブル2[[#This Row],[work_h]],参照用!$D$2:$E$20,2),"")</f>
        <v>その他作品</v>
      </c>
      <c r="J19" s="31"/>
      <c r="K19" s="32"/>
      <c r="L19" s="20"/>
      <c r="M19" s="21"/>
      <c r="N19" s="22"/>
      <c r="O19" s="23"/>
      <c r="P19" s="4">
        <f>SUM(テーブル2[[#This Row],[ピンク]:[他]])</f>
        <v>0</v>
      </c>
      <c r="Q19" s="4">
        <f>SUM(テーブル2[[#This Row],[ピンク]:[オレンジ]])</f>
        <v>0</v>
      </c>
      <c r="R19" s="37"/>
      <c r="S19" s="4">
        <f>テーブル2[[#This Row],[外周優先SP合計]]+テーブル2[[#This Row],[調整]]</f>
        <v>0</v>
      </c>
      <c r="T19" s="4">
        <f>テーブル2[[#This Row],[付箋有無合計]]-テーブル2[[#This Row],[外周優先SP合計]]-テーブル2[[#This Row],[調整]]</f>
        <v>0</v>
      </c>
      <c r="U19" s="37"/>
      <c r="V19" s="4">
        <f>SUM(テーブル2[[#This Row],[島中実SP数]:[事故SP数]])</f>
        <v>0</v>
      </c>
      <c r="X19" s="63"/>
      <c r="Y19" s="4">
        <v>52</v>
      </c>
      <c r="Z19" s="4">
        <v>10</v>
      </c>
      <c r="AA19" s="4">
        <v>1</v>
      </c>
      <c r="AB19" s="4" t="s">
        <v>42</v>
      </c>
      <c r="AC19" s="4" t="str">
        <f>ASC(テーブル4[[#This Row],[work]])</f>
        <v>Y</v>
      </c>
      <c r="AD19" s="4" t="str">
        <f>IF(テーブル4[[#This Row],[media]]=10,テーブル4[[#This Row],[media]]&amp;テーブル4[[#This Row],[seinen]]&amp;テーブル4[[#This Row],[work_h]],テーブル4[[#This Row],[media]]&amp;テーブル4[[#This Row],[seinen]])</f>
        <v>101Y</v>
      </c>
      <c r="AE19" s="4" t="str">
        <f>VLOOKUP(テーブル4[[#This Row],[media]],参照用!$A$2:$B$18,2)</f>
        <v>漫画／イラスト</v>
      </c>
      <c r="AF19" s="4" t="str">
        <f>IF(テーブル4[[#This Row],[media]]=10,VLOOKUP(テーブル4[[#This Row],[work_h]],参照用!$D$2:$E$20,2),"")</f>
        <v>その他作品</v>
      </c>
      <c r="AG19" s="31"/>
      <c r="AH19" s="32"/>
      <c r="AI19" s="20"/>
      <c r="AJ19" s="21"/>
      <c r="AK19" s="22"/>
      <c r="AL19" s="23"/>
      <c r="AM19" s="4">
        <f>SUM(テーブル4[[#This Row],[ピンク]:[他]])</f>
        <v>0</v>
      </c>
      <c r="AN19" s="4">
        <f>SUM(テーブル4[[#This Row],[ピンク]:[オレンジ]])</f>
        <v>0</v>
      </c>
      <c r="AO19" s="48"/>
      <c r="AP19" s="7"/>
      <c r="AQ19" s="4">
        <f>テーブル4[[#This Row],[付箋有無合計]]-テーブル4[[#This Row],[外周優先SP合計]]-テーブル4[[#This Row],[調整]]</f>
        <v>0</v>
      </c>
      <c r="AR19" s="45"/>
      <c r="AS19" s="4">
        <f>SUM(テーブル4[[#This Row],[島中実SP数]:[事故SP数]])</f>
        <v>0</v>
      </c>
    </row>
    <row r="20" spans="1:45" x14ac:dyDescent="0.55000000000000004">
      <c r="A20" s="65"/>
      <c r="B20" s="4">
        <v>19</v>
      </c>
      <c r="C20" s="4">
        <v>10</v>
      </c>
      <c r="D20" s="4">
        <v>0</v>
      </c>
      <c r="E20" s="4" t="s">
        <v>43</v>
      </c>
      <c r="F20" s="4" t="str">
        <f>ASC(テーブル2[[#This Row],[work]])</f>
        <v>Z</v>
      </c>
      <c r="G20" s="4" t="str">
        <f>IF(テーブル2[[#This Row],[media]]=10,テーブル2[[#This Row],[media]]&amp;テーブル2[[#This Row],[seinen]]&amp;テーブル2[[#This Row],[work_h]],テーブル2[[#This Row],[media]]&amp;テーブル2[[#This Row],[seinen]])</f>
        <v>100Z</v>
      </c>
      <c r="H20" s="4" t="str">
        <f>VLOOKUP(テーブル2[[#This Row],[media]],参照用!$A$2:$B$18,2)</f>
        <v>漫画／イラスト</v>
      </c>
      <c r="I20" s="4" t="str">
        <f>IF(テーブル2[[#This Row],[media]]=10,VLOOKUP(テーブル2[[#This Row],[work_h]],参照用!$D$2:$E$20,2),"")</f>
        <v>その他</v>
      </c>
      <c r="J20" s="31"/>
      <c r="K20" s="32"/>
      <c r="L20" s="20"/>
      <c r="M20" s="21"/>
      <c r="N20" s="22"/>
      <c r="O20" s="23"/>
      <c r="P20" s="4">
        <f>SUM(テーブル2[[#This Row],[ピンク]:[他]])</f>
        <v>0</v>
      </c>
      <c r="Q20" s="4">
        <f>SUM(テーブル2[[#This Row],[ピンク]:[オレンジ]])</f>
        <v>0</v>
      </c>
      <c r="R20" s="37"/>
      <c r="S20" s="4">
        <f>テーブル2[[#This Row],[外周優先SP合計]]+テーブル2[[#This Row],[調整]]</f>
        <v>0</v>
      </c>
      <c r="T20" s="4">
        <f>テーブル2[[#This Row],[付箋有無合計]]-テーブル2[[#This Row],[外周優先SP合計]]-テーブル2[[#This Row],[調整]]</f>
        <v>0</v>
      </c>
      <c r="U20" s="37"/>
      <c r="V20" s="4">
        <f>SUM(テーブル2[[#This Row],[島中実SP数]:[事故SP数]])</f>
        <v>0</v>
      </c>
      <c r="X20" s="63"/>
      <c r="Y20" s="4">
        <v>53</v>
      </c>
      <c r="Z20" s="4">
        <v>10</v>
      </c>
      <c r="AA20" s="4">
        <v>1</v>
      </c>
      <c r="AB20" s="4" t="s">
        <v>43</v>
      </c>
      <c r="AC20" s="4" t="str">
        <f>ASC(テーブル4[[#This Row],[work]])</f>
        <v>Z</v>
      </c>
      <c r="AD20" s="4" t="str">
        <f>IF(テーブル4[[#This Row],[media]]=10,テーブル4[[#This Row],[media]]&amp;テーブル4[[#This Row],[seinen]]&amp;テーブル4[[#This Row],[work_h]],テーブル4[[#This Row],[media]]&amp;テーブル4[[#This Row],[seinen]])</f>
        <v>101Z</v>
      </c>
      <c r="AE20" s="4" t="str">
        <f>VLOOKUP(テーブル4[[#This Row],[media]],参照用!$A$2:$B$18,2)</f>
        <v>漫画／イラスト</v>
      </c>
      <c r="AF20" s="4" t="str">
        <f>IF(テーブル4[[#This Row],[media]]=10,VLOOKUP(テーブル4[[#This Row],[work_h]],参照用!$D$2:$E$20,2),"")</f>
        <v>その他</v>
      </c>
      <c r="AG20" s="31"/>
      <c r="AH20" s="32"/>
      <c r="AI20" s="20"/>
      <c r="AJ20" s="21"/>
      <c r="AK20" s="22"/>
      <c r="AL20" s="23"/>
      <c r="AM20" s="4">
        <f>SUM(テーブル4[[#This Row],[ピンク]:[他]])</f>
        <v>0</v>
      </c>
      <c r="AN20" s="4">
        <f>SUM(テーブル4[[#This Row],[ピンク]:[オレンジ]])</f>
        <v>0</v>
      </c>
      <c r="AO20" s="48"/>
      <c r="AP20" s="7"/>
      <c r="AQ20" s="4">
        <f>テーブル4[[#This Row],[付箋有無合計]]-テーブル4[[#This Row],[外周優先SP合計]]-テーブル4[[#This Row],[調整]]</f>
        <v>0</v>
      </c>
      <c r="AR20" s="45"/>
      <c r="AS20" s="4">
        <f>SUM(テーブル4[[#This Row],[島中実SP数]:[事故SP数]])</f>
        <v>0</v>
      </c>
    </row>
    <row r="21" spans="1:45" x14ac:dyDescent="0.55000000000000004">
      <c r="A21" s="65"/>
      <c r="B21" s="4">
        <v>20</v>
      </c>
      <c r="C21" s="4">
        <v>11</v>
      </c>
      <c r="D21" s="4">
        <v>0</v>
      </c>
      <c r="F21" s="4" t="str">
        <f>ASC(テーブル2[[#This Row],[work]])</f>
        <v/>
      </c>
      <c r="G21" s="4" t="str">
        <f>IF(テーブル2[[#This Row],[media]]=10,テーブル2[[#This Row],[media]]&amp;テーブル2[[#This Row],[seinen]]&amp;テーブル2[[#This Row],[work_h]],テーブル2[[#This Row],[media]]&amp;テーブル2[[#This Row],[seinen]])</f>
        <v>110</v>
      </c>
      <c r="H21" s="4" t="str">
        <f>VLOOKUP(テーブル2[[#This Row],[media]],参照用!$A$2:$B$18,2)</f>
        <v>小説</v>
      </c>
      <c r="I21" s="4" t="str">
        <f>IF(テーブル2[[#This Row],[media]]=10,VLOOKUP(テーブル2[[#This Row],[work_h]],参照用!$D$2:$E$20,2),"")</f>
        <v/>
      </c>
      <c r="J21" s="31"/>
      <c r="K21" s="32"/>
      <c r="L21" s="20"/>
      <c r="M21" s="21"/>
      <c r="N21" s="22"/>
      <c r="O21" s="23"/>
      <c r="P21" s="4">
        <f>SUM(テーブル2[[#This Row],[ピンク]:[他]])</f>
        <v>0</v>
      </c>
      <c r="Q21" s="4">
        <f>SUM(テーブル2[[#This Row],[ピンク]:[オレンジ]])</f>
        <v>0</v>
      </c>
      <c r="R21" s="37"/>
      <c r="S21" s="4">
        <f>テーブル2[[#This Row],[外周優先SP合計]]+テーブル2[[#This Row],[調整]]</f>
        <v>0</v>
      </c>
      <c r="T21" s="4">
        <f>テーブル2[[#This Row],[付箋有無合計]]-テーブル2[[#This Row],[外周優先SP合計]]-テーブル2[[#This Row],[調整]]</f>
        <v>0</v>
      </c>
      <c r="U21" s="37"/>
      <c r="V21" s="4">
        <f>SUM(テーブル2[[#This Row],[島中実SP数]:[事故SP数]])</f>
        <v>0</v>
      </c>
      <c r="X21" s="63"/>
      <c r="Y21" s="4">
        <v>54</v>
      </c>
      <c r="Z21" s="4">
        <v>11</v>
      </c>
      <c r="AA21" s="4">
        <v>1</v>
      </c>
      <c r="AC21" s="4" t="str">
        <f>ASC(テーブル4[[#This Row],[work]])</f>
        <v/>
      </c>
      <c r="AD21" s="4" t="str">
        <f>IF(テーブル4[[#This Row],[media]]=10,テーブル4[[#This Row],[media]]&amp;テーブル4[[#This Row],[seinen]]&amp;テーブル4[[#This Row],[work_h]],テーブル4[[#This Row],[media]]&amp;テーブル4[[#This Row],[seinen]])</f>
        <v>111</v>
      </c>
      <c r="AE21" s="4" t="str">
        <f>VLOOKUP(テーブル4[[#This Row],[media]],参照用!$A$2:$B$18,2)</f>
        <v>小説</v>
      </c>
      <c r="AF21" s="4" t="str">
        <f>IF(テーブル4[[#This Row],[media]]=10,VLOOKUP(テーブル4[[#This Row],[work_h]],参照用!$D$2:$E$20,2),"")</f>
        <v/>
      </c>
      <c r="AG21" s="31"/>
      <c r="AH21" s="32"/>
      <c r="AI21" s="20"/>
      <c r="AJ21" s="21"/>
      <c r="AK21" s="22"/>
      <c r="AL21" s="23"/>
      <c r="AM21" s="4">
        <f>SUM(テーブル4[[#This Row],[ピンク]:[他]])</f>
        <v>0</v>
      </c>
      <c r="AN21" s="4">
        <f>SUM(テーブル4[[#This Row],[ピンク]:[オレンジ]])</f>
        <v>0</v>
      </c>
      <c r="AO21" s="48"/>
      <c r="AP21" s="7"/>
      <c r="AQ21" s="4">
        <f>テーブル4[[#This Row],[付箋有無合計]]-テーブル4[[#This Row],[外周優先SP合計]]-テーブル4[[#This Row],[調整]]</f>
        <v>0</v>
      </c>
      <c r="AR21" s="45"/>
      <c r="AS21" s="4">
        <f>SUM(テーブル4[[#This Row],[島中実SP数]:[事故SP数]])</f>
        <v>0</v>
      </c>
    </row>
    <row r="22" spans="1:45" x14ac:dyDescent="0.55000000000000004">
      <c r="A22" s="65"/>
      <c r="B22" s="4">
        <v>21</v>
      </c>
      <c r="C22" s="4">
        <v>12</v>
      </c>
      <c r="D22" s="4">
        <v>0</v>
      </c>
      <c r="F22" s="4" t="str">
        <f>ASC(テーブル2[[#This Row],[work]])</f>
        <v/>
      </c>
      <c r="G22" s="4" t="str">
        <f>IF(テーブル2[[#This Row],[media]]=10,テーブル2[[#This Row],[media]]&amp;テーブル2[[#This Row],[seinen]]&amp;テーブル2[[#This Row],[work_h]],テーブル2[[#This Row],[media]]&amp;テーブル2[[#This Row],[seinen]])</f>
        <v>120</v>
      </c>
      <c r="H22" s="4" t="str">
        <f>VLOOKUP(テーブル2[[#This Row],[media]],参照用!$A$2:$B$18,2)</f>
        <v>その他</v>
      </c>
      <c r="I22" s="4" t="str">
        <f>IF(テーブル2[[#This Row],[media]]=10,VLOOKUP(テーブル2[[#This Row],[work_h]],参照用!$D$2:$E$20,2),"")</f>
        <v/>
      </c>
      <c r="J22" s="31"/>
      <c r="K22" s="32"/>
      <c r="L22" s="20"/>
      <c r="M22" s="21"/>
      <c r="N22" s="22"/>
      <c r="O22" s="23"/>
      <c r="P22" s="4">
        <f>SUM(テーブル2[[#This Row],[ピンク]:[他]])</f>
        <v>0</v>
      </c>
      <c r="Q22" s="4">
        <f>SUM(テーブル2[[#This Row],[ピンク]:[オレンジ]])</f>
        <v>0</v>
      </c>
      <c r="R22" s="37"/>
      <c r="S22" s="4">
        <f>テーブル2[[#This Row],[外周優先SP合計]]+テーブル2[[#This Row],[調整]]</f>
        <v>0</v>
      </c>
      <c r="T22" s="4">
        <f>テーブル2[[#This Row],[付箋有無合計]]-テーブル2[[#This Row],[外周優先SP合計]]-テーブル2[[#This Row],[調整]]</f>
        <v>0</v>
      </c>
      <c r="U22" s="37"/>
      <c r="V22" s="4">
        <f>SUM(テーブル2[[#This Row],[島中実SP数]:[事故SP数]])</f>
        <v>0</v>
      </c>
      <c r="X22" s="63"/>
      <c r="Y22" s="4">
        <v>55</v>
      </c>
      <c r="Z22" s="4">
        <v>12</v>
      </c>
      <c r="AA22" s="4">
        <v>1</v>
      </c>
      <c r="AC22" s="4" t="str">
        <f>ASC(テーブル4[[#This Row],[work]])</f>
        <v/>
      </c>
      <c r="AD22" s="4" t="str">
        <f>IF(テーブル4[[#This Row],[media]]=10,テーブル4[[#This Row],[media]]&amp;テーブル4[[#This Row],[seinen]]&amp;テーブル4[[#This Row],[work_h]],テーブル4[[#This Row],[media]]&amp;テーブル4[[#This Row],[seinen]])</f>
        <v>121</v>
      </c>
      <c r="AE22" s="4" t="str">
        <f>VLOOKUP(テーブル4[[#This Row],[media]],参照用!$A$2:$B$18,2)</f>
        <v>その他</v>
      </c>
      <c r="AF22" s="4" t="str">
        <f>IF(テーブル4[[#This Row],[media]]=10,VLOOKUP(テーブル4[[#This Row],[work_h]],参照用!$D$2:$E$20,2),"")</f>
        <v/>
      </c>
      <c r="AG22" s="31"/>
      <c r="AH22" s="32"/>
      <c r="AI22" s="20"/>
      <c r="AJ22" s="21"/>
      <c r="AK22" s="22"/>
      <c r="AL22" s="23"/>
      <c r="AM22" s="4">
        <f>SUM(テーブル4[[#This Row],[ピンク]:[他]])</f>
        <v>0</v>
      </c>
      <c r="AN22" s="4">
        <f>SUM(テーブル4[[#This Row],[ピンク]:[オレンジ]])</f>
        <v>0</v>
      </c>
      <c r="AO22" s="48"/>
      <c r="AP22" s="7"/>
      <c r="AQ22" s="4">
        <f>テーブル4[[#This Row],[付箋有無合計]]-テーブル4[[#This Row],[外周優先SP合計]]-テーブル4[[#This Row],[調整]]</f>
        <v>0</v>
      </c>
      <c r="AR22" s="45"/>
      <c r="AS22" s="4">
        <f>SUM(テーブル4[[#This Row],[島中実SP数]:[事故SP数]])</f>
        <v>0</v>
      </c>
    </row>
    <row r="23" spans="1:45" x14ac:dyDescent="0.55000000000000004">
      <c r="A23" s="65"/>
      <c r="B23" s="4">
        <v>22</v>
      </c>
      <c r="C23" s="4">
        <v>20</v>
      </c>
      <c r="D23" s="4">
        <v>0</v>
      </c>
      <c r="F23" s="4" t="str">
        <f>ASC(テーブル2[[#This Row],[work]])</f>
        <v/>
      </c>
      <c r="G23" s="4" t="str">
        <f>IF(テーブル2[[#This Row],[media]]=10,テーブル2[[#This Row],[media]]&amp;テーブル2[[#This Row],[seinen]]&amp;テーブル2[[#This Row],[work_h]],テーブル2[[#This Row],[media]]&amp;テーブル2[[#This Row],[seinen]])</f>
        <v>200</v>
      </c>
      <c r="H23" s="4" t="str">
        <f>VLOOKUP(テーブル2[[#This Row],[media]],参照用!$A$2:$B$18,2)</f>
        <v>音楽</v>
      </c>
      <c r="I23" s="4" t="str">
        <f>IF(テーブル2[[#This Row],[media]]=10,VLOOKUP(テーブル2[[#This Row],[work_h]],参照用!$D$2:$E$20,2),"")</f>
        <v/>
      </c>
      <c r="J23" s="31"/>
      <c r="K23" s="32"/>
      <c r="L23" s="20"/>
      <c r="M23" s="21"/>
      <c r="N23" s="22"/>
      <c r="O23" s="23"/>
      <c r="P23" s="4">
        <f>SUM(テーブル2[[#This Row],[ピンク]:[他]])</f>
        <v>0</v>
      </c>
      <c r="Q23" s="4">
        <f>SUM(テーブル2[[#This Row],[ピンク]:[オレンジ]])</f>
        <v>0</v>
      </c>
      <c r="R23" s="38"/>
      <c r="S23" s="4">
        <f>テーブル2[[#This Row],[外周優先SP合計]]+テーブル2[[#This Row],[調整]]</f>
        <v>0</v>
      </c>
      <c r="T23" s="4">
        <f>テーブル2[[#This Row],[付箋有無合計]]-テーブル2[[#This Row],[外周優先SP合計]]-テーブル2[[#This Row],[調整]]</f>
        <v>0</v>
      </c>
      <c r="U23" s="37"/>
      <c r="V23" s="4">
        <f>SUM(テーブル2[[#This Row],[島中実SP数]:[事故SP数]])</f>
        <v>0</v>
      </c>
      <c r="X23" s="63"/>
      <c r="Y23" s="4">
        <v>56</v>
      </c>
      <c r="Z23" s="4">
        <v>20</v>
      </c>
      <c r="AA23" s="4">
        <v>1</v>
      </c>
      <c r="AC23" s="4" t="str">
        <f>ASC(テーブル4[[#This Row],[work]])</f>
        <v/>
      </c>
      <c r="AD23" s="4" t="str">
        <f>IF(テーブル4[[#This Row],[media]]=10,テーブル4[[#This Row],[media]]&amp;テーブル4[[#This Row],[seinen]]&amp;テーブル4[[#This Row],[work_h]],テーブル4[[#This Row],[media]]&amp;テーブル4[[#This Row],[seinen]])</f>
        <v>201</v>
      </c>
      <c r="AE23" s="4" t="str">
        <f>VLOOKUP(テーブル4[[#This Row],[media]],参照用!$A$2:$B$18,2)</f>
        <v>音楽</v>
      </c>
      <c r="AF23" s="4" t="str">
        <f>IF(テーブル4[[#This Row],[media]]=10,VLOOKUP(テーブル4[[#This Row],[work_h]],参照用!$D$2:$E$20,2),"")</f>
        <v/>
      </c>
      <c r="AG23" s="31"/>
      <c r="AH23" s="32"/>
      <c r="AI23" s="20"/>
      <c r="AJ23" s="21"/>
      <c r="AK23" s="22"/>
      <c r="AL23" s="23"/>
      <c r="AM23" s="4">
        <f>SUM(テーブル4[[#This Row],[ピンク]:[他]])</f>
        <v>0</v>
      </c>
      <c r="AN23" s="4">
        <f>SUM(テーブル4[[#This Row],[ピンク]:[オレンジ]])</f>
        <v>0</v>
      </c>
      <c r="AO23" s="48"/>
      <c r="AP23" s="7"/>
      <c r="AQ23" s="4">
        <f>テーブル4[[#This Row],[付箋有無合計]]-テーブル4[[#This Row],[外周優先SP合計]]-テーブル4[[#This Row],[調整]]</f>
        <v>0</v>
      </c>
      <c r="AR23" s="45"/>
      <c r="AS23" s="4">
        <f>SUM(テーブル4[[#This Row],[島中実SP数]:[事故SP数]])</f>
        <v>0</v>
      </c>
    </row>
    <row r="24" spans="1:45" x14ac:dyDescent="0.55000000000000004">
      <c r="A24" s="65"/>
      <c r="B24" s="4">
        <v>23</v>
      </c>
      <c r="C24" s="4">
        <v>21</v>
      </c>
      <c r="D24" s="4">
        <v>0</v>
      </c>
      <c r="F24" s="4" t="str">
        <f>ASC(テーブル2[[#This Row],[work]])</f>
        <v/>
      </c>
      <c r="G24" s="4" t="str">
        <f>IF(テーブル2[[#This Row],[media]]=10,テーブル2[[#This Row],[media]]&amp;テーブル2[[#This Row],[seinen]]&amp;テーブル2[[#This Row],[work_h]],テーブル2[[#This Row],[media]]&amp;テーブル2[[#This Row],[seinen]])</f>
        <v>210</v>
      </c>
      <c r="H24" s="4" t="str">
        <f>VLOOKUP(テーブル2[[#This Row],[media]],参照用!$A$2:$B$18,2)</f>
        <v>ゲーム</v>
      </c>
      <c r="I24" s="4" t="str">
        <f>IF(テーブル2[[#This Row],[media]]=10,VLOOKUP(テーブル2[[#This Row],[work_h]],参照用!$D$2:$E$20,2),"")</f>
        <v/>
      </c>
      <c r="J24" s="31"/>
      <c r="K24" s="32"/>
      <c r="L24" s="20"/>
      <c r="M24" s="21"/>
      <c r="N24" s="22"/>
      <c r="O24" s="23"/>
      <c r="P24" s="4">
        <f>SUM(テーブル2[[#This Row],[ピンク]:[他]])</f>
        <v>0</v>
      </c>
      <c r="Q24" s="4">
        <f>SUM(テーブル2[[#This Row],[ピンク]:[オレンジ]])</f>
        <v>0</v>
      </c>
      <c r="R24" s="37"/>
      <c r="S24" s="4">
        <f>テーブル2[[#This Row],[外周優先SP合計]]+テーブル2[[#This Row],[調整]]</f>
        <v>0</v>
      </c>
      <c r="T24" s="4">
        <f>テーブル2[[#This Row],[付箋有無合計]]-テーブル2[[#This Row],[外周優先SP合計]]-テーブル2[[#This Row],[調整]]</f>
        <v>0</v>
      </c>
      <c r="U24" s="37"/>
      <c r="V24" s="4">
        <f>SUM(テーブル2[[#This Row],[島中実SP数]:[事故SP数]])</f>
        <v>0</v>
      </c>
      <c r="X24" s="63"/>
      <c r="Y24" s="4">
        <v>57</v>
      </c>
      <c r="Z24" s="4">
        <v>21</v>
      </c>
      <c r="AA24" s="4">
        <v>1</v>
      </c>
      <c r="AC24" s="4" t="str">
        <f>ASC(テーブル4[[#This Row],[work]])</f>
        <v/>
      </c>
      <c r="AD24" s="4" t="str">
        <f>IF(テーブル4[[#This Row],[media]]=10,テーブル4[[#This Row],[media]]&amp;テーブル4[[#This Row],[seinen]]&amp;テーブル4[[#This Row],[work_h]],テーブル4[[#This Row],[media]]&amp;テーブル4[[#This Row],[seinen]])</f>
        <v>211</v>
      </c>
      <c r="AE24" s="4" t="str">
        <f>VLOOKUP(テーブル4[[#This Row],[media]],参照用!$A$2:$B$18,2)</f>
        <v>ゲーム</v>
      </c>
      <c r="AF24" s="4" t="str">
        <f>IF(テーブル4[[#This Row],[media]]=10,VLOOKUP(テーブル4[[#This Row],[work_h]],参照用!$D$2:$E$20,2),"")</f>
        <v/>
      </c>
      <c r="AG24" s="31"/>
      <c r="AH24" s="32"/>
      <c r="AI24" s="20"/>
      <c r="AJ24" s="21"/>
      <c r="AK24" s="22"/>
      <c r="AL24" s="23"/>
      <c r="AM24" s="4">
        <f>SUM(テーブル4[[#This Row],[ピンク]:[他]])</f>
        <v>0</v>
      </c>
      <c r="AN24" s="4">
        <f>SUM(テーブル4[[#This Row],[ピンク]:[オレンジ]])</f>
        <v>0</v>
      </c>
      <c r="AO24" s="48"/>
      <c r="AP24" s="7"/>
      <c r="AQ24" s="4">
        <f>テーブル4[[#This Row],[付箋有無合計]]-テーブル4[[#This Row],[外周優先SP合計]]-テーブル4[[#This Row],[調整]]</f>
        <v>0</v>
      </c>
      <c r="AR24" s="45"/>
      <c r="AS24" s="4">
        <f>SUM(テーブル4[[#This Row],[島中実SP数]:[事故SP数]])</f>
        <v>0</v>
      </c>
    </row>
    <row r="25" spans="1:45" x14ac:dyDescent="0.55000000000000004">
      <c r="A25" s="65"/>
      <c r="B25" s="4">
        <v>24</v>
      </c>
      <c r="C25" s="4">
        <v>22</v>
      </c>
      <c r="D25" s="4">
        <v>0</v>
      </c>
      <c r="F25" s="4" t="str">
        <f>ASC(テーブル2[[#This Row],[work]])</f>
        <v/>
      </c>
      <c r="G25" s="4" t="str">
        <f>IF(テーブル2[[#This Row],[media]]=10,テーブル2[[#This Row],[media]]&amp;テーブル2[[#This Row],[seinen]]&amp;テーブル2[[#This Row],[work_h]],テーブル2[[#This Row],[media]]&amp;テーブル2[[#This Row],[seinen]])</f>
        <v>220</v>
      </c>
      <c r="H25" s="4" t="str">
        <f>VLOOKUP(テーブル2[[#This Row],[media]],参照用!$A$2:$B$18,2)</f>
        <v>映像</v>
      </c>
      <c r="I25" s="4" t="str">
        <f>IF(テーブル2[[#This Row],[media]]=10,VLOOKUP(テーブル2[[#This Row],[work_h]],参照用!$D$2:$E$20,2),"")</f>
        <v/>
      </c>
      <c r="J25" s="31"/>
      <c r="K25" s="32"/>
      <c r="L25" s="20"/>
      <c r="M25" s="21"/>
      <c r="N25" s="22"/>
      <c r="O25" s="23"/>
      <c r="P25" s="4">
        <f>SUM(テーブル2[[#This Row],[ピンク]:[他]])</f>
        <v>0</v>
      </c>
      <c r="Q25" s="4">
        <f>SUM(テーブル2[[#This Row],[ピンク]:[オレンジ]])</f>
        <v>0</v>
      </c>
      <c r="R25" s="37"/>
      <c r="S25" s="4">
        <f>テーブル2[[#This Row],[外周優先SP合計]]+テーブル2[[#This Row],[調整]]</f>
        <v>0</v>
      </c>
      <c r="T25" s="4">
        <f>テーブル2[[#This Row],[付箋有無合計]]-テーブル2[[#This Row],[外周優先SP合計]]-テーブル2[[#This Row],[調整]]</f>
        <v>0</v>
      </c>
      <c r="U25" s="37"/>
      <c r="V25" s="4">
        <f>SUM(テーブル2[[#This Row],[島中実SP数]:[事故SP数]])</f>
        <v>0</v>
      </c>
      <c r="X25" s="63"/>
      <c r="Y25" s="4">
        <v>58</v>
      </c>
      <c r="Z25" s="4">
        <v>22</v>
      </c>
      <c r="AA25" s="4">
        <v>1</v>
      </c>
      <c r="AC25" s="4" t="str">
        <f>ASC(テーブル4[[#This Row],[work]])</f>
        <v/>
      </c>
      <c r="AD25" s="4" t="str">
        <f>IF(テーブル4[[#This Row],[media]]=10,テーブル4[[#This Row],[media]]&amp;テーブル4[[#This Row],[seinen]]&amp;テーブル4[[#This Row],[work_h]],テーブル4[[#This Row],[media]]&amp;テーブル4[[#This Row],[seinen]])</f>
        <v>221</v>
      </c>
      <c r="AE25" s="4" t="str">
        <f>VLOOKUP(テーブル4[[#This Row],[media]],参照用!$A$2:$B$18,2)</f>
        <v>映像</v>
      </c>
      <c r="AF25" s="4" t="str">
        <f>IF(テーブル4[[#This Row],[media]]=10,VLOOKUP(テーブル4[[#This Row],[work_h]],参照用!$D$2:$E$20,2),"")</f>
        <v/>
      </c>
      <c r="AG25" s="31"/>
      <c r="AH25" s="32"/>
      <c r="AI25" s="20"/>
      <c r="AJ25" s="21"/>
      <c r="AK25" s="22"/>
      <c r="AL25" s="23"/>
      <c r="AM25" s="4">
        <f>SUM(テーブル4[[#This Row],[ピンク]:[他]])</f>
        <v>0</v>
      </c>
      <c r="AN25" s="4">
        <f>SUM(テーブル4[[#This Row],[ピンク]:[オレンジ]])</f>
        <v>0</v>
      </c>
      <c r="AO25" s="48"/>
      <c r="AP25" s="7"/>
      <c r="AQ25" s="4">
        <f>テーブル4[[#This Row],[付箋有無合計]]-テーブル4[[#This Row],[外周優先SP合計]]-テーブル4[[#This Row],[調整]]</f>
        <v>0</v>
      </c>
      <c r="AR25" s="45"/>
      <c r="AS25" s="4">
        <f>SUM(テーブル4[[#This Row],[島中実SP数]:[事故SP数]])</f>
        <v>0</v>
      </c>
    </row>
    <row r="26" spans="1:45" x14ac:dyDescent="0.55000000000000004">
      <c r="A26" s="65"/>
      <c r="B26" s="4">
        <v>25</v>
      </c>
      <c r="C26" s="4">
        <v>23</v>
      </c>
      <c r="D26" s="4">
        <v>0</v>
      </c>
      <c r="F26" s="4" t="str">
        <f>ASC(テーブル2[[#This Row],[work]])</f>
        <v/>
      </c>
      <c r="G26" s="4" t="str">
        <f>IF(テーブル2[[#This Row],[media]]=10,テーブル2[[#This Row],[media]]&amp;テーブル2[[#This Row],[seinen]]&amp;テーブル2[[#This Row],[work_h]],テーブル2[[#This Row],[media]]&amp;テーブル2[[#This Row],[seinen]])</f>
        <v>230</v>
      </c>
      <c r="H26" s="4" t="str">
        <f>VLOOKUP(テーブル2[[#This Row],[media]],参照用!$A$2:$B$18,2)</f>
        <v>写真集</v>
      </c>
      <c r="I26" s="4" t="str">
        <f>IF(テーブル2[[#This Row],[media]]=10,VLOOKUP(テーブル2[[#This Row],[work_h]],参照用!$D$2:$E$20,2),"")</f>
        <v/>
      </c>
      <c r="J26" s="31"/>
      <c r="K26" s="32"/>
      <c r="L26" s="20"/>
      <c r="M26" s="21"/>
      <c r="N26" s="22"/>
      <c r="O26" s="23"/>
      <c r="P26" s="4">
        <f>SUM(テーブル2[[#This Row],[ピンク]:[他]])</f>
        <v>0</v>
      </c>
      <c r="Q26" s="4">
        <f>SUM(テーブル2[[#This Row],[ピンク]:[オレンジ]])</f>
        <v>0</v>
      </c>
      <c r="R26" s="37"/>
      <c r="S26" s="4">
        <f>テーブル2[[#This Row],[外周優先SP合計]]+テーブル2[[#This Row],[調整]]</f>
        <v>0</v>
      </c>
      <c r="T26" s="4">
        <f>テーブル2[[#This Row],[付箋有無合計]]-テーブル2[[#This Row],[外周優先SP合計]]-テーブル2[[#This Row],[調整]]</f>
        <v>0</v>
      </c>
      <c r="U26" s="37"/>
      <c r="V26" s="4">
        <f>SUM(テーブル2[[#This Row],[島中実SP数]:[事故SP数]])</f>
        <v>0</v>
      </c>
      <c r="X26" s="63"/>
      <c r="Y26" s="4">
        <v>59</v>
      </c>
      <c r="Z26" s="4">
        <v>23</v>
      </c>
      <c r="AA26" s="4">
        <v>1</v>
      </c>
      <c r="AC26" s="4" t="str">
        <f>ASC(テーブル4[[#This Row],[work]])</f>
        <v/>
      </c>
      <c r="AD26" s="4" t="str">
        <f>IF(テーブル4[[#This Row],[media]]=10,テーブル4[[#This Row],[media]]&amp;テーブル4[[#This Row],[seinen]]&amp;テーブル4[[#This Row],[work_h]],テーブル4[[#This Row],[media]]&amp;テーブル4[[#This Row],[seinen]])</f>
        <v>231</v>
      </c>
      <c r="AE26" s="4" t="str">
        <f>VLOOKUP(テーブル4[[#This Row],[media]],参照用!$A$2:$B$18,2)</f>
        <v>写真集</v>
      </c>
      <c r="AF26" s="4" t="str">
        <f>IF(テーブル4[[#This Row],[media]]=10,VLOOKUP(テーブル4[[#This Row],[work_h]],参照用!$D$2:$E$20,2),"")</f>
        <v/>
      </c>
      <c r="AG26" s="31"/>
      <c r="AH26" s="32"/>
      <c r="AI26" s="20"/>
      <c r="AJ26" s="21"/>
      <c r="AK26" s="22"/>
      <c r="AL26" s="23"/>
      <c r="AM26" s="4">
        <f>SUM(テーブル4[[#This Row],[ピンク]:[他]])</f>
        <v>0</v>
      </c>
      <c r="AN26" s="4">
        <f>SUM(テーブル4[[#This Row],[ピンク]:[オレンジ]])</f>
        <v>0</v>
      </c>
      <c r="AO26" s="48"/>
      <c r="AP26" s="7"/>
      <c r="AQ26" s="4">
        <f>テーブル4[[#This Row],[付箋有無合計]]-テーブル4[[#This Row],[外周優先SP合計]]-テーブル4[[#This Row],[調整]]</f>
        <v>0</v>
      </c>
      <c r="AR26" s="45"/>
      <c r="AS26" s="4">
        <f>SUM(テーブル4[[#This Row],[島中実SP数]:[事故SP数]])</f>
        <v>0</v>
      </c>
    </row>
    <row r="27" spans="1:45" x14ac:dyDescent="0.55000000000000004">
      <c r="A27" s="65"/>
      <c r="B27" s="4">
        <v>26</v>
      </c>
      <c r="C27" s="4">
        <v>24</v>
      </c>
      <c r="D27" s="4">
        <v>0</v>
      </c>
      <c r="F27" s="4" t="str">
        <f>ASC(テーブル2[[#This Row],[work]])</f>
        <v/>
      </c>
      <c r="G27" s="4" t="str">
        <f>IF(テーブル2[[#This Row],[media]]=10,テーブル2[[#This Row],[media]]&amp;テーブル2[[#This Row],[seinen]]&amp;テーブル2[[#This Row],[work_h]],テーブル2[[#This Row],[media]]&amp;テーブル2[[#This Row],[seinen]])</f>
        <v>240</v>
      </c>
      <c r="H27" s="4" t="str">
        <f>VLOOKUP(テーブル2[[#This Row],[media]],参照用!$A$2:$B$18,2)</f>
        <v>その他</v>
      </c>
      <c r="I27" s="4" t="str">
        <f>IF(テーブル2[[#This Row],[media]]=10,VLOOKUP(テーブル2[[#This Row],[work_h]],参照用!$D$2:$E$20,2),"")</f>
        <v/>
      </c>
      <c r="J27" s="31"/>
      <c r="K27" s="32"/>
      <c r="L27" s="20"/>
      <c r="M27" s="21"/>
      <c r="N27" s="22"/>
      <c r="O27" s="23"/>
      <c r="P27" s="4">
        <f>SUM(テーブル2[[#This Row],[ピンク]:[他]])</f>
        <v>0</v>
      </c>
      <c r="Q27" s="4">
        <f>SUM(テーブル2[[#This Row],[ピンク]:[オレンジ]])</f>
        <v>0</v>
      </c>
      <c r="R27" s="37"/>
      <c r="S27" s="4">
        <f>テーブル2[[#This Row],[外周優先SP合計]]+テーブル2[[#This Row],[調整]]</f>
        <v>0</v>
      </c>
      <c r="T27" s="4">
        <f>テーブル2[[#This Row],[付箋有無合計]]-テーブル2[[#This Row],[外周優先SP合計]]-テーブル2[[#This Row],[調整]]</f>
        <v>0</v>
      </c>
      <c r="U27" s="37"/>
      <c r="V27" s="4">
        <f>SUM(テーブル2[[#This Row],[島中実SP数]:[事故SP数]])</f>
        <v>0</v>
      </c>
      <c r="X27" s="63"/>
      <c r="Y27" s="4">
        <v>60</v>
      </c>
      <c r="Z27" s="4">
        <v>24</v>
      </c>
      <c r="AA27" s="4">
        <v>1</v>
      </c>
      <c r="AC27" s="4" t="str">
        <f>ASC(テーブル4[[#This Row],[work]])</f>
        <v/>
      </c>
      <c r="AD27" s="4" t="str">
        <f>IF(テーブル4[[#This Row],[media]]=10,テーブル4[[#This Row],[media]]&amp;テーブル4[[#This Row],[seinen]]&amp;テーブル4[[#This Row],[work_h]],テーブル4[[#This Row],[media]]&amp;テーブル4[[#This Row],[seinen]])</f>
        <v>241</v>
      </c>
      <c r="AE27" s="4" t="str">
        <f>VLOOKUP(テーブル4[[#This Row],[media]],参照用!$A$2:$B$18,2)</f>
        <v>その他</v>
      </c>
      <c r="AF27" s="4" t="str">
        <f>IF(テーブル4[[#This Row],[media]]=10,VLOOKUP(テーブル4[[#This Row],[work_h]],参照用!$D$2:$E$20,2),"")</f>
        <v/>
      </c>
      <c r="AG27" s="31"/>
      <c r="AH27" s="32"/>
      <c r="AI27" s="20"/>
      <c r="AJ27" s="21"/>
      <c r="AK27" s="22"/>
      <c r="AL27" s="23"/>
      <c r="AM27" s="4">
        <f>SUM(テーブル4[[#This Row],[ピンク]:[他]])</f>
        <v>0</v>
      </c>
      <c r="AN27" s="4">
        <f>SUM(テーブル4[[#This Row],[ピンク]:[オレンジ]])</f>
        <v>0</v>
      </c>
      <c r="AO27" s="48"/>
      <c r="AP27" s="7"/>
      <c r="AQ27" s="4">
        <f>テーブル4[[#This Row],[付箋有無合計]]-テーブル4[[#This Row],[外周優先SP合計]]-テーブル4[[#This Row],[調整]]</f>
        <v>0</v>
      </c>
      <c r="AR27" s="45"/>
      <c r="AS27" s="4">
        <f>SUM(テーブル4[[#This Row],[島中実SP数]:[事故SP数]])</f>
        <v>0</v>
      </c>
    </row>
    <row r="28" spans="1:45" x14ac:dyDescent="0.55000000000000004">
      <c r="A28" s="65"/>
      <c r="B28" s="4">
        <v>27</v>
      </c>
      <c r="C28" s="4">
        <v>30</v>
      </c>
      <c r="D28" s="4">
        <v>0</v>
      </c>
      <c r="F28" s="4" t="str">
        <f>ASC(テーブル2[[#This Row],[work]])</f>
        <v/>
      </c>
      <c r="G28" s="4" t="str">
        <f>IF(テーブル2[[#This Row],[media]]=10,テーブル2[[#This Row],[media]]&amp;テーブル2[[#This Row],[seinen]]&amp;テーブル2[[#This Row],[work_h]],テーブル2[[#This Row],[media]]&amp;テーブル2[[#This Row],[seinen]])</f>
        <v>300</v>
      </c>
      <c r="H28" s="4" t="str">
        <f>VLOOKUP(テーブル2[[#This Row],[media]],参照用!$A$2:$B$18,2)</f>
        <v>造形物</v>
      </c>
      <c r="I28" s="4" t="str">
        <f>IF(テーブル2[[#This Row],[media]]=10,VLOOKUP(テーブル2[[#This Row],[work_h]],参照用!$D$2:$E$20,2),"")</f>
        <v/>
      </c>
      <c r="J28" s="31"/>
      <c r="K28" s="32"/>
      <c r="L28" s="20"/>
      <c r="M28" s="21"/>
      <c r="N28" s="22"/>
      <c r="O28" s="23"/>
      <c r="P28" s="4">
        <f>SUM(テーブル2[[#This Row],[ピンク]:[他]])</f>
        <v>0</v>
      </c>
      <c r="Q28" s="4">
        <f>SUM(テーブル2[[#This Row],[ピンク]:[オレンジ]])</f>
        <v>0</v>
      </c>
      <c r="R28" s="37"/>
      <c r="S28" s="4">
        <f>テーブル2[[#This Row],[外周優先SP合計]]+テーブル2[[#This Row],[調整]]</f>
        <v>0</v>
      </c>
      <c r="T28" s="4">
        <f>テーブル2[[#This Row],[付箋有無合計]]-テーブル2[[#This Row],[外周優先SP合計]]-テーブル2[[#This Row],[調整]]</f>
        <v>0</v>
      </c>
      <c r="U28" s="37"/>
      <c r="V28" s="4">
        <f>SUM(テーブル2[[#This Row],[島中実SP数]:[事故SP数]])</f>
        <v>0</v>
      </c>
      <c r="X28" s="63"/>
      <c r="Y28" s="4">
        <v>61</v>
      </c>
      <c r="Z28" s="4">
        <v>30</v>
      </c>
      <c r="AA28" s="4">
        <v>1</v>
      </c>
      <c r="AC28" s="4" t="str">
        <f>ASC(テーブル4[[#This Row],[work]])</f>
        <v/>
      </c>
      <c r="AD28" s="4" t="str">
        <f>IF(テーブル4[[#This Row],[media]]=10,テーブル4[[#This Row],[media]]&amp;テーブル4[[#This Row],[seinen]]&amp;テーブル4[[#This Row],[work_h]],テーブル4[[#This Row],[media]]&amp;テーブル4[[#This Row],[seinen]])</f>
        <v>301</v>
      </c>
      <c r="AE28" s="4" t="str">
        <f>VLOOKUP(テーブル4[[#This Row],[media]],参照用!$A$2:$B$18,2)</f>
        <v>造形物</v>
      </c>
      <c r="AF28" s="4" t="str">
        <f>IF(テーブル4[[#This Row],[media]]=10,VLOOKUP(テーブル4[[#This Row],[work_h]],参照用!$D$2:$E$20,2),"")</f>
        <v/>
      </c>
      <c r="AG28" s="31"/>
      <c r="AH28" s="32"/>
      <c r="AI28" s="20"/>
      <c r="AJ28" s="21"/>
      <c r="AK28" s="22"/>
      <c r="AL28" s="23"/>
      <c r="AM28" s="4">
        <f>SUM(テーブル4[[#This Row],[ピンク]:[他]])</f>
        <v>0</v>
      </c>
      <c r="AN28" s="4">
        <f>SUM(テーブル4[[#This Row],[ピンク]:[オレンジ]])</f>
        <v>0</v>
      </c>
      <c r="AO28" s="48"/>
      <c r="AP28" s="7"/>
      <c r="AQ28" s="4">
        <f>テーブル4[[#This Row],[付箋有無合計]]-テーブル4[[#This Row],[外周優先SP合計]]-テーブル4[[#This Row],[調整]]</f>
        <v>0</v>
      </c>
      <c r="AR28" s="45"/>
      <c r="AS28" s="4">
        <f>SUM(テーブル4[[#This Row],[島中実SP数]:[事故SP数]])</f>
        <v>0</v>
      </c>
    </row>
    <row r="29" spans="1:45" x14ac:dyDescent="0.55000000000000004">
      <c r="A29" s="65"/>
      <c r="B29" s="4">
        <v>28</v>
      </c>
      <c r="C29" s="4">
        <v>31</v>
      </c>
      <c r="D29" s="4">
        <v>0</v>
      </c>
      <c r="F29" s="4" t="str">
        <f>ASC(テーブル2[[#This Row],[work]])</f>
        <v/>
      </c>
      <c r="G29" s="4" t="str">
        <f>IF(テーブル2[[#This Row],[media]]=10,テーブル2[[#This Row],[media]]&amp;テーブル2[[#This Row],[seinen]]&amp;テーブル2[[#This Row],[work_h]],テーブル2[[#This Row],[media]]&amp;テーブル2[[#This Row],[seinen]])</f>
        <v>310</v>
      </c>
      <c r="H29" s="4" t="str">
        <f>VLOOKUP(テーブル2[[#This Row],[media]],参照用!$A$2:$B$18,2)</f>
        <v>非電源ゲーム</v>
      </c>
      <c r="I29" s="4" t="str">
        <f>IF(テーブル2[[#This Row],[media]]=10,VLOOKUP(テーブル2[[#This Row],[work_h]],参照用!$D$2:$E$20,2),"")</f>
        <v/>
      </c>
      <c r="J29" s="31"/>
      <c r="K29" s="32"/>
      <c r="L29" s="20"/>
      <c r="M29" s="21"/>
      <c r="N29" s="22"/>
      <c r="O29" s="23"/>
      <c r="P29" s="4">
        <f>SUM(テーブル2[[#This Row],[ピンク]:[他]])</f>
        <v>0</v>
      </c>
      <c r="Q29" s="4">
        <f>SUM(テーブル2[[#This Row],[ピンク]:[オレンジ]])</f>
        <v>0</v>
      </c>
      <c r="R29" s="37"/>
      <c r="S29" s="4">
        <f>テーブル2[[#This Row],[外周優先SP合計]]+テーブル2[[#This Row],[調整]]</f>
        <v>0</v>
      </c>
      <c r="T29" s="4">
        <f>テーブル2[[#This Row],[付箋有無合計]]-テーブル2[[#This Row],[外周優先SP合計]]-テーブル2[[#This Row],[調整]]</f>
        <v>0</v>
      </c>
      <c r="U29" s="37"/>
      <c r="V29" s="4">
        <f>SUM(テーブル2[[#This Row],[島中実SP数]:[事故SP数]])</f>
        <v>0</v>
      </c>
      <c r="X29" s="63"/>
      <c r="Y29" s="4">
        <v>62</v>
      </c>
      <c r="Z29" s="4">
        <v>31</v>
      </c>
      <c r="AA29" s="4">
        <v>1</v>
      </c>
      <c r="AC29" s="4" t="str">
        <f>ASC(テーブル4[[#This Row],[work]])</f>
        <v/>
      </c>
      <c r="AD29" s="4" t="str">
        <f>IF(テーブル4[[#This Row],[media]]=10,テーブル4[[#This Row],[media]]&amp;テーブル4[[#This Row],[seinen]]&amp;テーブル4[[#This Row],[work_h]],テーブル4[[#This Row],[media]]&amp;テーブル4[[#This Row],[seinen]])</f>
        <v>311</v>
      </c>
      <c r="AE29" s="4" t="str">
        <f>VLOOKUP(テーブル4[[#This Row],[media]],参照用!$A$2:$B$18,2)</f>
        <v>非電源ゲーム</v>
      </c>
      <c r="AF29" s="4" t="str">
        <f>IF(テーブル4[[#This Row],[media]]=10,VLOOKUP(テーブル4[[#This Row],[work_h]],参照用!$D$2:$E$20,2),"")</f>
        <v/>
      </c>
      <c r="AG29" s="31"/>
      <c r="AH29" s="32"/>
      <c r="AI29" s="20"/>
      <c r="AJ29" s="21"/>
      <c r="AK29" s="22"/>
      <c r="AL29" s="23"/>
      <c r="AM29" s="4">
        <f>SUM(テーブル4[[#This Row],[ピンク]:[他]])</f>
        <v>0</v>
      </c>
      <c r="AN29" s="4">
        <f>SUM(テーブル4[[#This Row],[ピンク]:[オレンジ]])</f>
        <v>0</v>
      </c>
      <c r="AO29" s="48"/>
      <c r="AP29" s="7"/>
      <c r="AQ29" s="4">
        <f>テーブル4[[#This Row],[付箋有無合計]]-テーブル4[[#This Row],[外周優先SP合計]]-テーブル4[[#This Row],[調整]]</f>
        <v>0</v>
      </c>
      <c r="AR29" s="45"/>
      <c r="AS29" s="4">
        <f>SUM(テーブル4[[#This Row],[島中実SP数]:[事故SP数]])</f>
        <v>0</v>
      </c>
    </row>
    <row r="30" spans="1:45" x14ac:dyDescent="0.55000000000000004">
      <c r="A30" s="65"/>
      <c r="B30" s="4">
        <v>29</v>
      </c>
      <c r="C30" s="4">
        <v>32</v>
      </c>
      <c r="D30" s="4">
        <v>0</v>
      </c>
      <c r="F30" s="4" t="str">
        <f>ASC(テーブル2[[#This Row],[work]])</f>
        <v/>
      </c>
      <c r="G30" s="4" t="str">
        <f>IF(テーブル2[[#This Row],[media]]=10,テーブル2[[#This Row],[media]]&amp;テーブル2[[#This Row],[seinen]]&amp;テーブル2[[#This Row],[work_h]],テーブル2[[#This Row],[media]]&amp;テーブル2[[#This Row],[seinen]])</f>
        <v>320</v>
      </c>
      <c r="H30" s="4" t="str">
        <f>VLOOKUP(テーブル2[[#This Row],[media]],参照用!$A$2:$B$18,2)</f>
        <v>布物</v>
      </c>
      <c r="I30" s="4" t="str">
        <f>IF(テーブル2[[#This Row],[media]]=10,VLOOKUP(テーブル2[[#This Row],[work_h]],参照用!$D$2:$E$20,2),"")</f>
        <v/>
      </c>
      <c r="J30" s="31"/>
      <c r="K30" s="32"/>
      <c r="L30" s="20"/>
      <c r="M30" s="21"/>
      <c r="N30" s="22"/>
      <c r="O30" s="23"/>
      <c r="P30" s="4">
        <f>SUM(テーブル2[[#This Row],[ピンク]:[他]])</f>
        <v>0</v>
      </c>
      <c r="Q30" s="4">
        <f>SUM(テーブル2[[#This Row],[ピンク]:[オレンジ]])</f>
        <v>0</v>
      </c>
      <c r="R30" s="37"/>
      <c r="S30" s="4">
        <f>テーブル2[[#This Row],[外周優先SP合計]]+テーブル2[[#This Row],[調整]]</f>
        <v>0</v>
      </c>
      <c r="T30" s="4">
        <f>テーブル2[[#This Row],[付箋有無合計]]-テーブル2[[#This Row],[外周優先SP合計]]-テーブル2[[#This Row],[調整]]</f>
        <v>0</v>
      </c>
      <c r="U30" s="37"/>
      <c r="V30" s="4">
        <f>SUM(テーブル2[[#This Row],[島中実SP数]:[事故SP数]])</f>
        <v>0</v>
      </c>
      <c r="X30" s="63"/>
      <c r="Y30" s="4">
        <v>63</v>
      </c>
      <c r="Z30" s="4">
        <v>32</v>
      </c>
      <c r="AA30" s="4">
        <v>1</v>
      </c>
      <c r="AC30" s="4" t="str">
        <f>ASC(テーブル4[[#This Row],[work]])</f>
        <v/>
      </c>
      <c r="AD30" s="4" t="str">
        <f>IF(テーブル4[[#This Row],[media]]=10,テーブル4[[#This Row],[media]]&amp;テーブル4[[#This Row],[seinen]]&amp;テーブル4[[#This Row],[work_h]],テーブル4[[#This Row],[media]]&amp;テーブル4[[#This Row],[seinen]])</f>
        <v>321</v>
      </c>
      <c r="AE30" s="4" t="str">
        <f>VLOOKUP(テーブル4[[#This Row],[media]],参照用!$A$2:$B$18,2)</f>
        <v>布物</v>
      </c>
      <c r="AF30" s="4" t="str">
        <f>IF(テーブル4[[#This Row],[media]]=10,VLOOKUP(テーブル4[[#This Row],[work_h]],参照用!$D$2:$E$20,2),"")</f>
        <v/>
      </c>
      <c r="AG30" s="31"/>
      <c r="AH30" s="32"/>
      <c r="AI30" s="20"/>
      <c r="AJ30" s="21"/>
      <c r="AK30" s="22"/>
      <c r="AL30" s="23"/>
      <c r="AM30" s="4">
        <f>SUM(テーブル4[[#This Row],[ピンク]:[他]])</f>
        <v>0</v>
      </c>
      <c r="AN30" s="4">
        <f>SUM(テーブル4[[#This Row],[ピンク]:[オレンジ]])</f>
        <v>0</v>
      </c>
      <c r="AO30" s="48"/>
      <c r="AP30" s="7"/>
      <c r="AQ30" s="4">
        <f>テーブル4[[#This Row],[付箋有無合計]]-テーブル4[[#This Row],[外周優先SP合計]]-テーブル4[[#This Row],[調整]]</f>
        <v>0</v>
      </c>
      <c r="AR30" s="45"/>
      <c r="AS30" s="4">
        <f>SUM(テーブル4[[#This Row],[島中実SP数]:[事故SP数]])</f>
        <v>0</v>
      </c>
    </row>
    <row r="31" spans="1:45" x14ac:dyDescent="0.55000000000000004">
      <c r="A31" s="65"/>
      <c r="B31" s="4">
        <v>30</v>
      </c>
      <c r="C31" s="4">
        <v>33</v>
      </c>
      <c r="D31" s="4">
        <v>0</v>
      </c>
      <c r="F31" s="4" t="str">
        <f>ASC(テーブル2[[#This Row],[work]])</f>
        <v/>
      </c>
      <c r="G31" s="4" t="str">
        <f>IF(テーブル2[[#This Row],[media]]=10,テーブル2[[#This Row],[media]]&amp;テーブル2[[#This Row],[seinen]]&amp;テーブル2[[#This Row],[work_h]],テーブル2[[#This Row],[media]]&amp;テーブル2[[#This Row],[seinen]])</f>
        <v>330</v>
      </c>
      <c r="H31" s="4" t="str">
        <f>VLOOKUP(テーブル2[[#This Row],[media]],参照用!$A$2:$B$18,2)</f>
        <v>装飾品</v>
      </c>
      <c r="I31" s="4" t="str">
        <f>IF(テーブル2[[#This Row],[media]]=10,VLOOKUP(テーブル2[[#This Row],[work_h]],参照用!$D$2:$E$20,2),"")</f>
        <v/>
      </c>
      <c r="J31" s="31"/>
      <c r="K31" s="32"/>
      <c r="L31" s="20"/>
      <c r="M31" s="21"/>
      <c r="N31" s="22"/>
      <c r="O31" s="23"/>
      <c r="P31" s="4">
        <f>SUM(テーブル2[[#This Row],[ピンク]:[他]])</f>
        <v>0</v>
      </c>
      <c r="Q31" s="4">
        <f>SUM(テーブル2[[#This Row],[ピンク]:[オレンジ]])</f>
        <v>0</v>
      </c>
      <c r="R31" s="37"/>
      <c r="S31" s="4">
        <f>テーブル2[[#This Row],[外周優先SP合計]]+テーブル2[[#This Row],[調整]]</f>
        <v>0</v>
      </c>
      <c r="T31" s="4">
        <f>テーブル2[[#This Row],[付箋有無合計]]-テーブル2[[#This Row],[外周優先SP合計]]-テーブル2[[#This Row],[調整]]</f>
        <v>0</v>
      </c>
      <c r="U31" s="37"/>
      <c r="V31" s="4">
        <f>SUM(テーブル2[[#This Row],[島中実SP数]:[事故SP数]])</f>
        <v>0</v>
      </c>
      <c r="X31" s="63"/>
      <c r="Y31" s="4">
        <v>64</v>
      </c>
      <c r="Z31" s="4">
        <v>33</v>
      </c>
      <c r="AA31" s="4">
        <v>1</v>
      </c>
      <c r="AC31" s="4" t="str">
        <f>ASC(テーブル4[[#This Row],[work]])</f>
        <v/>
      </c>
      <c r="AD31" s="4" t="str">
        <f>IF(テーブル4[[#This Row],[media]]=10,テーブル4[[#This Row],[media]]&amp;テーブル4[[#This Row],[seinen]]&amp;テーブル4[[#This Row],[work_h]],テーブル4[[#This Row],[media]]&amp;テーブル4[[#This Row],[seinen]])</f>
        <v>331</v>
      </c>
      <c r="AE31" s="4" t="str">
        <f>VLOOKUP(テーブル4[[#This Row],[media]],参照用!$A$2:$B$18,2)</f>
        <v>装飾品</v>
      </c>
      <c r="AF31" s="4" t="str">
        <f>IF(テーブル4[[#This Row],[media]]=10,VLOOKUP(テーブル4[[#This Row],[work_h]],参照用!$D$2:$E$20,2),"")</f>
        <v/>
      </c>
      <c r="AG31" s="31"/>
      <c r="AH31" s="32"/>
      <c r="AI31" s="20"/>
      <c r="AJ31" s="21"/>
      <c r="AK31" s="22"/>
      <c r="AL31" s="23"/>
      <c r="AM31" s="4">
        <f>SUM(テーブル4[[#This Row],[ピンク]:[他]])</f>
        <v>0</v>
      </c>
      <c r="AN31" s="4">
        <f>SUM(テーブル4[[#This Row],[ピンク]:[オレンジ]])</f>
        <v>0</v>
      </c>
      <c r="AO31" s="48"/>
      <c r="AP31" s="7"/>
      <c r="AQ31" s="4">
        <f>テーブル4[[#This Row],[付箋有無合計]]-テーブル4[[#This Row],[外周優先SP合計]]-テーブル4[[#This Row],[調整]]</f>
        <v>0</v>
      </c>
      <c r="AR31" s="45"/>
      <c r="AS31" s="4">
        <f>SUM(テーブル4[[#This Row],[島中実SP数]:[事故SP数]])</f>
        <v>0</v>
      </c>
    </row>
    <row r="32" spans="1:45" x14ac:dyDescent="0.55000000000000004">
      <c r="A32" s="65"/>
      <c r="B32" s="4">
        <v>31</v>
      </c>
      <c r="C32" s="4">
        <v>34</v>
      </c>
      <c r="D32" s="4">
        <v>0</v>
      </c>
      <c r="F32" s="4" t="str">
        <f>ASC(テーブル2[[#This Row],[work]])</f>
        <v/>
      </c>
      <c r="G32" s="4" t="str">
        <f>IF(テーブル2[[#This Row],[media]]=10,テーブル2[[#This Row],[media]]&amp;テーブル2[[#This Row],[seinen]]&amp;テーブル2[[#This Row],[work_h]],テーブル2[[#This Row],[media]]&amp;テーブル2[[#This Row],[seinen]])</f>
        <v>340</v>
      </c>
      <c r="H32" s="4" t="str">
        <f>VLOOKUP(テーブル2[[#This Row],[media]],参照用!$A$2:$B$18,2)</f>
        <v>日用品</v>
      </c>
      <c r="I32" s="4" t="str">
        <f>IF(テーブル2[[#This Row],[media]]=10,VLOOKUP(テーブル2[[#This Row],[work_h]],参照用!$D$2:$E$20,2),"")</f>
        <v/>
      </c>
      <c r="J32" s="31"/>
      <c r="K32" s="32"/>
      <c r="L32" s="20"/>
      <c r="M32" s="21"/>
      <c r="N32" s="22"/>
      <c r="O32" s="23"/>
      <c r="P32" s="4">
        <f>SUM(テーブル2[[#This Row],[ピンク]:[他]])</f>
        <v>0</v>
      </c>
      <c r="Q32" s="4">
        <f>SUM(テーブル2[[#This Row],[ピンク]:[オレンジ]])</f>
        <v>0</v>
      </c>
      <c r="R32" s="37"/>
      <c r="S32" s="4">
        <f>テーブル2[[#This Row],[外周優先SP合計]]+テーブル2[[#This Row],[調整]]</f>
        <v>0</v>
      </c>
      <c r="T32" s="4">
        <f>テーブル2[[#This Row],[付箋有無合計]]-テーブル2[[#This Row],[外周優先SP合計]]-テーブル2[[#This Row],[調整]]</f>
        <v>0</v>
      </c>
      <c r="U32" s="37"/>
      <c r="V32" s="4">
        <f>SUM(テーブル2[[#This Row],[島中実SP数]:[事故SP数]])</f>
        <v>0</v>
      </c>
      <c r="X32" s="63"/>
      <c r="Y32" s="4">
        <v>65</v>
      </c>
      <c r="Z32" s="4">
        <v>34</v>
      </c>
      <c r="AA32" s="4">
        <v>1</v>
      </c>
      <c r="AC32" s="4" t="str">
        <f>ASC(テーブル4[[#This Row],[work]])</f>
        <v/>
      </c>
      <c r="AD32" s="4" t="str">
        <f>IF(テーブル4[[#This Row],[media]]=10,テーブル4[[#This Row],[media]]&amp;テーブル4[[#This Row],[seinen]]&amp;テーブル4[[#This Row],[work_h]],テーブル4[[#This Row],[media]]&amp;テーブル4[[#This Row],[seinen]])</f>
        <v>341</v>
      </c>
      <c r="AE32" s="4" t="str">
        <f>VLOOKUP(テーブル4[[#This Row],[media]],参照用!$A$2:$B$18,2)</f>
        <v>日用品</v>
      </c>
      <c r="AF32" s="4" t="str">
        <f>IF(テーブル4[[#This Row],[media]]=10,VLOOKUP(テーブル4[[#This Row],[work_h]],参照用!$D$2:$E$20,2),"")</f>
        <v/>
      </c>
      <c r="AG32" s="31"/>
      <c r="AH32" s="32"/>
      <c r="AI32" s="20"/>
      <c r="AJ32" s="21"/>
      <c r="AK32" s="22"/>
      <c r="AL32" s="23"/>
      <c r="AM32" s="4">
        <f>SUM(テーブル4[[#This Row],[ピンク]:[他]])</f>
        <v>0</v>
      </c>
      <c r="AN32" s="4">
        <f>SUM(テーブル4[[#This Row],[ピンク]:[オレンジ]])</f>
        <v>0</v>
      </c>
      <c r="AO32" s="48"/>
      <c r="AP32" s="7"/>
      <c r="AQ32" s="4">
        <f>テーブル4[[#This Row],[付箋有無合計]]-テーブル4[[#This Row],[外周優先SP合計]]-テーブル4[[#This Row],[調整]]</f>
        <v>0</v>
      </c>
      <c r="AR32" s="45"/>
      <c r="AS32" s="4">
        <f>SUM(テーブル4[[#This Row],[島中実SP数]:[事故SP数]])</f>
        <v>0</v>
      </c>
    </row>
    <row r="33" spans="1:45" x14ac:dyDescent="0.55000000000000004">
      <c r="A33" s="65"/>
      <c r="B33" s="4">
        <v>32</v>
      </c>
      <c r="C33" s="4">
        <v>35</v>
      </c>
      <c r="D33" s="4">
        <v>0</v>
      </c>
      <c r="F33" s="4" t="str">
        <f>ASC(テーブル2[[#This Row],[work]])</f>
        <v/>
      </c>
      <c r="G33" s="4" t="str">
        <f>IF(テーブル2[[#This Row],[media]]=10,テーブル2[[#This Row],[media]]&amp;テーブル2[[#This Row],[seinen]]&amp;テーブル2[[#This Row],[work_h]],テーブル2[[#This Row],[media]]&amp;テーブル2[[#This Row],[seinen]])</f>
        <v>350</v>
      </c>
      <c r="H33" s="4" t="str">
        <f>VLOOKUP(テーブル2[[#This Row],[media]],参照用!$A$2:$B$18,2)</f>
        <v>イラスト</v>
      </c>
      <c r="I33" s="4" t="str">
        <f>IF(テーブル2[[#This Row],[media]]=10,VLOOKUP(テーブル2[[#This Row],[work_h]],参照用!$D$2:$E$20,2),"")</f>
        <v/>
      </c>
      <c r="J33" s="31"/>
      <c r="K33" s="32"/>
      <c r="L33" s="20"/>
      <c r="M33" s="21"/>
      <c r="N33" s="22"/>
      <c r="O33" s="23"/>
      <c r="P33" s="4">
        <f>SUM(テーブル2[[#This Row],[ピンク]:[他]])</f>
        <v>0</v>
      </c>
      <c r="Q33" s="4">
        <f>SUM(テーブル2[[#This Row],[ピンク]:[オレンジ]])</f>
        <v>0</v>
      </c>
      <c r="R33" s="37"/>
      <c r="S33" s="4">
        <f>テーブル2[[#This Row],[外周優先SP合計]]+テーブル2[[#This Row],[調整]]</f>
        <v>0</v>
      </c>
      <c r="T33" s="4">
        <f>テーブル2[[#This Row],[付箋有無合計]]-テーブル2[[#This Row],[外周優先SP合計]]-テーブル2[[#This Row],[調整]]</f>
        <v>0</v>
      </c>
      <c r="U33" s="37"/>
      <c r="V33" s="4">
        <f>SUM(テーブル2[[#This Row],[島中実SP数]:[事故SP数]])</f>
        <v>0</v>
      </c>
      <c r="X33" s="63"/>
      <c r="Y33" s="4">
        <v>66</v>
      </c>
      <c r="Z33" s="4">
        <v>35</v>
      </c>
      <c r="AA33" s="4">
        <v>1</v>
      </c>
      <c r="AC33" s="4" t="str">
        <f>ASC(テーブル4[[#This Row],[work]])</f>
        <v/>
      </c>
      <c r="AD33" s="4" t="str">
        <f>IF(テーブル4[[#This Row],[media]]=10,テーブル4[[#This Row],[media]]&amp;テーブル4[[#This Row],[seinen]]&amp;テーブル4[[#This Row],[work_h]],テーブル4[[#This Row],[media]]&amp;テーブル4[[#This Row],[seinen]])</f>
        <v>351</v>
      </c>
      <c r="AE33" s="4" t="str">
        <f>VLOOKUP(テーブル4[[#This Row],[media]],参照用!$A$2:$B$18,2)</f>
        <v>イラスト</v>
      </c>
      <c r="AF33" s="4" t="str">
        <f>IF(テーブル4[[#This Row],[media]]=10,VLOOKUP(テーブル4[[#This Row],[work_h]],参照用!$D$2:$E$20,2),"")</f>
        <v/>
      </c>
      <c r="AG33" s="31"/>
      <c r="AH33" s="32"/>
      <c r="AI33" s="20"/>
      <c r="AJ33" s="21"/>
      <c r="AK33" s="22"/>
      <c r="AL33" s="23"/>
      <c r="AM33" s="4">
        <f>SUM(テーブル4[[#This Row],[ピンク]:[他]])</f>
        <v>0</v>
      </c>
      <c r="AN33" s="4">
        <f>SUM(テーブル4[[#This Row],[ピンク]:[オレンジ]])</f>
        <v>0</v>
      </c>
      <c r="AO33" s="48"/>
      <c r="AP33" s="7"/>
      <c r="AQ33" s="4">
        <f>テーブル4[[#This Row],[付箋有無合計]]-テーブル4[[#This Row],[外周優先SP合計]]-テーブル4[[#This Row],[調整]]</f>
        <v>0</v>
      </c>
      <c r="AR33" s="45"/>
      <c r="AS33" s="4">
        <f>SUM(テーブル4[[#This Row],[島中実SP数]:[事故SP数]])</f>
        <v>0</v>
      </c>
    </row>
    <row r="34" spans="1:45" x14ac:dyDescent="0.55000000000000004">
      <c r="A34" s="65"/>
      <c r="B34" s="4">
        <v>33</v>
      </c>
      <c r="C34" s="4">
        <v>36</v>
      </c>
      <c r="D34" s="4">
        <v>0</v>
      </c>
      <c r="F34" s="4" t="str">
        <f>ASC(テーブル2[[#This Row],[work]])</f>
        <v/>
      </c>
      <c r="G34" s="4" t="str">
        <f>IF(テーブル2[[#This Row],[media]]=10,テーブル2[[#This Row],[media]]&amp;テーブル2[[#This Row],[seinen]]&amp;テーブル2[[#This Row],[work_h]],テーブル2[[#This Row],[media]]&amp;テーブル2[[#This Row],[seinen]])</f>
        <v>360</v>
      </c>
      <c r="H34" s="4" t="str">
        <f>VLOOKUP(テーブル2[[#This Row],[media]],参照用!$A$2:$B$18,2)</f>
        <v>その他</v>
      </c>
      <c r="I34" s="4" t="str">
        <f>IF(テーブル2[[#This Row],[media]]=10,VLOOKUP(テーブル2[[#This Row],[work_h]],参照用!$D$2:$E$20,2),"")</f>
        <v/>
      </c>
      <c r="J34" s="31"/>
      <c r="K34" s="32"/>
      <c r="L34" s="20"/>
      <c r="M34" s="21"/>
      <c r="N34" s="22"/>
      <c r="O34" s="23"/>
      <c r="P34" s="4">
        <f>SUM(テーブル2[[#This Row],[ピンク]:[他]])</f>
        <v>0</v>
      </c>
      <c r="Q34" s="4">
        <f>SUM(テーブル2[[#This Row],[ピンク]:[オレンジ]])</f>
        <v>0</v>
      </c>
      <c r="R34" s="37"/>
      <c r="S34" s="4">
        <f>テーブル2[[#This Row],[外周優先SP合計]]+テーブル2[[#This Row],[調整]]</f>
        <v>0</v>
      </c>
      <c r="T34" s="4">
        <f>テーブル2[[#This Row],[付箋有無合計]]-テーブル2[[#This Row],[外周優先SP合計]]-テーブル2[[#This Row],[調整]]</f>
        <v>0</v>
      </c>
      <c r="U34" s="37"/>
      <c r="V34" s="4">
        <f>SUM(テーブル2[[#This Row],[島中実SP数]:[事故SP数]])</f>
        <v>0</v>
      </c>
      <c r="X34" s="63"/>
      <c r="Y34" s="4">
        <v>67</v>
      </c>
      <c r="Z34" s="4">
        <v>36</v>
      </c>
      <c r="AA34" s="4">
        <v>1</v>
      </c>
      <c r="AC34" s="4" t="str">
        <f>ASC(テーブル4[[#This Row],[work]])</f>
        <v/>
      </c>
      <c r="AD34" s="4" t="str">
        <f>IF(テーブル4[[#This Row],[media]]=10,テーブル4[[#This Row],[media]]&amp;テーブル4[[#This Row],[seinen]]&amp;テーブル4[[#This Row],[work_h]],テーブル4[[#This Row],[media]]&amp;テーブル4[[#This Row],[seinen]])</f>
        <v>361</v>
      </c>
      <c r="AE34" s="4" t="str">
        <f>VLOOKUP(テーブル4[[#This Row],[media]],参照用!$A$2:$B$18,2)</f>
        <v>その他</v>
      </c>
      <c r="AF34" s="4" t="str">
        <f>IF(テーブル4[[#This Row],[media]]=10,VLOOKUP(テーブル4[[#This Row],[work_h]],参照用!$D$2:$E$20,2),"")</f>
        <v/>
      </c>
      <c r="AG34" s="31"/>
      <c r="AH34" s="32"/>
      <c r="AI34" s="20"/>
      <c r="AJ34" s="21"/>
      <c r="AK34" s="22"/>
      <c r="AL34" s="23"/>
      <c r="AM34" s="4">
        <f>SUM(テーブル4[[#This Row],[ピンク]:[他]])</f>
        <v>0</v>
      </c>
      <c r="AN34" s="4">
        <f>SUM(テーブル4[[#This Row],[ピンク]:[オレンジ]])</f>
        <v>0</v>
      </c>
      <c r="AO34" s="48"/>
      <c r="AP34" s="7"/>
      <c r="AQ34" s="4">
        <f>テーブル4[[#This Row],[付箋有無合計]]-テーブル4[[#This Row],[外周優先SP合計]]-テーブル4[[#This Row],[調整]]</f>
        <v>0</v>
      </c>
      <c r="AR34" s="45"/>
      <c r="AS34" s="4">
        <f>SUM(テーブル4[[#This Row],[島中実SP数]:[事故SP数]])</f>
        <v>0</v>
      </c>
    </row>
    <row r="35" spans="1:45" ht="18.5" thickBot="1" x14ac:dyDescent="0.6">
      <c r="A35" s="65"/>
      <c r="B35" s="4">
        <v>34</v>
      </c>
      <c r="C35" s="4">
        <v>90</v>
      </c>
      <c r="D35" s="4">
        <v>0</v>
      </c>
      <c r="F35" s="4" t="str">
        <f>ASC(テーブル2[[#This Row],[work]])</f>
        <v/>
      </c>
      <c r="G35" s="4" t="str">
        <f>IF(テーブル2[[#This Row],[media]]=10,テーブル2[[#This Row],[media]]&amp;テーブル2[[#This Row],[seinen]]&amp;テーブル2[[#This Row],[work_h]],テーブル2[[#This Row],[media]]&amp;テーブル2[[#This Row],[seinen]])</f>
        <v>900</v>
      </c>
      <c r="H35" s="4" t="str">
        <f>VLOOKUP(テーブル2[[#This Row],[media]],参照用!$A$2:$B$18,2)</f>
        <v>その他</v>
      </c>
      <c r="I35" s="4" t="str">
        <f>IF(テーブル2[[#This Row],[media]]=10,VLOOKUP(テーブル2[[#This Row],[work_h]],参照用!$D$2:$E$20,2),"")</f>
        <v/>
      </c>
      <c r="J35" s="33"/>
      <c r="K35" s="34"/>
      <c r="L35" s="24"/>
      <c r="M35" s="25"/>
      <c r="N35" s="26"/>
      <c r="O35" s="27"/>
      <c r="P35" s="4">
        <f>SUM(テーブル2[[#This Row],[ピンク]:[他]])</f>
        <v>0</v>
      </c>
      <c r="Q35" s="4">
        <f>SUM(テーブル2[[#This Row],[ピンク]:[オレンジ]])</f>
        <v>0</v>
      </c>
      <c r="R35" s="39"/>
      <c r="S35" s="4">
        <f>テーブル2[[#This Row],[外周優先SP合計]]+テーブル2[[#This Row],[調整]]</f>
        <v>0</v>
      </c>
      <c r="T35" s="4">
        <f>テーブル2[[#This Row],[付箋有無合計]]-テーブル2[[#This Row],[外周優先SP合計]]-テーブル2[[#This Row],[調整]]</f>
        <v>0</v>
      </c>
      <c r="U35" s="39"/>
      <c r="V35" s="4">
        <f>SUM(テーブル2[[#This Row],[島中実SP数]:[事故SP数]])</f>
        <v>0</v>
      </c>
      <c r="X35" s="63"/>
      <c r="Y35" s="4">
        <v>68</v>
      </c>
      <c r="Z35" s="4">
        <v>90</v>
      </c>
      <c r="AA35" s="4">
        <v>1</v>
      </c>
      <c r="AC35" s="4" t="str">
        <f>ASC(テーブル4[[#This Row],[work]])</f>
        <v/>
      </c>
      <c r="AD35" s="4" t="str">
        <f>IF(テーブル4[[#This Row],[media]]=10,テーブル4[[#This Row],[media]]&amp;テーブル4[[#This Row],[seinen]]&amp;テーブル4[[#This Row],[work_h]],テーブル4[[#This Row],[media]]&amp;テーブル4[[#This Row],[seinen]])</f>
        <v>901</v>
      </c>
      <c r="AE35" s="4" t="str">
        <f>VLOOKUP(テーブル4[[#This Row],[media]],参照用!$A$2:$B$18,2)</f>
        <v>その他</v>
      </c>
      <c r="AF35" s="4" t="str">
        <f>IF(テーブル4[[#This Row],[media]]=10,VLOOKUP(テーブル4[[#This Row],[work_h]],参照用!$D$2:$E$20,2),"")</f>
        <v/>
      </c>
      <c r="AG35" s="33"/>
      <c r="AH35" s="34"/>
      <c r="AI35" s="24"/>
      <c r="AJ35" s="25"/>
      <c r="AK35" s="26"/>
      <c r="AL35" s="27"/>
      <c r="AM35" s="4">
        <f>SUM(テーブル4[[#This Row],[ピンク]:[他]])</f>
        <v>0</v>
      </c>
      <c r="AN35" s="4">
        <f>SUM(テーブル4[[#This Row],[ピンク]:[オレンジ]])</f>
        <v>0</v>
      </c>
      <c r="AO35" s="49"/>
      <c r="AP35" s="7"/>
      <c r="AQ35" s="4">
        <f>テーブル4[[#This Row],[付箋有無合計]]-テーブル4[[#This Row],[外周優先SP合計]]-テーブル4[[#This Row],[調整]]</f>
        <v>0</v>
      </c>
      <c r="AR35" s="46"/>
      <c r="AS35" s="4">
        <f>SUM(テーブル4[[#This Row],[島中実SP数]:[事故SP数]])</f>
        <v>0</v>
      </c>
    </row>
    <row r="36" spans="1:45" ht="18.5" x14ac:dyDescent="0.55000000000000004">
      <c r="A36" s="4" t="s">
        <v>44</v>
      </c>
      <c r="J36" s="4">
        <f>SUM(テーブル2[理論SP])</f>
        <v>0</v>
      </c>
      <c r="K36" s="4">
        <f>SUM(テーブル2[ピンク])</f>
        <v>0</v>
      </c>
      <c r="L36" s="4">
        <f>SUM(テーブル2[オレンジ])</f>
        <v>0</v>
      </c>
      <c r="M36" s="4">
        <f>SUM(テーブル2[イエロー])</f>
        <v>0</v>
      </c>
      <c r="N36" s="4">
        <f>SUM(テーブル2[グリーン])</f>
        <v>0</v>
      </c>
      <c r="O36" s="4">
        <f>SUM(テーブル2[他])</f>
        <v>0</v>
      </c>
      <c r="P36" s="4">
        <f>SUM(テーブル2[付箋有無合計])</f>
        <v>0</v>
      </c>
      <c r="Q36" s="4">
        <f>SUM(テーブル2[外周優先SP合計])</f>
        <v>0</v>
      </c>
      <c r="R36" s="4">
        <f>SUM(テーブル2[調整])</f>
        <v>0</v>
      </c>
      <c r="S36"/>
      <c r="T36" s="4">
        <f>SUM(テーブル2[島中実SP数])</f>
        <v>0</v>
      </c>
      <c r="U36" s="4">
        <f>SUM(テーブル2[事故SP数])</f>
        <v>0</v>
      </c>
      <c r="V36" s="4">
        <f>SUM(テーブル2[島中合計SP数])</f>
        <v>0</v>
      </c>
      <c r="X36" s="4" t="s">
        <v>44</v>
      </c>
      <c r="AG36" s="4">
        <f>SUM(テーブル4[space])</f>
        <v>0</v>
      </c>
      <c r="AH36" s="4">
        <f>SUM(テーブル4[ピンク])</f>
        <v>0</v>
      </c>
      <c r="AI36" s="4">
        <f>SUM(テーブル4[オレンジ])</f>
        <v>0</v>
      </c>
      <c r="AJ36" s="4">
        <f>SUM(テーブル4[イエロー])</f>
        <v>0</v>
      </c>
      <c r="AK36" s="4">
        <f>SUM(テーブル4[グリーン])</f>
        <v>0</v>
      </c>
      <c r="AL36" s="4">
        <f>SUM(テーブル4[他])</f>
        <v>0</v>
      </c>
      <c r="AM36" s="4">
        <f>SUM(テーブル4[付箋有無合計])</f>
        <v>0</v>
      </c>
      <c r="AN36" s="4">
        <f>SUM(テーブル4[外周優先SP合計])</f>
        <v>0</v>
      </c>
      <c r="AO36" s="7">
        <f>SUM(テーブル4[調整])</f>
        <v>0</v>
      </c>
      <c r="AP36" s="60"/>
      <c r="AQ36" s="4">
        <f>SUM(テーブル4[島中実SP数])</f>
        <v>0</v>
      </c>
      <c r="AR36" s="4">
        <f>SUM(テーブル4[事故SP数])</f>
        <v>0</v>
      </c>
      <c r="AS36" s="4">
        <f>SUM(テーブル4[島中合計SP数])</f>
        <v>0</v>
      </c>
    </row>
    <row r="37" spans="1:45" ht="18.5" thickBot="1" x14ac:dyDescent="0.6">
      <c r="P37" s="4" t="s">
        <v>45</v>
      </c>
      <c r="Q37" s="64">
        <f>SUM(テーブル2[[#Totals],[外周優先SP合計]:[調整]])</f>
        <v>0</v>
      </c>
      <c r="R37" s="64"/>
      <c r="S37" s="58"/>
      <c r="AM37" s="4" t="s">
        <v>45</v>
      </c>
      <c r="AN37" s="64">
        <f>SUM(テーブル4[[#Totals],[外周優先SP合計]:[調整]])</f>
        <v>0</v>
      </c>
      <c r="AO37" s="64"/>
      <c r="AP37" s="58"/>
    </row>
    <row r="38" spans="1:45" ht="18.5" thickBot="1" x14ac:dyDescent="0.6">
      <c r="R38" s="4" t="s">
        <v>44</v>
      </c>
      <c r="T38" s="10">
        <v>1872</v>
      </c>
      <c r="AO38" s="7" t="s">
        <v>44</v>
      </c>
      <c r="AP38" s="7"/>
      <c r="AQ38" s="10">
        <v>260</v>
      </c>
    </row>
    <row r="39" spans="1:45" x14ac:dyDescent="0.55000000000000004">
      <c r="R39" s="4" t="s">
        <v>46</v>
      </c>
      <c r="T39" s="4">
        <f>T38-テーブル2[[#Totals],[島中実SP数]]</f>
        <v>1872</v>
      </c>
      <c r="AO39" s="7" t="s">
        <v>47</v>
      </c>
      <c r="AP39" s="7"/>
      <c r="AQ39" s="4">
        <f>AQ38-テーブル4[[#Totals],[島中実SP数]]</f>
        <v>260</v>
      </c>
    </row>
    <row r="40" spans="1:45" x14ac:dyDescent="0.55000000000000004">
      <c r="AM40" s="8"/>
    </row>
  </sheetData>
  <mergeCells count="4">
    <mergeCell ref="A2:A35"/>
    <mergeCell ref="X2:X35"/>
    <mergeCell ref="Q37:R37"/>
    <mergeCell ref="AN37:AO37"/>
  </mergeCells>
  <phoneticPr fontId="1"/>
  <pageMargins left="0.70866141732283472" right="0.70866141732283472" top="0.74803149606299213" bottom="0.74803149606299213" header="0.31496062992125984" footer="0.31496062992125984"/>
  <pageSetup paperSize="9" scale="36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849E-10A4-4A40-A9A1-1EFEBDD0DE71}">
  <dimension ref="A1:E20"/>
  <sheetViews>
    <sheetView workbookViewId="0">
      <selection activeCell="H17" sqref="H17"/>
    </sheetView>
  </sheetViews>
  <sheetFormatPr defaultRowHeight="18.5" x14ac:dyDescent="0.55000000000000004"/>
  <sheetData>
    <row r="1" spans="1:5" ht="19" thickBot="1" x14ac:dyDescent="0.6">
      <c r="A1" s="50" t="s">
        <v>83</v>
      </c>
      <c r="B1" s="50" t="s">
        <v>84</v>
      </c>
      <c r="D1" s="50" t="s">
        <v>100</v>
      </c>
      <c r="E1" s="50" t="s">
        <v>101</v>
      </c>
    </row>
    <row r="2" spans="1:5" ht="19" thickTop="1" x14ac:dyDescent="0.55000000000000004">
      <c r="A2" s="51">
        <v>10</v>
      </c>
      <c r="B2" s="51" t="s">
        <v>85</v>
      </c>
      <c r="D2" s="51" t="s">
        <v>102</v>
      </c>
      <c r="E2" s="51" t="s">
        <v>103</v>
      </c>
    </row>
    <row r="3" spans="1:5" x14ac:dyDescent="0.55000000000000004">
      <c r="A3" s="53">
        <v>11</v>
      </c>
      <c r="B3" s="53" t="s">
        <v>86</v>
      </c>
      <c r="D3" s="53" t="s">
        <v>104</v>
      </c>
      <c r="E3" s="53" t="s">
        <v>105</v>
      </c>
    </row>
    <row r="4" spans="1:5" x14ac:dyDescent="0.55000000000000004">
      <c r="A4" s="53">
        <v>12</v>
      </c>
      <c r="B4" s="53" t="s">
        <v>87</v>
      </c>
      <c r="D4" s="53" t="s">
        <v>106</v>
      </c>
      <c r="E4" s="53" t="s">
        <v>107</v>
      </c>
    </row>
    <row r="5" spans="1:5" x14ac:dyDescent="0.55000000000000004">
      <c r="A5" s="53">
        <v>20</v>
      </c>
      <c r="B5" s="53" t="s">
        <v>88</v>
      </c>
      <c r="D5" s="53" t="s">
        <v>108</v>
      </c>
      <c r="E5" s="53" t="s">
        <v>109</v>
      </c>
    </row>
    <row r="6" spans="1:5" x14ac:dyDescent="0.55000000000000004">
      <c r="A6" s="53">
        <v>21</v>
      </c>
      <c r="B6" s="53" t="s">
        <v>89</v>
      </c>
      <c r="D6" s="53" t="s">
        <v>110</v>
      </c>
      <c r="E6" s="53" t="s">
        <v>111</v>
      </c>
    </row>
    <row r="7" spans="1:5" x14ac:dyDescent="0.55000000000000004">
      <c r="A7" s="53">
        <v>22</v>
      </c>
      <c r="B7" s="53" t="s">
        <v>90</v>
      </c>
      <c r="D7" s="53" t="s">
        <v>112</v>
      </c>
      <c r="E7" s="53" t="s">
        <v>113</v>
      </c>
    </row>
    <row r="8" spans="1:5" x14ac:dyDescent="0.55000000000000004">
      <c r="A8" s="53">
        <v>23</v>
      </c>
      <c r="B8" s="53" t="s">
        <v>91</v>
      </c>
      <c r="D8" s="53" t="s">
        <v>114</v>
      </c>
      <c r="E8" s="53" t="s">
        <v>115</v>
      </c>
    </row>
    <row r="9" spans="1:5" x14ac:dyDescent="0.55000000000000004">
      <c r="A9" s="53">
        <v>24</v>
      </c>
      <c r="B9" s="53" t="s">
        <v>87</v>
      </c>
      <c r="D9" s="53" t="s">
        <v>116</v>
      </c>
      <c r="E9" s="53" t="s">
        <v>117</v>
      </c>
    </row>
    <row r="10" spans="1:5" x14ac:dyDescent="0.55000000000000004">
      <c r="A10" s="53">
        <v>30</v>
      </c>
      <c r="B10" s="53" t="s">
        <v>92</v>
      </c>
      <c r="D10" s="53" t="s">
        <v>118</v>
      </c>
      <c r="E10" s="53" t="s">
        <v>119</v>
      </c>
    </row>
    <row r="11" spans="1:5" x14ac:dyDescent="0.55000000000000004">
      <c r="A11" s="53">
        <v>31</v>
      </c>
      <c r="B11" s="53" t="s">
        <v>93</v>
      </c>
      <c r="D11" s="53" t="s">
        <v>120</v>
      </c>
      <c r="E11" s="53" t="s">
        <v>121</v>
      </c>
    </row>
    <row r="12" spans="1:5" x14ac:dyDescent="0.55000000000000004">
      <c r="A12" s="53">
        <v>32</v>
      </c>
      <c r="B12" s="53" t="s">
        <v>94</v>
      </c>
      <c r="D12" s="53" t="s">
        <v>122</v>
      </c>
      <c r="E12" s="53" t="s">
        <v>123</v>
      </c>
    </row>
    <row r="13" spans="1:5" x14ac:dyDescent="0.55000000000000004">
      <c r="A13" s="53">
        <v>33</v>
      </c>
      <c r="B13" s="53" t="s">
        <v>95</v>
      </c>
      <c r="D13" s="53" t="s">
        <v>124</v>
      </c>
      <c r="E13" s="53" t="s">
        <v>125</v>
      </c>
    </row>
    <row r="14" spans="1:5" x14ac:dyDescent="0.55000000000000004">
      <c r="A14" s="53">
        <v>34</v>
      </c>
      <c r="B14" s="53" t="s">
        <v>96</v>
      </c>
      <c r="D14" s="53" t="s">
        <v>37</v>
      </c>
      <c r="E14" s="53" t="s">
        <v>126</v>
      </c>
    </row>
    <row r="15" spans="1:5" x14ac:dyDescent="0.55000000000000004">
      <c r="A15" s="53">
        <v>35</v>
      </c>
      <c r="B15" s="53" t="s">
        <v>97</v>
      </c>
      <c r="D15" s="53" t="s">
        <v>127</v>
      </c>
      <c r="E15" s="53" t="s">
        <v>128</v>
      </c>
    </row>
    <row r="16" spans="1:5" x14ac:dyDescent="0.55000000000000004">
      <c r="A16" s="53">
        <v>36</v>
      </c>
      <c r="B16" s="53" t="s">
        <v>98</v>
      </c>
      <c r="D16" s="53" t="s">
        <v>129</v>
      </c>
      <c r="E16" s="53" t="s">
        <v>130</v>
      </c>
    </row>
    <row r="17" spans="1:5" x14ac:dyDescent="0.55000000000000004">
      <c r="A17" s="53">
        <v>90</v>
      </c>
      <c r="B17" s="53" t="s">
        <v>98</v>
      </c>
      <c r="D17" s="53" t="s">
        <v>131</v>
      </c>
      <c r="E17" s="53" t="s">
        <v>132</v>
      </c>
    </row>
    <row r="18" spans="1:5" x14ac:dyDescent="0.55000000000000004">
      <c r="A18" s="53">
        <v>99</v>
      </c>
      <c r="B18" s="53" t="s">
        <v>99</v>
      </c>
      <c r="D18" s="53" t="s">
        <v>133</v>
      </c>
      <c r="E18" s="53" t="s">
        <v>134</v>
      </c>
    </row>
    <row r="19" spans="1:5" x14ac:dyDescent="0.55000000000000004">
      <c r="D19" s="53" t="s">
        <v>135</v>
      </c>
      <c r="E19" s="53" t="s">
        <v>136</v>
      </c>
    </row>
    <row r="20" spans="1:5" x14ac:dyDescent="0.55000000000000004">
      <c r="D20" s="53" t="s">
        <v>137</v>
      </c>
      <c r="E20" s="53" t="s">
        <v>98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B6D5-E844-4A61-A3E9-6903DEE195BE}">
  <dimension ref="A1:L31"/>
  <sheetViews>
    <sheetView workbookViewId="0">
      <selection activeCell="L16" sqref="L16"/>
    </sheetView>
  </sheetViews>
  <sheetFormatPr defaultRowHeight="18.5" x14ac:dyDescent="0.55000000000000004"/>
  <sheetData>
    <row r="1" spans="1:6" ht="19" thickBot="1" x14ac:dyDescent="0.6">
      <c r="A1" s="50" t="s">
        <v>49</v>
      </c>
      <c r="B1" s="50" t="s">
        <v>50</v>
      </c>
      <c r="C1" s="50" t="s">
        <v>75</v>
      </c>
      <c r="D1" s="50" t="s">
        <v>76</v>
      </c>
      <c r="E1" s="50" t="s">
        <v>77</v>
      </c>
      <c r="F1" s="50" t="s">
        <v>51</v>
      </c>
    </row>
    <row r="2" spans="1:6" ht="19" thickTop="1" x14ac:dyDescent="0.55000000000000004">
      <c r="A2" s="51">
        <v>1</v>
      </c>
      <c r="B2" s="51" t="s">
        <v>48</v>
      </c>
      <c r="C2" s="51"/>
      <c r="D2" s="52">
        <v>25</v>
      </c>
      <c r="E2" s="51" cm="1">
        <f t="array" ref="E2:E25">D2:D25*2</f>
        <v>50</v>
      </c>
      <c r="F2" s="51" t="s">
        <v>52</v>
      </c>
    </row>
    <row r="3" spans="1:6" x14ac:dyDescent="0.55000000000000004">
      <c r="A3" s="53">
        <v>2</v>
      </c>
      <c r="B3" s="53" t="s">
        <v>53</v>
      </c>
      <c r="C3" s="53"/>
      <c r="D3" s="54">
        <v>48</v>
      </c>
      <c r="E3" s="53">
        <v>96</v>
      </c>
      <c r="F3" s="53"/>
    </row>
    <row r="4" spans="1:6" x14ac:dyDescent="0.55000000000000004">
      <c r="A4" s="53">
        <v>3</v>
      </c>
      <c r="B4" s="53" t="s">
        <v>54</v>
      </c>
      <c r="C4" s="53"/>
      <c r="D4" s="54">
        <v>56</v>
      </c>
      <c r="E4" s="53">
        <v>112</v>
      </c>
      <c r="F4" s="53"/>
    </row>
    <row r="5" spans="1:6" x14ac:dyDescent="0.55000000000000004">
      <c r="A5" s="53">
        <v>4</v>
      </c>
      <c r="B5" s="53" t="s">
        <v>55</v>
      </c>
      <c r="C5" s="53"/>
      <c r="D5" s="54">
        <v>56</v>
      </c>
      <c r="E5" s="53">
        <v>112</v>
      </c>
      <c r="F5" s="53"/>
    </row>
    <row r="6" spans="1:6" x14ac:dyDescent="0.55000000000000004">
      <c r="A6" s="53">
        <v>5</v>
      </c>
      <c r="B6" s="53" t="s">
        <v>56</v>
      </c>
      <c r="C6" s="53"/>
      <c r="D6" s="54">
        <v>56</v>
      </c>
      <c r="E6" s="53">
        <v>112</v>
      </c>
      <c r="F6" s="53"/>
    </row>
    <row r="7" spans="1:6" x14ac:dyDescent="0.55000000000000004">
      <c r="A7" s="53">
        <v>6</v>
      </c>
      <c r="B7" s="53" t="s">
        <v>57</v>
      </c>
      <c r="C7" s="53"/>
      <c r="D7" s="54">
        <v>56</v>
      </c>
      <c r="E7" s="53">
        <v>112</v>
      </c>
      <c r="F7" s="53"/>
    </row>
    <row r="8" spans="1:6" x14ac:dyDescent="0.55000000000000004">
      <c r="A8" s="53">
        <v>7</v>
      </c>
      <c r="B8" s="53" t="s">
        <v>58</v>
      </c>
      <c r="C8" s="53"/>
      <c r="D8" s="54">
        <v>56</v>
      </c>
      <c r="E8" s="53">
        <v>112</v>
      </c>
      <c r="F8" s="53"/>
    </row>
    <row r="9" spans="1:6" x14ac:dyDescent="0.55000000000000004">
      <c r="A9" s="53">
        <v>8</v>
      </c>
      <c r="B9" s="53" t="s">
        <v>59</v>
      </c>
      <c r="C9" s="53"/>
      <c r="D9" s="54">
        <v>56</v>
      </c>
      <c r="E9" s="53">
        <v>112</v>
      </c>
      <c r="F9" s="53"/>
    </row>
    <row r="10" spans="1:6" x14ac:dyDescent="0.55000000000000004">
      <c r="A10" s="53">
        <v>9</v>
      </c>
      <c r="B10" s="53" t="s">
        <v>60</v>
      </c>
      <c r="C10" s="53"/>
      <c r="D10" s="54">
        <v>56</v>
      </c>
      <c r="E10" s="53">
        <v>112</v>
      </c>
      <c r="F10" s="53"/>
    </row>
    <row r="11" spans="1:6" x14ac:dyDescent="0.55000000000000004">
      <c r="A11" s="53">
        <v>10</v>
      </c>
      <c r="B11" s="53" t="s">
        <v>61</v>
      </c>
      <c r="C11" s="53"/>
      <c r="D11" s="54">
        <v>56</v>
      </c>
      <c r="E11" s="53">
        <v>112</v>
      </c>
      <c r="F11" s="53"/>
    </row>
    <row r="12" spans="1:6" x14ac:dyDescent="0.55000000000000004">
      <c r="A12" s="53">
        <v>11</v>
      </c>
      <c r="B12" s="53" t="s">
        <v>62</v>
      </c>
      <c r="C12" s="53"/>
      <c r="D12" s="54">
        <v>56</v>
      </c>
      <c r="E12" s="53">
        <v>112</v>
      </c>
      <c r="F12" s="53"/>
    </row>
    <row r="13" spans="1:6" x14ac:dyDescent="0.55000000000000004">
      <c r="A13" s="53">
        <v>12</v>
      </c>
      <c r="B13" s="53" t="s">
        <v>63</v>
      </c>
      <c r="C13" s="53"/>
      <c r="D13" s="54">
        <v>56</v>
      </c>
      <c r="E13" s="53">
        <v>112</v>
      </c>
      <c r="F13" s="53"/>
    </row>
    <row r="14" spans="1:6" x14ac:dyDescent="0.55000000000000004">
      <c r="A14" s="53">
        <v>13</v>
      </c>
      <c r="B14" s="53" t="s">
        <v>64</v>
      </c>
      <c r="C14" s="53"/>
      <c r="D14" s="54">
        <v>48</v>
      </c>
      <c r="E14" s="53">
        <v>96</v>
      </c>
      <c r="F14" s="53"/>
    </row>
    <row r="15" spans="1:6" x14ac:dyDescent="0.55000000000000004">
      <c r="A15" s="53">
        <v>14</v>
      </c>
      <c r="B15" s="53" t="s">
        <v>65</v>
      </c>
      <c r="C15" s="53"/>
      <c r="D15" s="54">
        <v>56</v>
      </c>
      <c r="E15" s="53">
        <v>112</v>
      </c>
      <c r="F15" s="53"/>
    </row>
    <row r="16" spans="1:6" x14ac:dyDescent="0.55000000000000004">
      <c r="A16" s="53">
        <v>15</v>
      </c>
      <c r="B16" s="57" t="s">
        <v>78</v>
      </c>
      <c r="C16" s="57"/>
      <c r="D16" s="54">
        <v>56</v>
      </c>
      <c r="E16" s="53">
        <v>112</v>
      </c>
      <c r="F16" s="57"/>
    </row>
    <row r="17" spans="1:12" x14ac:dyDescent="0.55000000000000004">
      <c r="A17" s="53">
        <v>16</v>
      </c>
      <c r="B17" s="57" t="s">
        <v>79</v>
      </c>
      <c r="C17" s="57"/>
      <c r="D17" s="54">
        <v>56</v>
      </c>
      <c r="E17" s="53">
        <v>112</v>
      </c>
      <c r="F17" s="57"/>
    </row>
    <row r="18" spans="1:12" x14ac:dyDescent="0.55000000000000004">
      <c r="A18" s="53">
        <v>17</v>
      </c>
      <c r="B18" s="57" t="s">
        <v>80</v>
      </c>
      <c r="C18" s="57"/>
      <c r="D18" s="54">
        <v>56</v>
      </c>
      <c r="E18" s="53">
        <v>112</v>
      </c>
      <c r="F18" s="57"/>
    </row>
    <row r="19" spans="1:12" ht="19" thickBot="1" x14ac:dyDescent="0.6">
      <c r="A19" s="53">
        <v>18</v>
      </c>
      <c r="B19" s="55" t="s">
        <v>81</v>
      </c>
      <c r="C19" s="57"/>
      <c r="D19" s="54">
        <v>56</v>
      </c>
      <c r="E19" s="53">
        <v>112</v>
      </c>
      <c r="F19" s="55"/>
    </row>
    <row r="20" spans="1:12" x14ac:dyDescent="0.55000000000000004">
      <c r="A20" s="51">
        <v>16</v>
      </c>
      <c r="B20" s="51" t="s">
        <v>66</v>
      </c>
      <c r="C20" s="53" t="s">
        <v>74</v>
      </c>
      <c r="D20" s="52">
        <v>18</v>
      </c>
      <c r="E20" s="51">
        <v>36</v>
      </c>
      <c r="F20" s="51" t="s">
        <v>52</v>
      </c>
    </row>
    <row r="21" spans="1:12" x14ac:dyDescent="0.55000000000000004">
      <c r="A21" s="53">
        <v>17</v>
      </c>
      <c r="B21" s="53" t="s">
        <v>67</v>
      </c>
      <c r="C21" s="53" t="s">
        <v>74</v>
      </c>
      <c r="D21" s="54">
        <v>26</v>
      </c>
      <c r="E21" s="53">
        <v>52</v>
      </c>
      <c r="F21" s="53"/>
    </row>
    <row r="22" spans="1:12" x14ac:dyDescent="0.55000000000000004">
      <c r="A22" s="53">
        <v>18</v>
      </c>
      <c r="B22" s="53" t="s">
        <v>68</v>
      </c>
      <c r="C22" s="53" t="s">
        <v>74</v>
      </c>
      <c r="D22" s="54">
        <v>26</v>
      </c>
      <c r="E22" s="53">
        <v>52</v>
      </c>
      <c r="F22" s="53"/>
    </row>
    <row r="23" spans="1:12" x14ac:dyDescent="0.55000000000000004">
      <c r="A23" s="53">
        <v>19</v>
      </c>
      <c r="B23" s="53" t="s">
        <v>69</v>
      </c>
      <c r="C23" s="53" t="s">
        <v>74</v>
      </c>
      <c r="D23" s="54">
        <v>26</v>
      </c>
      <c r="E23" s="53">
        <v>52</v>
      </c>
      <c r="F23" s="53"/>
    </row>
    <row r="24" spans="1:12" x14ac:dyDescent="0.55000000000000004">
      <c r="A24" s="53">
        <v>20</v>
      </c>
      <c r="B24" s="53" t="s">
        <v>70</v>
      </c>
      <c r="C24" s="53" t="s">
        <v>74</v>
      </c>
      <c r="D24" s="54">
        <v>26</v>
      </c>
      <c r="E24" s="53">
        <v>52</v>
      </c>
      <c r="F24" s="53"/>
    </row>
    <row r="25" spans="1:12" x14ac:dyDescent="0.55000000000000004">
      <c r="A25" s="53">
        <v>21</v>
      </c>
      <c r="B25" s="53" t="s">
        <v>71</v>
      </c>
      <c r="C25" s="53" t="s">
        <v>74</v>
      </c>
      <c r="D25" s="54">
        <v>26</v>
      </c>
      <c r="E25" s="53">
        <v>52</v>
      </c>
      <c r="F25" s="53"/>
    </row>
    <row r="26" spans="1:12" x14ac:dyDescent="0.55000000000000004">
      <c r="D26">
        <f>SUM(D2:D25)</f>
        <v>1109</v>
      </c>
      <c r="E26" s="56">
        <f>SUM(E2:E25)</f>
        <v>2218</v>
      </c>
    </row>
    <row r="28" spans="1:12" x14ac:dyDescent="0.55000000000000004">
      <c r="C28" s="53" t="s">
        <v>72</v>
      </c>
      <c r="D28" s="53" t="s">
        <v>138</v>
      </c>
      <c r="E28" s="53" t="s">
        <v>139</v>
      </c>
      <c r="F28" s="53" t="s">
        <v>140</v>
      </c>
    </row>
    <row r="29" spans="1:12" x14ac:dyDescent="0.55000000000000004">
      <c r="C29" s="53" t="s">
        <v>73</v>
      </c>
      <c r="D29" s="53">
        <f>SUM(D2:D19)</f>
        <v>961</v>
      </c>
      <c r="E29" s="53">
        <f>SUM(E2:E19)</f>
        <v>1922</v>
      </c>
      <c r="F29" s="53">
        <f>E29-E2</f>
        <v>1872</v>
      </c>
    </row>
    <row r="30" spans="1:12" x14ac:dyDescent="0.55000000000000004">
      <c r="C30" s="53" t="s">
        <v>74</v>
      </c>
      <c r="D30" s="53">
        <f>SUM(D20:D25)</f>
        <v>148</v>
      </c>
      <c r="E30" s="53">
        <f>SUM(E20:E25)</f>
        <v>296</v>
      </c>
      <c r="F30" s="53">
        <f>E30-E20</f>
        <v>260</v>
      </c>
      <c r="L30">
        <f>SUM(L9:L27)</f>
        <v>0</v>
      </c>
    </row>
    <row r="31" spans="1:12" x14ac:dyDescent="0.55000000000000004">
      <c r="E31">
        <f>E29+E30</f>
        <v>2218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2.5紙-理論SP数・付箋有無合計SP数比較</vt:lpstr>
      <vt:lpstr>参照用</vt:lpstr>
      <vt:lpstr>ブロック別SP数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永田知暉</dc:creator>
  <cp:lastModifiedBy>知暉</cp:lastModifiedBy>
  <cp:lastPrinted>2023-02-18T19:23:35Z</cp:lastPrinted>
  <dcterms:created xsi:type="dcterms:W3CDTF">2023-02-17T04:21:02Z</dcterms:created>
  <dcterms:modified xsi:type="dcterms:W3CDTF">2023-08-29T16:04:28Z</dcterms:modified>
</cp:coreProperties>
</file>