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slicers/slicer1.xml" ContentType="application/vnd.ms-excel.slicer+xml"/>
  <Override PartName="/xl/slicers/slicer2.xml" ContentType="application/vnd.ms-excel.slicer+xml"/>
  <Override PartName="/xl/pivotTables/pivotTable1.xml" ContentType="application/vnd.openxmlformats-officedocument.spreadsheetml.pivotTable+xml"/>
  <Override PartName="/xl/tables/table3.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Metadata/LabelInfo.xml" ContentType="application/vnd.ms-office.classificationlabel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microsoft.com/office/2020/02/relationships/classificationlabels" Target="docMetadata/LabelInfo.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09"/>
  <workbookPr defaultThemeVersion="166925"/>
  <mc:AlternateContent xmlns:mc="http://schemas.openxmlformats.org/markup-compatibility/2006">
    <mc:Choice Requires="x15">
      <x15ac:absPath xmlns:x15ac="http://schemas.microsoft.com/office/spreadsheetml/2010/11/ac" url="https://transpak0-my.sharepoint.com/personal/tom_selven_transpak_com/Documents/Temp/"/>
    </mc:Choice>
  </mc:AlternateContent>
  <xr:revisionPtr revIDLastSave="0" documentId="8_{A88F2427-7D1D-43F7-91A7-E1712A4F6747}" xr6:coauthVersionLast="47" xr6:coauthVersionMax="47" xr10:uidLastSave="{00000000-0000-0000-0000-000000000000}"/>
  <bookViews>
    <workbookView xWindow="-120" yWindow="-120" windowWidth="29040" windowHeight="15720" xr2:uid="{FECFD409-4AEC-4D53-9FFD-FAB199291CD5}"/>
  </bookViews>
  <sheets>
    <sheet name="ESTIMATE" sheetId="1" r:id="rId1"/>
    <sheet name="DATA" sheetId="5" r:id="rId2"/>
  </sheets>
  <definedNames>
    <definedName name="_xlnm._FilterDatabase" localSheetId="1" hidden="1">DATA!#REF!</definedName>
    <definedName name="Slicer_DIFFICULTY">#N/A</definedName>
    <definedName name="Slicer_TYPE">#N/A</definedName>
  </definedNames>
  <calcPr calcId="191028"/>
  <pivotCaches>
    <pivotCache cacheId="4147"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5"/>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18" i="1" l="1"/>
  <c r="H19" i="1"/>
  <c r="H20" i="1"/>
  <c r="H21" i="1"/>
  <c r="H22" i="1"/>
  <c r="H23" i="1"/>
  <c r="H24" i="1"/>
  <c r="H25" i="1"/>
  <c r="H26" i="1"/>
  <c r="H27" i="1"/>
  <c r="H28" i="1"/>
  <c r="H29" i="1"/>
  <c r="H30" i="1"/>
  <c r="H31" i="1"/>
  <c r="H34" i="1"/>
  <c r="H35" i="1"/>
  <c r="H41" i="1"/>
  <c r="H42" i="1"/>
  <c r="H43" i="1"/>
  <c r="G43" i="1"/>
  <c r="G42" i="1"/>
  <c r="G41" i="1"/>
  <c r="G31" i="1"/>
  <c r="G30" i="1"/>
  <c r="G29" i="1"/>
  <c r="G27" i="1"/>
  <c r="G26" i="1"/>
  <c r="G25" i="1"/>
  <c r="G23" i="1"/>
  <c r="G22" i="1"/>
  <c r="G21" i="1"/>
  <c r="G19" i="1"/>
  <c r="G18" i="1"/>
  <c r="E31" i="1" l="1"/>
  <c r="L44" i="1"/>
  <c r="I44" i="1"/>
  <c r="L36" i="1"/>
  <c r="I36" i="1"/>
  <c r="E27" i="1" l="1"/>
  <c r="E23" i="1"/>
  <c r="L43" i="1"/>
  <c r="L42" i="1"/>
  <c r="L41" i="1"/>
  <c r="I41" i="1"/>
  <c r="I42" i="1"/>
  <c r="K42" i="1" s="1" a="1"/>
  <c r="K42" i="1" s="1"/>
  <c r="I43" i="1"/>
  <c r="G40" i="1"/>
  <c r="F40" i="1"/>
  <c r="L40" i="1"/>
  <c r="I40" i="1"/>
  <c r="H52" i="1"/>
  <c r="I52" i="1"/>
  <c r="K52" i="1"/>
  <c r="L52" i="1"/>
  <c r="H53" i="1"/>
  <c r="H54" i="1"/>
  <c r="H55" i="1"/>
  <c r="H56" i="1"/>
  <c r="I53" i="1"/>
  <c r="I54" i="1"/>
  <c r="I55" i="1"/>
  <c r="I56" i="1"/>
  <c r="K53" i="1"/>
  <c r="K54" i="1"/>
  <c r="K55" i="1"/>
  <c r="K56" i="1"/>
  <c r="L56" i="1"/>
  <c r="L53" i="1"/>
  <c r="L54" i="1"/>
  <c r="L55" i="1"/>
  <c r="I19" i="1"/>
  <c r="I34" i="1"/>
  <c r="I35" i="1"/>
  <c r="I20" i="1"/>
  <c r="I21" i="1"/>
  <c r="I22" i="1"/>
  <c r="I23" i="1"/>
  <c r="I24" i="1"/>
  <c r="I25" i="1"/>
  <c r="I26" i="1"/>
  <c r="I27" i="1"/>
  <c r="I28" i="1"/>
  <c r="I29" i="1"/>
  <c r="I30" i="1"/>
  <c r="I31" i="1"/>
  <c r="I37" i="1"/>
  <c r="I38" i="1"/>
  <c r="I39" i="1"/>
  <c r="I32" i="1"/>
  <c r="I33" i="1"/>
  <c r="I18" i="1"/>
  <c r="L39" i="1"/>
  <c r="E18" i="1"/>
  <c r="O14" i="5"/>
  <c r="L37" i="1" s="1"/>
  <c r="L18" i="1"/>
  <c r="L19" i="1"/>
  <c r="L34" i="1"/>
  <c r="L35" i="1"/>
  <c r="L20" i="1"/>
  <c r="L21" i="1"/>
  <c r="L22" i="1"/>
  <c r="L23" i="1"/>
  <c r="L24" i="1"/>
  <c r="L25" i="1"/>
  <c r="L26" i="1"/>
  <c r="L27" i="1"/>
  <c r="L28" i="1"/>
  <c r="L29" i="1"/>
  <c r="L30" i="1"/>
  <c r="L31" i="1"/>
  <c r="L32" i="1"/>
  <c r="L33" i="1"/>
  <c r="F19" i="1"/>
  <c r="N28" i="1"/>
  <c r="N24" i="1"/>
  <c r="K40" i="1" l="1" a="1"/>
  <c r="K40" i="1" s="1"/>
  <c r="M40" i="1" s="1"/>
  <c r="M42" i="1"/>
  <c r="E14" i="1"/>
  <c r="G38" i="1" s="1"/>
  <c r="D14" i="1"/>
  <c r="G28" i="1" s="1"/>
  <c r="C14" i="1"/>
  <c r="M56" i="1"/>
  <c r="M55" i="1"/>
  <c r="M54" i="1"/>
  <c r="M52" i="1"/>
  <c r="M53" i="1"/>
  <c r="L38" i="1"/>
  <c r="F18" i="1" l="1"/>
  <c r="K18" i="1" s="1" a="1"/>
  <c r="K18" i="1" s="1"/>
  <c r="F38" i="1"/>
  <c r="K38" i="1" s="1" a="1"/>
  <c r="K38" i="1" s="1"/>
  <c r="F20" i="1"/>
  <c r="F28" i="1"/>
  <c r="K28" i="1" s="1" a="1"/>
  <c r="K28" i="1" s="1"/>
  <c r="E39" i="1"/>
  <c r="K39" i="1" s="1" a="1"/>
  <c r="K39" i="1" s="1"/>
  <c r="F13" i="1"/>
  <c r="E19" i="1"/>
  <c r="K19" i="1" s="1" a="1"/>
  <c r="K19" i="1" s="1"/>
  <c r="F34" i="1"/>
  <c r="G34" i="1"/>
  <c r="G20" i="1"/>
  <c r="F23" i="1" s="1"/>
  <c r="K23" i="1" s="1" a="1"/>
  <c r="K23" i="1" s="1"/>
  <c r="F24" i="1"/>
  <c r="G24" i="1"/>
  <c r="K34" i="1" l="1" a="1"/>
  <c r="K34" i="1" s="1"/>
  <c r="M34" i="1" s="1"/>
  <c r="K20" i="1" a="1"/>
  <c r="K20" i="1" s="1"/>
  <c r="M20" i="1" s="1"/>
  <c r="F25" i="1"/>
  <c r="K25" i="1" s="1" a="1"/>
  <c r="K25" i="1" s="1"/>
  <c r="M25" i="1" s="1"/>
  <c r="K24" i="1" a="1"/>
  <c r="K24" i="1" s="1"/>
  <c r="M24" i="1" s="1"/>
  <c r="E36" i="1"/>
  <c r="K36" i="1" s="1" a="1"/>
  <c r="K36" i="1" s="1"/>
  <c r="G37" i="1"/>
  <c r="F41" i="1"/>
  <c r="K41" i="1" s="1" a="1"/>
  <c r="K41" i="1" s="1"/>
  <c r="F37" i="1"/>
  <c r="K37" i="1" s="1" a="1"/>
  <c r="K37" i="1" s="1"/>
  <c r="F35" i="1"/>
  <c r="M38" i="1"/>
  <c r="F30" i="1"/>
  <c r="K30" i="1" s="1" a="1"/>
  <c r="K30" i="1" s="1"/>
  <c r="M19" i="1"/>
  <c r="M23" i="1"/>
  <c r="M18" i="1"/>
  <c r="F22" i="1"/>
  <c r="K22" i="1" s="1" a="1"/>
  <c r="K22" i="1" s="1"/>
  <c r="G35" i="1"/>
  <c r="F26" i="1"/>
  <c r="K26" i="1" s="1" a="1"/>
  <c r="K26" i="1" s="1"/>
  <c r="F27" i="1"/>
  <c r="K27" i="1" s="1" a="1"/>
  <c r="K27" i="1" s="1"/>
  <c r="K35" i="1" l="1" a="1"/>
  <c r="K35" i="1" s="1"/>
  <c r="M37" i="1"/>
  <c r="M35" i="1"/>
  <c r="M27" i="1"/>
  <c r="M26" i="1"/>
  <c r="M22" i="1"/>
  <c r="M30" i="1"/>
  <c r="M36" i="1"/>
  <c r="F43" i="1"/>
  <c r="K43" i="1" s="1" a="1"/>
  <c r="K43" i="1" s="1"/>
  <c r="M41" i="1"/>
  <c r="M28" i="1"/>
  <c r="F29" i="1"/>
  <c r="K29" i="1" s="1" a="1"/>
  <c r="K29" i="1" s="1"/>
  <c r="F21" i="1"/>
  <c r="K21" i="1" s="1" a="1"/>
  <c r="K21" i="1" s="1"/>
  <c r="E44" i="1" l="1"/>
  <c r="K44" i="1" s="1" a="1"/>
  <c r="K44" i="1" s="1"/>
  <c r="M21" i="1"/>
  <c r="M29" i="1"/>
  <c r="M43" i="1"/>
  <c r="M39" i="1"/>
  <c r="E32" i="1"/>
  <c r="K32" i="1" s="1" a="1"/>
  <c r="K32" i="1" s="1"/>
  <c r="F14" i="1"/>
  <c r="E33" i="1"/>
  <c r="K33" i="1" s="1" a="1"/>
  <c r="K33" i="1" s="1"/>
  <c r="F31" i="1"/>
  <c r="K31" i="1" s="1" a="1"/>
  <c r="K31" i="1" s="1"/>
  <c r="L9" i="1" l="1"/>
  <c r="M9" i="1" s="1"/>
  <c r="M31" i="1"/>
  <c r="M32" i="1"/>
  <c r="M44" i="1"/>
  <c r="M33" i="1"/>
  <c r="S12" i="1" l="1"/>
  <c r="S10" i="1"/>
  <c r="S11" i="1"/>
  <c r="M8" i="1"/>
  <c r="T11" i="1" l="1"/>
  <c r="V11" i="1" s="1"/>
  <c r="W11" i="1" s="1"/>
  <c r="M11" i="1"/>
  <c r="T10" i="1"/>
  <c r="U11" i="1" l="1"/>
  <c r="T12" i="1"/>
  <c r="V12" i="1" s="1"/>
  <c r="W12" i="1" s="1"/>
  <c r="V10" i="1"/>
  <c r="W10" i="1" s="1"/>
  <c r="U10" i="1"/>
  <c r="U12" i="1"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<sst xmlns="http://schemas.openxmlformats.org/spreadsheetml/2006/main" count="223" uniqueCount="123">
  <si>
    <t>QuickQuote Estimator - 601 D/E</t>
  </si>
  <si>
    <t>Author:</t>
  </si>
  <si>
    <t>Tom Selven</t>
  </si>
  <si>
    <t>Version:</t>
  </si>
  <si>
    <t>Date:</t>
  </si>
  <si>
    <t>03/13/2024</t>
  </si>
  <si>
    <t>Customer</t>
  </si>
  <si>
    <t>Customer Name</t>
  </si>
  <si>
    <t>Estimated material cost:</t>
  </si>
  <si>
    <t>New cost and sell price calculation:</t>
  </si>
  <si>
    <t>Project name</t>
  </si>
  <si>
    <t>Project Name</t>
  </si>
  <si>
    <t>Estimated labor:</t>
  </si>
  <si>
    <t>Materials</t>
  </si>
  <si>
    <t>Labor %</t>
  </si>
  <si>
    <t>Material</t>
  </si>
  <si>
    <t>Labor</t>
  </si>
  <si>
    <t>Hours</t>
  </si>
  <si>
    <t>Cost</t>
  </si>
  <si>
    <t>Sell Price</t>
  </si>
  <si>
    <t>Description</t>
  </si>
  <si>
    <t>Notes</t>
  </si>
  <si>
    <t>Project Notes</t>
  </si>
  <si>
    <t>Cointribution margin:</t>
  </si>
  <si>
    <t>Simple:</t>
  </si>
  <si>
    <t>Empty crate</t>
  </si>
  <si>
    <t>Recommended sell price:</t>
  </si>
  <si>
    <t>Medium:</t>
  </si>
  <si>
    <t>Basic LBM's, blocking and bracing</t>
  </si>
  <si>
    <t>Length</t>
  </si>
  <si>
    <t>Width</t>
  </si>
  <si>
    <t>Height</t>
  </si>
  <si>
    <t>Ft3</t>
  </si>
  <si>
    <t>Complex:</t>
  </si>
  <si>
    <t>LBM's, blocking, bracing, link locks, CNC operations etc.</t>
  </si>
  <si>
    <t>ID</t>
  </si>
  <si>
    <t>Does not include components for securement inside the crate. This is a preliminary estimate and should not be considered a quote.</t>
  </si>
  <si>
    <t>OD</t>
  </si>
  <si>
    <t>BILL OF MATERIALS STANDARD ITEMS</t>
  </si>
  <si>
    <t>LAYER</t>
  </si>
  <si>
    <t>DESCRIPTION</t>
  </si>
  <si>
    <t>MATERIAL</t>
  </si>
  <si>
    <t>QTY</t>
  </si>
  <si>
    <t>LENGTH</t>
  </si>
  <si>
    <t>WIDTH</t>
  </si>
  <si>
    <t>THICKNESS</t>
  </si>
  <si>
    <t>SCRAP</t>
  </si>
  <si>
    <t>UOM</t>
  </si>
  <si>
    <t>QTY UOM</t>
  </si>
  <si>
    <t>$/UOM</t>
  </si>
  <si>
    <t>COST</t>
  </si>
  <si>
    <t>LABOR COMPONENT</t>
  </si>
  <si>
    <t>A. Crate</t>
  </si>
  <si>
    <t>Skid</t>
  </si>
  <si>
    <t>LBR, 4X4</t>
  </si>
  <si>
    <t>BF</t>
  </si>
  <si>
    <t>Floorboard</t>
  </si>
  <si>
    <t>LBR, 2X10</t>
  </si>
  <si>
    <t>Side Panels</t>
  </si>
  <si>
    <t>PLY, 3/8</t>
  </si>
  <si>
    <t>SF</t>
  </si>
  <si>
    <t>Cleat, Thru-Edge</t>
  </si>
  <si>
    <t>LBR, 1X4</t>
  </si>
  <si>
    <t>Cleat, Filler-Edge</t>
  </si>
  <si>
    <t>Cleat, Interior</t>
  </si>
  <si>
    <t>End Panels</t>
  </si>
  <si>
    <t>Top Panel</t>
  </si>
  <si>
    <t>Hardware</t>
  </si>
  <si>
    <t>LAG, 3/8 X 3</t>
  </si>
  <si>
    <t>EA</t>
  </si>
  <si>
    <t>WASH, 3/8</t>
  </si>
  <si>
    <t>B. Floater</t>
  </si>
  <si>
    <t>Deck</t>
  </si>
  <si>
    <t>PLY, 3/4</t>
  </si>
  <si>
    <t>Foam</t>
  </si>
  <si>
    <t>PE 2#, 3"</t>
  </si>
  <si>
    <t>Desiccant</t>
  </si>
  <si>
    <t>DESICCANT, 16-U</t>
  </si>
  <si>
    <t>C. Barrier Bag</t>
  </si>
  <si>
    <t>Flat Sheet</t>
  </si>
  <si>
    <t>MIL-PRF-131K</t>
  </si>
  <si>
    <t>Sides/Ends</t>
  </si>
  <si>
    <t>DURA-SKRIM</t>
  </si>
  <si>
    <t>D. Blocking</t>
  </si>
  <si>
    <t>Well member</t>
  </si>
  <si>
    <t>LBR, 2X6</t>
  </si>
  <si>
    <t>ADDITIONAL MATERIALS</t>
  </si>
  <si>
    <t>MATERIALS</t>
  </si>
  <si>
    <t>LABOR</t>
  </si>
  <si>
    <t>Column Labels</t>
  </si>
  <si>
    <t>PN</t>
  </si>
  <si>
    <t>NomT</t>
  </si>
  <si>
    <t>NomW</t>
  </si>
  <si>
    <t>ActT</t>
  </si>
  <si>
    <t>ActW</t>
  </si>
  <si>
    <t>UNIT PRICE</t>
  </si>
  <si>
    <t xml:space="preserve">Price will be updated </t>
  </si>
  <si>
    <t>Row Labels</t>
  </si>
  <si>
    <t>Simple</t>
  </si>
  <si>
    <t>121-0001</t>
  </si>
  <si>
    <t>LBR, 2X4</t>
  </si>
  <si>
    <t>121-0002</t>
  </si>
  <si>
    <t>121-0003</t>
  </si>
  <si>
    <t>121-0004</t>
  </si>
  <si>
    <t>121-0011</t>
  </si>
  <si>
    <t>PLY, 1/4</t>
  </si>
  <si>
    <t>120-1000</t>
  </si>
  <si>
    <t>120-1024</t>
  </si>
  <si>
    <t>PLY, 1/2</t>
  </si>
  <si>
    <t>120-1008</t>
  </si>
  <si>
    <t>120-1012</t>
  </si>
  <si>
    <t>PE 2#, 2"</t>
  </si>
  <si>
    <t>160-1673</t>
  </si>
  <si>
    <t>160-0309</t>
  </si>
  <si>
    <t>140-0616</t>
  </si>
  <si>
    <t>140-0604</t>
  </si>
  <si>
    <t>140-0649</t>
  </si>
  <si>
    <t>113-0055</t>
  </si>
  <si>
    <t>115-0011</t>
  </si>
  <si>
    <t>KLIMP #4</t>
  </si>
  <si>
    <t>110-2064</t>
  </si>
  <si>
    <t>L- OR Z-BRACKET</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</si>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</sst>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44" formatCode="_(&quot;$&quot;* #,##0.00_);_(&quot;$&quot;* \(#,##0.00\);_(&quot;$&quot;* &quot;-&quot;??_);_(@_)"/>
    <numFmt numFmtId="164" formatCode="0.00&quot; hrs&quot;"/>
    <numFmt numFmtId="165" formatCode="0.0%"/>
  </numFmts>
  <fonts count="2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1"/>
      <name val="Calibri"/>
      <family val="2"/>
      <scheme val="minor"/>
    </font>
    <font>
      <b/>
      <sz val="14"/>
      <color theme="1"/>
      <name val="Calibri"/>
      <family val="2"/>
      <scheme val="minor"/>
    </font>
    <font>
      <sz val="8"/>
      <color theme="1"/>
      <name val="Calibri"/>
      <family val="2"/>
      <scheme val="minor"/>
    </font>
    <font>
      <b/>
      <u val="singleAccounting"/>
      <sz val="14"/>
      <color rgb="FFC00000"/>
      <name val="Calibri"/>
      <family val="2"/>
      <scheme val="minor"/>
    </font>
    <font>
      <b/>
      <sz val="18"/>
      <color rgb="FFC00000"/>
      <name val="Calibri"/>
      <family val="2"/>
      <scheme val="minor"/>
    </font>
    <font>
      <sz val="11"/>
      <name val="Calibri"/>
      <family val="2"/>
      <scheme val="minor"/>
    </font>
    <font>
      <sz val="8"/>
      <name val="Calibri"/>
      <family val="2"/>
      <scheme val="minor"/>
    </font>
    <font>
      <sz val="11"/>
      <color theme="0" tint="-0.499984740745262"/>
      <name val="Calibri"/>
      <family val="2"/>
      <scheme val="minor"/>
    </font>
    <font>
      <b/>
      <sz val="11"/>
      <name val="Calibri"/>
      <family val="2"/>
      <scheme val="minor"/>
    </font>
    <font>
      <b/>
      <sz val="11"/>
      <color theme="0" tint="-0.499984740745262"/>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0" tint="-0.14999847407452621"/>
        <bgColor indexed="64"/>
      </patternFill>
    </fill>
    <fill>
      <patternFill patternType="solid">
        <fgColor theme="7" tint="0.59999389629810485"/>
        <bgColor indexed="64"/>
      </patternFill>
    </fill>
  </fills>
  <borders count="3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0" tint="-0.14999847407452621"/>
      </left>
      <right/>
      <top style="thin">
        <color theme="0" tint="-0.14999847407452621"/>
      </top>
      <bottom/>
      <diagonal/>
    </border>
    <border>
      <left/>
      <right/>
      <top style="thin">
        <color theme="0" tint="-0.14999847407452621"/>
      </top>
      <bottom/>
      <diagonal/>
    </border>
    <border>
      <left/>
      <right style="thin">
        <color theme="0" tint="-0.14999847407452621"/>
      </right>
      <top style="thin">
        <color theme="0" tint="-0.14999847407452621"/>
      </top>
      <bottom/>
      <diagonal/>
    </border>
    <border>
      <left style="thin">
        <color theme="0" tint="-0.14999847407452621"/>
      </left>
      <right/>
      <top/>
      <bottom/>
      <diagonal/>
    </border>
    <border>
      <left/>
      <right style="thin">
        <color theme="0" tint="-0.14999847407452621"/>
      </right>
      <top/>
      <bottom/>
      <diagonal/>
    </border>
    <border>
      <left style="thin">
        <color theme="0" tint="-0.14999847407452621"/>
      </left>
      <right/>
      <top/>
      <bottom style="thin">
        <color theme="0" tint="-0.14999847407452621"/>
      </bottom>
      <diagonal/>
    </border>
    <border>
      <left/>
      <right/>
      <top/>
      <bottom style="thin">
        <color theme="0" tint="-0.14999847407452621"/>
      </bottom>
      <diagonal/>
    </border>
    <border>
      <left/>
      <right style="thin">
        <color theme="0" tint="-0.14999847407452621"/>
      </right>
      <top/>
      <bottom style="thin">
        <color theme="0" tint="-0.14999847407452621"/>
      </bottom>
      <diagonal/>
    </border>
    <border>
      <left/>
      <right/>
      <top/>
      <bottom style="thin">
        <color theme="1"/>
      </bottom>
      <diagonal/>
    </border>
    <border>
      <left style="thin">
        <color indexed="64"/>
      </left>
      <right style="thin">
        <color indexed="64"/>
      </right>
      <top style="thin">
        <color indexed="64"/>
      </top>
      <bottom style="thin">
        <color indexed="64"/>
      </bottom>
      <diagonal/>
    </border>
    <border>
      <left style="thin">
        <color indexed="64"/>
      </left>
      <right style="thin">
        <color theme="0" tint="-0.14999847407452621"/>
      </right>
      <top style="thin">
        <color indexed="64"/>
      </top>
      <bottom style="thin">
        <color indexed="64"/>
      </bottom>
      <diagonal/>
    </border>
    <border>
      <left style="thin">
        <color theme="0" tint="-0.14999847407452621"/>
      </left>
      <right style="thin">
        <color theme="0" tint="-0.14999847407452621"/>
      </right>
      <top style="thin">
        <color indexed="64"/>
      </top>
      <bottom style="thin">
        <color indexed="64"/>
      </bottom>
      <diagonal/>
    </border>
    <border>
      <left style="thin">
        <color theme="0" tint="-0.14999847407452621"/>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44">
    <xf numFmtId="0" fontId="0" fillId="0" borderId="0"/>
    <xf numFmtId="44" fontId="1" fillId="0" borderId="0" applyFont="0" applyFill="0" applyBorder="0" applyAlignment="0" applyProtection="0"/>
    <xf numFmtId="9"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4">
    <xf numFmtId="0" fontId="0" fillId="0" borderId="0" xfId="0"/>
    <xf numFmtId="0" fontId="0" fillId="33" borderId="0" xfId="0" applyFill="1"/>
    <xf numFmtId="0" fontId="0" fillId="33" borderId="10" xfId="0" applyFill="1" applyBorder="1"/>
    <xf numFmtId="0" fontId="0" fillId="33" borderId="11" xfId="0" applyFill="1" applyBorder="1"/>
    <xf numFmtId="0" fontId="0" fillId="33" borderId="13" xfId="0" applyFill="1" applyBorder="1"/>
    <xf numFmtId="44" fontId="0" fillId="33" borderId="12" xfId="1" applyFont="1" applyFill="1" applyBorder="1"/>
    <xf numFmtId="44" fontId="0" fillId="33" borderId="14" xfId="1" applyFont="1" applyFill="1" applyBorder="1"/>
    <xf numFmtId="0" fontId="0" fillId="0" borderId="0" xfId="0" pivotButton="1"/>
    <xf numFmtId="0" fontId="0" fillId="0" borderId="0" xfId="0" applyAlignment="1">
      <alignment horizontal="left"/>
    </xf>
    <xf numFmtId="0" fontId="0" fillId="33" borderId="26" xfId="0" applyFill="1" applyBorder="1"/>
    <xf numFmtId="0" fontId="0" fillId="33" borderId="27" xfId="0" applyFill="1" applyBorder="1"/>
    <xf numFmtId="0" fontId="0" fillId="33" borderId="28" xfId="0" applyFill="1" applyBorder="1"/>
    <xf numFmtId="0" fontId="0" fillId="33" borderId="29" xfId="0" applyFill="1" applyBorder="1"/>
    <xf numFmtId="0" fontId="0" fillId="33" borderId="0" xfId="0" applyFill="1" applyAlignment="1">
      <alignment horizontal="right"/>
    </xf>
    <xf numFmtId="0" fontId="0" fillId="33" borderId="30" xfId="0" applyFill="1" applyBorder="1" applyAlignment="1">
      <alignment horizontal="left"/>
    </xf>
    <xf numFmtId="0" fontId="0" fillId="33" borderId="31" xfId="0" applyFill="1" applyBorder="1"/>
    <xf numFmtId="0" fontId="0" fillId="33" borderId="32" xfId="0" applyFill="1" applyBorder="1"/>
    <xf numFmtId="0" fontId="0" fillId="33" borderId="33" xfId="0" applyFill="1" applyBorder="1"/>
    <xf numFmtId="0" fontId="0" fillId="34" borderId="19" xfId="0" applyFill="1" applyBorder="1"/>
    <xf numFmtId="164" fontId="0" fillId="33" borderId="0" xfId="0" applyNumberFormat="1" applyFill="1"/>
    <xf numFmtId="0" fontId="0" fillId="33" borderId="30" xfId="0" applyFill="1" applyBorder="1"/>
    <xf numFmtId="0" fontId="0" fillId="34" borderId="0" xfId="0" applyFill="1"/>
    <xf numFmtId="0" fontId="0" fillId="33" borderId="0" xfId="0" applyFill="1" applyAlignment="1">
      <alignment horizontal="center"/>
    </xf>
    <xf numFmtId="2" fontId="0" fillId="33" borderId="0" xfId="0" applyNumberFormat="1" applyFill="1" applyAlignment="1">
      <alignment horizontal="center"/>
    </xf>
    <xf numFmtId="0" fontId="16" fillId="33" borderId="18" xfId="0" applyFont="1" applyFill="1" applyBorder="1"/>
    <xf numFmtId="0" fontId="16" fillId="33" borderId="18" xfId="0" applyFont="1" applyFill="1" applyBorder="1" applyAlignment="1">
      <alignment horizontal="center"/>
    </xf>
    <xf numFmtId="9" fontId="0" fillId="33" borderId="0" xfId="2" applyFont="1" applyFill="1" applyBorder="1" applyAlignment="1">
      <alignment horizontal="center"/>
    </xf>
    <xf numFmtId="0" fontId="16" fillId="0" borderId="0" xfId="0" applyFont="1"/>
    <xf numFmtId="9" fontId="1" fillId="33" borderId="14" xfId="2" applyFont="1" applyFill="1" applyBorder="1"/>
    <xf numFmtId="44" fontId="0" fillId="33" borderId="0" xfId="0" applyNumberFormat="1" applyFill="1"/>
    <xf numFmtId="2" fontId="0" fillId="33" borderId="19" xfId="0" applyNumberFormat="1" applyFill="1" applyBorder="1"/>
    <xf numFmtId="9" fontId="0" fillId="33" borderId="32" xfId="2" applyFont="1" applyFill="1" applyBorder="1"/>
    <xf numFmtId="9" fontId="0" fillId="33" borderId="0" xfId="2" applyFont="1" applyFill="1" applyAlignment="1">
      <alignment horizontal="center"/>
    </xf>
    <xf numFmtId="9" fontId="0" fillId="33" borderId="0" xfId="2" applyFont="1" applyFill="1"/>
    <xf numFmtId="9" fontId="0" fillId="33" borderId="0" xfId="0" applyNumberFormat="1" applyFill="1" applyAlignment="1">
      <alignment horizontal="right"/>
    </xf>
    <xf numFmtId="9" fontId="0" fillId="33" borderId="0" xfId="0" quotePrefix="1" applyNumberFormat="1" applyFill="1" applyAlignment="1">
      <alignment horizontal="right"/>
    </xf>
    <xf numFmtId="0" fontId="17" fillId="33" borderId="0" xfId="0" applyFont="1" applyFill="1"/>
    <xf numFmtId="9" fontId="23" fillId="33" borderId="0" xfId="0" applyNumberFormat="1" applyFont="1" applyFill="1"/>
    <xf numFmtId="44" fontId="0" fillId="0" borderId="0" xfId="0" applyNumberFormat="1"/>
    <xf numFmtId="10" fontId="0" fillId="33" borderId="0" xfId="0" applyNumberFormat="1" applyFill="1"/>
    <xf numFmtId="2" fontId="0" fillId="33" borderId="0" xfId="1" applyNumberFormat="1" applyFont="1" applyFill="1" applyAlignment="1">
      <alignment horizontal="center"/>
    </xf>
    <xf numFmtId="44" fontId="0" fillId="0" borderId="0" xfId="1" applyFont="1"/>
    <xf numFmtId="9" fontId="1" fillId="33" borderId="0" xfId="2" applyFont="1" applyFill="1" applyBorder="1" applyAlignment="1">
      <alignment horizontal="center"/>
    </xf>
    <xf numFmtId="2" fontId="0" fillId="35" borderId="19" xfId="0" applyNumberFormat="1" applyFill="1" applyBorder="1"/>
    <xf numFmtId="2" fontId="0" fillId="33" borderId="0" xfId="0" applyNumberFormat="1" applyFill="1"/>
    <xf numFmtId="2" fontId="25" fillId="33" borderId="0" xfId="0" applyNumberFormat="1" applyFont="1" applyFill="1"/>
    <xf numFmtId="165" fontId="0" fillId="0" borderId="0" xfId="2" applyNumberFormat="1" applyFont="1"/>
    <xf numFmtId="9" fontId="0" fillId="33" borderId="0" xfId="0" applyNumberFormat="1" applyFill="1"/>
    <xf numFmtId="9" fontId="0" fillId="0" borderId="0" xfId="2" applyFont="1" applyFill="1" applyBorder="1"/>
    <xf numFmtId="0" fontId="16" fillId="33" borderId="32" xfId="0" applyFont="1" applyFill="1" applyBorder="1"/>
    <xf numFmtId="0" fontId="26" fillId="33" borderId="32" xfId="0" applyFont="1" applyFill="1" applyBorder="1"/>
    <xf numFmtId="0" fontId="16" fillId="0" borderId="32" xfId="0" applyFont="1" applyBorder="1"/>
    <xf numFmtId="0" fontId="27" fillId="33" borderId="32" xfId="0" applyFont="1" applyFill="1" applyBorder="1"/>
    <xf numFmtId="9" fontId="16" fillId="33" borderId="35" xfId="2" applyFont="1" applyFill="1" applyBorder="1"/>
    <xf numFmtId="44" fontId="0" fillId="33" borderId="34" xfId="0" applyNumberFormat="1" applyFill="1" applyBorder="1"/>
    <xf numFmtId="0" fontId="0" fillId="33" borderId="34" xfId="0" applyFill="1" applyBorder="1"/>
    <xf numFmtId="44" fontId="16" fillId="33" borderId="0" xfId="0" applyNumberFormat="1" applyFont="1" applyFill="1" applyAlignment="1">
      <alignment horizontal="left"/>
    </xf>
    <xf numFmtId="0" fontId="22" fillId="33" borderId="0" xfId="0" applyFont="1" applyFill="1" applyAlignment="1">
      <alignment horizontal="center" vertical="center"/>
    </xf>
    <xf numFmtId="0" fontId="18" fillId="34" borderId="20" xfId="0" applyFont="1" applyFill="1" applyBorder="1" applyAlignment="1">
      <alignment horizontal="center"/>
    </xf>
    <xf numFmtId="0" fontId="18" fillId="34" borderId="21" xfId="0" applyFont="1" applyFill="1" applyBorder="1" applyAlignment="1">
      <alignment horizontal="center"/>
    </xf>
    <xf numFmtId="0" fontId="18" fillId="34" borderId="22" xfId="0" applyFont="1" applyFill="1" applyBorder="1" applyAlignment="1">
      <alignment horizontal="center"/>
    </xf>
    <xf numFmtId="0" fontId="18" fillId="34" borderId="23" xfId="0" applyFont="1" applyFill="1" applyBorder="1" applyAlignment="1">
      <alignment horizontal="center"/>
    </xf>
    <xf numFmtId="0" fontId="18" fillId="34" borderId="24" xfId="0" applyFont="1" applyFill="1" applyBorder="1" applyAlignment="1">
      <alignment horizontal="center"/>
    </xf>
    <xf numFmtId="0" fontId="18" fillId="34" borderId="25" xfId="0" applyFont="1" applyFill="1" applyBorder="1" applyAlignment="1">
      <alignment horizontal="center"/>
    </xf>
    <xf numFmtId="0" fontId="20" fillId="33" borderId="13" xfId="0" applyFont="1" applyFill="1" applyBorder="1" applyAlignment="1">
      <alignment vertical="center" wrapText="1"/>
    </xf>
    <xf numFmtId="0" fontId="20" fillId="33" borderId="0" xfId="0" applyFont="1" applyFill="1" applyAlignment="1">
      <alignment vertical="center" wrapText="1"/>
    </xf>
    <xf numFmtId="0" fontId="20" fillId="33" borderId="14" xfId="0" applyFont="1" applyFill="1" applyBorder="1" applyAlignment="1">
      <alignment vertical="center" wrapText="1"/>
    </xf>
    <xf numFmtId="0" fontId="20" fillId="33" borderId="15" xfId="0" applyFont="1" applyFill="1" applyBorder="1" applyAlignment="1">
      <alignment vertical="center" wrapText="1"/>
    </xf>
    <xf numFmtId="0" fontId="20" fillId="33" borderId="16" xfId="0" applyFont="1" applyFill="1" applyBorder="1" applyAlignment="1">
      <alignment vertical="center" wrapText="1"/>
    </xf>
    <xf numFmtId="0" fontId="20" fillId="33" borderId="17" xfId="0" applyFont="1" applyFill="1" applyBorder="1" applyAlignment="1">
      <alignment vertical="center" wrapText="1"/>
    </xf>
    <xf numFmtId="44" fontId="21" fillId="33" borderId="14" xfId="1" applyFont="1" applyFill="1" applyBorder="1" applyAlignment="1">
      <alignment vertical="center"/>
    </xf>
    <xf numFmtId="0" fontId="19" fillId="33" borderId="13" xfId="0" applyFont="1" applyFill="1" applyBorder="1" applyAlignment="1">
      <alignment vertical="center"/>
    </xf>
    <xf numFmtId="0" fontId="19" fillId="33" borderId="0" xfId="0" applyFont="1" applyFill="1" applyAlignment="1">
      <alignment vertical="center"/>
    </xf>
    <xf numFmtId="0" fontId="0" fillId="35" borderId="19" xfId="0" applyFill="1" applyBorder="1" applyAlignment="1"/>
  </cellXfs>
  <cellStyles count="44">
    <cellStyle name="20% - Accent1" xfId="21" builtinId="30" customBuiltin="1"/>
    <cellStyle name="20% - Accent2" xfId="25" builtinId="34" customBuiltin="1"/>
    <cellStyle name="20% - Accent3" xfId="29" builtinId="38" customBuiltin="1"/>
    <cellStyle name="20% - Accent4" xfId="33" builtinId="42" customBuiltin="1"/>
    <cellStyle name="20% - Accent5" xfId="37" builtinId="46" customBuiltin="1"/>
    <cellStyle name="20% - Accent6" xfId="41" builtinId="50" customBuiltin="1"/>
    <cellStyle name="40% - Accent1" xfId="22" builtinId="31" customBuiltin="1"/>
    <cellStyle name="40% - Accent2" xfId="26" builtinId="35" customBuiltin="1"/>
    <cellStyle name="40% - Accent3" xfId="30" builtinId="39" customBuiltin="1"/>
    <cellStyle name="40% - Accent4" xfId="34" builtinId="43" customBuiltin="1"/>
    <cellStyle name="40% - Accent5" xfId="38" builtinId="47" customBuiltin="1"/>
    <cellStyle name="40% - Accent6" xfId="42" builtinId="51" customBuiltin="1"/>
    <cellStyle name="60% - Accent1" xfId="23" builtinId="32" customBuiltin="1"/>
    <cellStyle name="60% - Accent2" xfId="27" builtinId="36" customBuiltin="1"/>
    <cellStyle name="60% - Accent3" xfId="31" builtinId="40" customBuiltin="1"/>
    <cellStyle name="60% - Accent4" xfId="35" builtinId="44" customBuiltin="1"/>
    <cellStyle name="60% - Accent5" xfId="39" builtinId="48" customBuiltin="1"/>
    <cellStyle name="60% - Accent6" xfId="43" builtinId="52" customBuiltin="1"/>
    <cellStyle name="Accent1" xfId="20" builtinId="29" customBuiltin="1"/>
    <cellStyle name="Accent2" xfId="24" builtinId="33" customBuiltin="1"/>
    <cellStyle name="Accent3" xfId="28" builtinId="37" customBuiltin="1"/>
    <cellStyle name="Accent4" xfId="32" builtinId="41" customBuiltin="1"/>
    <cellStyle name="Accent5" xfId="36" builtinId="45" customBuiltin="1"/>
    <cellStyle name="Accent6" xfId="40" builtinId="49" customBuiltin="1"/>
    <cellStyle name="Bad" xfId="9" builtinId="27" customBuiltin="1"/>
    <cellStyle name="Calculation" xfId="13" builtinId="22" customBuiltin="1"/>
    <cellStyle name="Check Cell" xfId="15" builtinId="23" customBuiltin="1"/>
    <cellStyle name="Currency" xfId="1" builtinId="4"/>
    <cellStyle name="Explanatory Text" xfId="18" builtinId="53" customBuiltin="1"/>
    <cellStyle name="Good" xfId="8" builtinId="26" customBuiltin="1"/>
    <cellStyle name="Heading 1" xfId="4" builtinId="16" customBuiltin="1"/>
    <cellStyle name="Heading 2" xfId="5" builtinId="17" customBuiltin="1"/>
    <cellStyle name="Heading 3" xfId="6" builtinId="18" customBuiltin="1"/>
    <cellStyle name="Heading 4" xfId="7" builtinId="19" customBuiltin="1"/>
    <cellStyle name="Input" xfId="11" builtinId="20" customBuiltin="1"/>
    <cellStyle name="Linked Cell" xfId="14" builtinId="24" customBuiltin="1"/>
    <cellStyle name="Neutral" xfId="10" builtinId="28" customBuiltin="1"/>
    <cellStyle name="Normal" xfId="0" builtinId="0"/>
    <cellStyle name="Note" xfId="17" builtinId="10" customBuiltin="1"/>
    <cellStyle name="Output" xfId="12" builtinId="21" customBuiltin="1"/>
    <cellStyle name="Percent" xfId="2" builtinId="5"/>
    <cellStyle name="Title" xfId="3" builtinId="15" customBuiltin="1"/>
    <cellStyle name="Total" xfId="19" builtinId="25" customBuiltin="1"/>
    <cellStyle name="Warning Text" xfId="16" builtinId="11" customBuiltin="1"/>
  </cellStyles>
  <dxfs count="38">
    <dxf>
      <numFmt numFmtId="165" formatCode="0.0%"/>
    </dxf>
    <dxf>
      <font>
        <b val="0"/>
        <i val="0"/>
        <strike val="0"/>
        <condense val="0"/>
        <extend val="0"/>
        <outline val="0"/>
        <shadow val="0"/>
        <u val="none"/>
        <vertAlign val="baseline"/>
        <sz val="11"/>
        <color theme="1"/>
        <name val="Calibri"/>
        <family val="2"/>
        <scheme val="minor"/>
      </font>
      <numFmt numFmtId="2" formatCode="0.00"/>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2" formatCode="0.00"/>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2" formatCode="0.00"/>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3" formatCode="0%"/>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2" formatCode="0.00"/>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2" formatCode="0.00"/>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2" formatCode="0.00"/>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solid">
          <fgColor indexed="64"/>
          <bgColor theme="0"/>
        </patternFill>
      </fill>
    </dxf>
    <dxf>
      <font>
        <b val="0"/>
        <i val="0"/>
        <strike val="0"/>
        <condense val="0"/>
        <extend val="0"/>
        <outline val="0"/>
        <shadow val="0"/>
        <u val="none"/>
        <vertAlign val="baseline"/>
        <sz val="11"/>
        <color theme="1"/>
        <name val="Calibri"/>
        <family val="2"/>
        <scheme val="minor"/>
      </font>
      <fill>
        <patternFill patternType="solid">
          <fgColor indexed="64"/>
          <bgColor theme="0"/>
        </patternFill>
      </fill>
    </dxf>
    <dxf>
      <font>
        <b val="0"/>
        <i val="0"/>
        <strike val="0"/>
        <condense val="0"/>
        <extend val="0"/>
        <outline val="0"/>
        <shadow val="0"/>
        <u val="none"/>
        <vertAlign val="baseline"/>
        <sz val="11"/>
        <color theme="1"/>
        <name val="Calibri"/>
        <family val="2"/>
        <scheme val="minor"/>
      </font>
      <fill>
        <patternFill patternType="solid">
          <fgColor indexed="64"/>
          <bgColor theme="0"/>
        </patternFill>
      </fill>
    </dxf>
    <dxf>
      <border outline="0">
        <bottom style="thin">
          <color theme="1"/>
        </bottom>
      </border>
    </dxf>
    <dxf>
      <border outline="0">
        <top style="thin">
          <color theme="1"/>
        </top>
      </border>
    </dxf>
    <dxf>
      <font>
        <b val="0"/>
        <i val="0"/>
        <strike val="0"/>
        <condense val="0"/>
        <extend val="0"/>
        <outline val="0"/>
        <shadow val="0"/>
        <u val="none"/>
        <vertAlign val="baseline"/>
        <sz val="11"/>
        <color theme="1"/>
        <name val="Calibri"/>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patternFill>
      </fill>
      <alignment horizontal="center" vertical="bottom" textRotation="0" wrapText="0" indent="0" justifyLastLine="0" shrinkToFit="0" readingOrder="0"/>
    </dxf>
    <dxf>
      <fill>
        <patternFill patternType="solid">
          <fgColor indexed="64"/>
          <bgColor theme="0"/>
        </patternFill>
      </fill>
    </dxf>
    <dxf>
      <numFmt numFmtId="2" formatCode="0.00"/>
      <fill>
        <patternFill patternType="solid">
          <fgColor indexed="64"/>
          <bgColor theme="0"/>
        </patternFill>
      </fill>
      <alignment horizontal="center" vertical="bottom" textRotation="0" wrapText="0" indent="0" justifyLastLine="0" shrinkToFit="0" readingOrder="0"/>
    </dxf>
    <dxf>
      <numFmt numFmtId="2" formatCode="0.00"/>
      <fill>
        <patternFill patternType="solid">
          <fgColor indexed="64"/>
          <bgColor theme="0"/>
        </patternFill>
      </fill>
      <alignment horizontal="center" vertical="bottom" textRotation="0" wrapText="0" indent="0" justifyLastLine="0" shrinkToFit="0" readingOrder="0"/>
    </dxf>
    <dxf>
      <numFmt numFmtId="2" formatCode="0.00"/>
      <fill>
        <patternFill patternType="solid">
          <fgColor indexed="64"/>
          <bgColor theme="0"/>
        </patternFill>
      </fill>
      <alignment horizontal="center" vertical="bottom" textRotation="0" wrapText="0" indent="0" justifyLastLine="0" shrinkToFit="0" readingOrder="0"/>
    </dxf>
    <dxf>
      <fill>
        <patternFill patternType="solid">
          <fgColor indexed="64"/>
          <bgColor theme="0"/>
        </patternFill>
      </fill>
      <alignment horizontal="center" vertical="bottom" textRotation="0" wrapText="0" indent="0" justifyLastLine="0" shrinkToFit="0" readingOrder="0"/>
    </dxf>
    <dxf>
      <fill>
        <patternFill patternType="solid">
          <fgColor indexed="64"/>
          <bgColor theme="0"/>
        </patternFill>
      </fill>
      <alignment horizontal="center" vertical="bottom" textRotation="0" wrapText="0" indent="0" justifyLastLine="0" shrinkToFit="0" readingOrder="0"/>
    </dxf>
    <dxf>
      <numFmt numFmtId="2" formatCode="0.00"/>
      <fill>
        <patternFill patternType="solid">
          <fgColor indexed="64"/>
          <bgColor theme="0"/>
        </patternFill>
      </fill>
      <alignment horizontal="center" vertical="bottom" textRotation="0" wrapText="0" indent="0" justifyLastLine="0" shrinkToFit="0" readingOrder="0"/>
    </dxf>
    <dxf>
      <numFmt numFmtId="2" formatCode="0.00"/>
      <fill>
        <patternFill patternType="solid">
          <fgColor indexed="64"/>
          <bgColor theme="0"/>
        </patternFill>
      </fill>
      <alignment horizontal="center" vertical="bottom" textRotation="0" wrapText="0" indent="0" justifyLastLine="0" shrinkToFit="0" readingOrder="0"/>
    </dxf>
    <dxf>
      <numFmt numFmtId="2" formatCode="0.00"/>
      <fill>
        <patternFill patternType="solid">
          <fgColor indexed="64"/>
          <bgColor theme="0"/>
        </patternFill>
      </fill>
      <alignment horizontal="center" vertical="bottom" textRotation="0" wrapText="0" indent="0" justifyLastLine="0" shrinkToFit="0" readingOrder="0"/>
    </dxf>
    <dxf>
      <fill>
        <patternFill patternType="solid">
          <fgColor indexed="64"/>
          <bgColor theme="0"/>
        </patternFill>
      </fill>
      <alignment horizontal="center" vertical="bottom" textRotation="0" wrapText="0" indent="0" justifyLastLine="0" shrinkToFit="0" readingOrder="0"/>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bgColor theme="7" tint="0.59996337778862885"/>
        </patternFill>
      </fill>
    </dxf>
    <dxf>
      <fill>
        <patternFill>
          <bgColor theme="7" tint="0.59996337778862885"/>
        </patternFill>
      </fill>
    </dxf>
    <dxf>
      <fill>
        <patternFill>
          <bgColor theme="7" tint="0.59996337778862885"/>
        </patternFill>
      </fill>
    </dxf>
    <dxf>
      <font>
        <b/>
        <color theme="1"/>
      </font>
      <border>
        <bottom style="thin">
          <color theme="4"/>
        </bottom>
        <vertical/>
        <horizontal/>
      </border>
    </dxf>
    <dxf>
      <font>
        <color theme="1"/>
      </font>
      <border>
        <left/>
        <right/>
        <top/>
        <bottom/>
        <vertical/>
        <horizontal/>
      </border>
    </dxf>
  </dxfs>
  <tableStyles count="1" defaultTableStyle="TableStyleMedium2" defaultPivotStyle="PivotStyleLight16">
    <tableStyle name="SlicerStyleLight1 2" pivot="0" table="0" count="10" xr9:uid="{FDE083B9-0C12-4ACD-B90D-3EA7682AFD5A}">
      <tableStyleElement type="wholeTable" dxfId="37"/>
      <tableStyleElement type="headerRow" dxfId="36"/>
    </tableStyle>
  </tableStyle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SlicerStyleLight1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pivotCacheDefinition" Target="pivotCache/pivotCacheDefinition1.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1.xml"/><Relationship Id="rId5" Type="http://schemas.microsoft.com/office/2007/relationships/slicerCache" Target="slicerCaches/slicerCache2.xml"/><Relationship Id="rId10" Type="http://schemas.openxmlformats.org/officeDocument/2006/relationships/calcChain" Target="calcChain.xml"/><Relationship Id="rId4" Type="http://schemas.microsoft.com/office/2007/relationships/slicerCache" Target="slicerCaches/slicerCache1.xml"/><Relationship Id="rId9" Type="http://schemas.openxmlformats.org/officeDocument/2006/relationships/sheetMetadata" Target="metadata.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21</xdr:col>
      <xdr:colOff>0</xdr:colOff>
      <xdr:row>33</xdr:row>
      <xdr:rowOff>0</xdr:rowOff>
    </xdr:from>
    <xdr:ext cx="304800" cy="304800"/>
    <xdr:sp macro="" textlink="">
      <xdr:nvSpPr>
        <xdr:cNvPr id="2" name="AutoShape 9" descr="\sin \theta =\cos \left({\frac {\pi }{2}}-\theta \right)={\frac {1}{\csc \theta }}">
          <a:extLst>
            <a:ext uri="{FF2B5EF4-FFF2-40B4-BE49-F238E27FC236}">
              <a16:creationId xmlns:a16="http://schemas.microsoft.com/office/drawing/2014/main" id="{3C549C50-2272-471B-A4CC-7168F47D262A}"/>
            </a:ext>
          </a:extLst>
        </xdr:cNvPr>
        <xdr:cNvSpPr>
          <a:spLocks noChangeAspect="1" noChangeArrowheads="1"/>
        </xdr:cNvSpPr>
      </xdr:nvSpPr>
      <xdr:spPr bwMode="auto">
        <a:xfrm>
          <a:off x="11925300" y="73056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21</xdr:col>
      <xdr:colOff>0</xdr:colOff>
      <xdr:row>33</xdr:row>
      <xdr:rowOff>0</xdr:rowOff>
    </xdr:from>
    <xdr:ext cx="304800" cy="304800"/>
    <xdr:sp macro="" textlink="">
      <xdr:nvSpPr>
        <xdr:cNvPr id="3" name="AutoShape 10" descr="\cos \theta =\sin \left({\frac {\pi }{2}}-\theta \right)={\frac {1}{\sec \theta }}\,">
          <a:extLst>
            <a:ext uri="{FF2B5EF4-FFF2-40B4-BE49-F238E27FC236}">
              <a16:creationId xmlns:a16="http://schemas.microsoft.com/office/drawing/2014/main" id="{C37E4A7C-44AF-4D5F-BA63-5BF3781461DC}"/>
            </a:ext>
          </a:extLst>
        </xdr:cNvPr>
        <xdr:cNvSpPr>
          <a:spLocks noChangeAspect="1" noChangeArrowheads="1"/>
        </xdr:cNvSpPr>
      </xdr:nvSpPr>
      <xdr:spPr bwMode="auto">
        <a:xfrm>
          <a:off x="11925300" y="73056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21</xdr:col>
      <xdr:colOff>0</xdr:colOff>
      <xdr:row>33</xdr:row>
      <xdr:rowOff>0</xdr:rowOff>
    </xdr:from>
    <xdr:ext cx="304800" cy="304800"/>
    <xdr:sp macro="" textlink="">
      <xdr:nvSpPr>
        <xdr:cNvPr id="4" name="AutoShape 11" descr="\tan \theta ={\frac {\sin \theta }{\cos \theta }}=\cot \left({\frac {\pi }{2}}-\theta \right)={\frac {1}{\cot \theta }}">
          <a:extLst>
            <a:ext uri="{FF2B5EF4-FFF2-40B4-BE49-F238E27FC236}">
              <a16:creationId xmlns:a16="http://schemas.microsoft.com/office/drawing/2014/main" id="{882C4510-0DAD-4B81-884E-E633D6E2E4B1}"/>
            </a:ext>
          </a:extLst>
        </xdr:cNvPr>
        <xdr:cNvSpPr>
          <a:spLocks noChangeAspect="1" noChangeArrowheads="1"/>
        </xdr:cNvSpPr>
      </xdr:nvSpPr>
      <xdr:spPr bwMode="auto">
        <a:xfrm>
          <a:off x="11925300" y="73056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21</xdr:col>
      <xdr:colOff>0</xdr:colOff>
      <xdr:row>33</xdr:row>
      <xdr:rowOff>0</xdr:rowOff>
    </xdr:from>
    <xdr:ext cx="304800" cy="304800"/>
    <xdr:sp macro="" textlink="">
      <xdr:nvSpPr>
        <xdr:cNvPr id="5" name="AutoShape 12" descr="\cot \theta ={\frac {\cos \theta }{\sin \theta }}=\tan \left({\frac {\pi }{2}}-\theta \right)={\frac {1}{\tan \theta }}">
          <a:extLst>
            <a:ext uri="{FF2B5EF4-FFF2-40B4-BE49-F238E27FC236}">
              <a16:creationId xmlns:a16="http://schemas.microsoft.com/office/drawing/2014/main" id="{98E6A32F-36A9-4E9F-AB83-C7A5388EAC3B}"/>
            </a:ext>
          </a:extLst>
        </xdr:cNvPr>
        <xdr:cNvSpPr>
          <a:spLocks noChangeAspect="1" noChangeArrowheads="1"/>
        </xdr:cNvSpPr>
      </xdr:nvSpPr>
      <xdr:spPr bwMode="auto">
        <a:xfrm>
          <a:off x="11925300" y="73056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21</xdr:col>
      <xdr:colOff>0</xdr:colOff>
      <xdr:row>33</xdr:row>
      <xdr:rowOff>0</xdr:rowOff>
    </xdr:from>
    <xdr:ext cx="304800" cy="304800"/>
    <xdr:sp macro="" textlink="">
      <xdr:nvSpPr>
        <xdr:cNvPr id="74" name="AutoShape 9" descr="\sin \theta =\cos \left({\frac {\pi }{2}}-\theta \right)={\frac {1}{\csc \theta }}">
          <a:extLst>
            <a:ext uri="{FF2B5EF4-FFF2-40B4-BE49-F238E27FC236}">
              <a16:creationId xmlns:a16="http://schemas.microsoft.com/office/drawing/2014/main" id="{A5507247-B7E4-4B7E-A94F-9480256D3E1E}"/>
            </a:ext>
          </a:extLst>
        </xdr:cNvPr>
        <xdr:cNvSpPr>
          <a:spLocks noChangeAspect="1" noChangeArrowheads="1"/>
        </xdr:cNvSpPr>
      </xdr:nvSpPr>
      <xdr:spPr bwMode="auto">
        <a:xfrm>
          <a:off x="0" y="73056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21</xdr:col>
      <xdr:colOff>0</xdr:colOff>
      <xdr:row>33</xdr:row>
      <xdr:rowOff>0</xdr:rowOff>
    </xdr:from>
    <xdr:ext cx="304800" cy="304800"/>
    <xdr:sp macro="" textlink="">
      <xdr:nvSpPr>
        <xdr:cNvPr id="75" name="AutoShape 10" descr="\cos \theta =\sin \left({\frac {\pi }{2}}-\theta \right)={\frac {1}{\sec \theta }}\,">
          <a:extLst>
            <a:ext uri="{FF2B5EF4-FFF2-40B4-BE49-F238E27FC236}">
              <a16:creationId xmlns:a16="http://schemas.microsoft.com/office/drawing/2014/main" id="{17C9BCC7-3FD2-4871-BAC2-A8403858EEAA}"/>
            </a:ext>
          </a:extLst>
        </xdr:cNvPr>
        <xdr:cNvSpPr>
          <a:spLocks noChangeAspect="1" noChangeArrowheads="1"/>
        </xdr:cNvSpPr>
      </xdr:nvSpPr>
      <xdr:spPr bwMode="auto">
        <a:xfrm>
          <a:off x="0" y="73056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21</xdr:col>
      <xdr:colOff>0</xdr:colOff>
      <xdr:row>33</xdr:row>
      <xdr:rowOff>0</xdr:rowOff>
    </xdr:from>
    <xdr:ext cx="304800" cy="304800"/>
    <xdr:sp macro="" textlink="">
      <xdr:nvSpPr>
        <xdr:cNvPr id="76" name="AutoShape 11" descr="\tan \theta ={\frac {\sin \theta }{\cos \theta }}=\cot \left({\frac {\pi }{2}}-\theta \right)={\frac {1}{\cot \theta }}">
          <a:extLst>
            <a:ext uri="{FF2B5EF4-FFF2-40B4-BE49-F238E27FC236}">
              <a16:creationId xmlns:a16="http://schemas.microsoft.com/office/drawing/2014/main" id="{9F80B3D8-816A-45A3-BAC4-5B9124FD30D0}"/>
            </a:ext>
          </a:extLst>
        </xdr:cNvPr>
        <xdr:cNvSpPr>
          <a:spLocks noChangeAspect="1" noChangeArrowheads="1"/>
        </xdr:cNvSpPr>
      </xdr:nvSpPr>
      <xdr:spPr bwMode="auto">
        <a:xfrm>
          <a:off x="0" y="73056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21</xdr:col>
      <xdr:colOff>0</xdr:colOff>
      <xdr:row>33</xdr:row>
      <xdr:rowOff>0</xdr:rowOff>
    </xdr:from>
    <xdr:ext cx="304800" cy="304800"/>
    <xdr:sp macro="" textlink="">
      <xdr:nvSpPr>
        <xdr:cNvPr id="77" name="AutoShape 12" descr="\cot \theta ={\frac {\cos \theta }{\sin \theta }}=\tan \left({\frac {\pi }{2}}-\theta \right)={\frac {1}{\tan \theta }}">
          <a:extLst>
            <a:ext uri="{FF2B5EF4-FFF2-40B4-BE49-F238E27FC236}">
              <a16:creationId xmlns:a16="http://schemas.microsoft.com/office/drawing/2014/main" id="{8FE08801-9607-40C6-950B-36A7D4095117}"/>
            </a:ext>
          </a:extLst>
        </xdr:cNvPr>
        <xdr:cNvSpPr>
          <a:spLocks noChangeAspect="1" noChangeArrowheads="1"/>
        </xdr:cNvSpPr>
      </xdr:nvSpPr>
      <xdr:spPr bwMode="auto">
        <a:xfrm>
          <a:off x="0" y="73056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21</xdr:col>
      <xdr:colOff>0</xdr:colOff>
      <xdr:row>33</xdr:row>
      <xdr:rowOff>0</xdr:rowOff>
    </xdr:from>
    <xdr:ext cx="304800" cy="304800"/>
    <xdr:sp macro="" textlink="">
      <xdr:nvSpPr>
        <xdr:cNvPr id="78" name="AutoShape 13" descr="\sec \theta =\csc \left({\frac {\pi }{2}}-\theta \right)={\frac {1}{\cos \theta }}">
          <a:extLst>
            <a:ext uri="{FF2B5EF4-FFF2-40B4-BE49-F238E27FC236}">
              <a16:creationId xmlns:a16="http://schemas.microsoft.com/office/drawing/2014/main" id="{55B4A72E-E1E3-48A6-9C89-FA124A1E236A}"/>
            </a:ext>
          </a:extLst>
        </xdr:cNvPr>
        <xdr:cNvSpPr>
          <a:spLocks noChangeAspect="1" noChangeArrowheads="1"/>
        </xdr:cNvSpPr>
      </xdr:nvSpPr>
      <xdr:spPr bwMode="auto">
        <a:xfrm>
          <a:off x="0" y="73056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21</xdr:col>
      <xdr:colOff>0</xdr:colOff>
      <xdr:row>33</xdr:row>
      <xdr:rowOff>0</xdr:rowOff>
    </xdr:from>
    <xdr:ext cx="304800" cy="304800"/>
    <xdr:sp macro="" textlink="">
      <xdr:nvSpPr>
        <xdr:cNvPr id="79" name="AutoShape 9" descr="\sin \theta =\cos \left({\frac {\pi }{2}}-\theta \right)={\frac {1}{\csc \theta }}">
          <a:extLst>
            <a:ext uri="{FF2B5EF4-FFF2-40B4-BE49-F238E27FC236}">
              <a16:creationId xmlns:a16="http://schemas.microsoft.com/office/drawing/2014/main" id="{56EA87CC-E967-49FD-85CF-B7E0E625CFE3}"/>
            </a:ext>
          </a:extLst>
        </xdr:cNvPr>
        <xdr:cNvSpPr>
          <a:spLocks noChangeAspect="1" noChangeArrowheads="1"/>
        </xdr:cNvSpPr>
      </xdr:nvSpPr>
      <xdr:spPr bwMode="auto">
        <a:xfrm>
          <a:off x="247650" y="73056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21</xdr:col>
      <xdr:colOff>0</xdr:colOff>
      <xdr:row>33</xdr:row>
      <xdr:rowOff>0</xdr:rowOff>
    </xdr:from>
    <xdr:ext cx="304800" cy="304800"/>
    <xdr:sp macro="" textlink="">
      <xdr:nvSpPr>
        <xdr:cNvPr id="80" name="AutoShape 10" descr="\cos \theta =\sin \left({\frac {\pi }{2}}-\theta \right)={\frac {1}{\sec \theta }}\,">
          <a:extLst>
            <a:ext uri="{FF2B5EF4-FFF2-40B4-BE49-F238E27FC236}">
              <a16:creationId xmlns:a16="http://schemas.microsoft.com/office/drawing/2014/main" id="{3D22A293-21E6-42D7-B257-5F1F5762B0C1}"/>
            </a:ext>
          </a:extLst>
        </xdr:cNvPr>
        <xdr:cNvSpPr>
          <a:spLocks noChangeAspect="1" noChangeArrowheads="1"/>
        </xdr:cNvSpPr>
      </xdr:nvSpPr>
      <xdr:spPr bwMode="auto">
        <a:xfrm>
          <a:off x="247650" y="73056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21</xdr:col>
      <xdr:colOff>0</xdr:colOff>
      <xdr:row>33</xdr:row>
      <xdr:rowOff>0</xdr:rowOff>
    </xdr:from>
    <xdr:ext cx="304800" cy="304800"/>
    <xdr:sp macro="" textlink="">
      <xdr:nvSpPr>
        <xdr:cNvPr id="81" name="AutoShape 11" descr="\tan \theta ={\frac {\sin \theta }{\cos \theta }}=\cot \left({\frac {\pi }{2}}-\theta \right)={\frac {1}{\cot \theta }}">
          <a:extLst>
            <a:ext uri="{FF2B5EF4-FFF2-40B4-BE49-F238E27FC236}">
              <a16:creationId xmlns:a16="http://schemas.microsoft.com/office/drawing/2014/main" id="{4AE13FE8-3FD9-4092-AECB-28ACD53116EF}"/>
            </a:ext>
          </a:extLst>
        </xdr:cNvPr>
        <xdr:cNvSpPr>
          <a:spLocks noChangeAspect="1" noChangeArrowheads="1"/>
        </xdr:cNvSpPr>
      </xdr:nvSpPr>
      <xdr:spPr bwMode="auto">
        <a:xfrm>
          <a:off x="247650" y="73056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21</xdr:col>
      <xdr:colOff>0</xdr:colOff>
      <xdr:row>33</xdr:row>
      <xdr:rowOff>0</xdr:rowOff>
    </xdr:from>
    <xdr:ext cx="304800" cy="304800"/>
    <xdr:sp macro="" textlink="">
      <xdr:nvSpPr>
        <xdr:cNvPr id="82" name="AutoShape 12" descr="\cot \theta ={\frac {\cos \theta }{\sin \theta }}=\tan \left({\frac {\pi }{2}}-\theta \right)={\frac {1}{\tan \theta }}">
          <a:extLst>
            <a:ext uri="{FF2B5EF4-FFF2-40B4-BE49-F238E27FC236}">
              <a16:creationId xmlns:a16="http://schemas.microsoft.com/office/drawing/2014/main" id="{3537285E-A8BA-46E3-B674-BF1EF63A2D3D}"/>
            </a:ext>
          </a:extLst>
        </xdr:cNvPr>
        <xdr:cNvSpPr>
          <a:spLocks noChangeAspect="1" noChangeArrowheads="1"/>
        </xdr:cNvSpPr>
      </xdr:nvSpPr>
      <xdr:spPr bwMode="auto">
        <a:xfrm>
          <a:off x="247650" y="73056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21</xdr:col>
      <xdr:colOff>0</xdr:colOff>
      <xdr:row>33</xdr:row>
      <xdr:rowOff>0</xdr:rowOff>
    </xdr:from>
    <xdr:ext cx="304800" cy="304800"/>
    <xdr:sp macro="" textlink="">
      <xdr:nvSpPr>
        <xdr:cNvPr id="83" name="AutoShape 13" descr="\sec \theta =\csc \left({\frac {\pi }{2}}-\theta \right)={\frac {1}{\cos \theta }}">
          <a:extLst>
            <a:ext uri="{FF2B5EF4-FFF2-40B4-BE49-F238E27FC236}">
              <a16:creationId xmlns:a16="http://schemas.microsoft.com/office/drawing/2014/main" id="{30E883C9-4A3E-4B5F-91EE-3F34BAE80FEF}"/>
            </a:ext>
          </a:extLst>
        </xdr:cNvPr>
        <xdr:cNvSpPr>
          <a:spLocks noChangeAspect="1" noChangeArrowheads="1"/>
        </xdr:cNvSpPr>
      </xdr:nvSpPr>
      <xdr:spPr bwMode="auto">
        <a:xfrm>
          <a:off x="247650" y="73056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21</xdr:col>
      <xdr:colOff>0</xdr:colOff>
      <xdr:row>33</xdr:row>
      <xdr:rowOff>0</xdr:rowOff>
    </xdr:from>
    <xdr:ext cx="304800" cy="304800"/>
    <xdr:sp macro="" textlink="">
      <xdr:nvSpPr>
        <xdr:cNvPr id="84" name="AutoShape 9" descr="\sin \theta =\cos \left({\frac {\pi }{2}}-\theta \right)={\frac {1}{\csc \theta }}">
          <a:extLst>
            <a:ext uri="{FF2B5EF4-FFF2-40B4-BE49-F238E27FC236}">
              <a16:creationId xmlns:a16="http://schemas.microsoft.com/office/drawing/2014/main" id="{8E0FE6C1-7CF2-4090-8610-2AD946D87FA4}"/>
            </a:ext>
          </a:extLst>
        </xdr:cNvPr>
        <xdr:cNvSpPr>
          <a:spLocks noChangeAspect="1" noChangeArrowheads="1"/>
        </xdr:cNvSpPr>
      </xdr:nvSpPr>
      <xdr:spPr bwMode="auto">
        <a:xfrm>
          <a:off x="247650" y="73056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21</xdr:col>
      <xdr:colOff>0</xdr:colOff>
      <xdr:row>33</xdr:row>
      <xdr:rowOff>0</xdr:rowOff>
    </xdr:from>
    <xdr:ext cx="304800" cy="304800"/>
    <xdr:sp macro="" textlink="">
      <xdr:nvSpPr>
        <xdr:cNvPr id="85" name="AutoShape 10" descr="\cos \theta =\sin \left({\frac {\pi }{2}}-\theta \right)={\frac {1}{\sec \theta }}\,">
          <a:extLst>
            <a:ext uri="{FF2B5EF4-FFF2-40B4-BE49-F238E27FC236}">
              <a16:creationId xmlns:a16="http://schemas.microsoft.com/office/drawing/2014/main" id="{19F7122A-AA53-4EBD-837D-92E5494A2D4B}"/>
            </a:ext>
          </a:extLst>
        </xdr:cNvPr>
        <xdr:cNvSpPr>
          <a:spLocks noChangeAspect="1" noChangeArrowheads="1"/>
        </xdr:cNvSpPr>
      </xdr:nvSpPr>
      <xdr:spPr bwMode="auto">
        <a:xfrm>
          <a:off x="247650" y="73056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21</xdr:col>
      <xdr:colOff>0</xdr:colOff>
      <xdr:row>33</xdr:row>
      <xdr:rowOff>0</xdr:rowOff>
    </xdr:from>
    <xdr:ext cx="304800" cy="304800"/>
    <xdr:sp macro="" textlink="">
      <xdr:nvSpPr>
        <xdr:cNvPr id="86" name="AutoShape 11" descr="\tan \theta ={\frac {\sin \theta }{\cos \theta }}=\cot \left({\frac {\pi }{2}}-\theta \right)={\frac {1}{\cot \theta }}">
          <a:extLst>
            <a:ext uri="{FF2B5EF4-FFF2-40B4-BE49-F238E27FC236}">
              <a16:creationId xmlns:a16="http://schemas.microsoft.com/office/drawing/2014/main" id="{F2506DF8-8DAC-4145-A646-BCCB4F282466}"/>
            </a:ext>
          </a:extLst>
        </xdr:cNvPr>
        <xdr:cNvSpPr>
          <a:spLocks noChangeAspect="1" noChangeArrowheads="1"/>
        </xdr:cNvSpPr>
      </xdr:nvSpPr>
      <xdr:spPr bwMode="auto">
        <a:xfrm>
          <a:off x="247650" y="73056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21</xdr:col>
      <xdr:colOff>0</xdr:colOff>
      <xdr:row>33</xdr:row>
      <xdr:rowOff>0</xdr:rowOff>
    </xdr:from>
    <xdr:ext cx="304800" cy="304800"/>
    <xdr:sp macro="" textlink="">
      <xdr:nvSpPr>
        <xdr:cNvPr id="87" name="AutoShape 12" descr="\cot \theta ={\frac {\cos \theta }{\sin \theta }}=\tan \left({\frac {\pi }{2}}-\theta \right)={\frac {1}{\tan \theta }}">
          <a:extLst>
            <a:ext uri="{FF2B5EF4-FFF2-40B4-BE49-F238E27FC236}">
              <a16:creationId xmlns:a16="http://schemas.microsoft.com/office/drawing/2014/main" id="{B2D8FA68-850C-4F97-991D-5F127A85B951}"/>
            </a:ext>
          </a:extLst>
        </xdr:cNvPr>
        <xdr:cNvSpPr>
          <a:spLocks noChangeAspect="1" noChangeArrowheads="1"/>
        </xdr:cNvSpPr>
      </xdr:nvSpPr>
      <xdr:spPr bwMode="auto">
        <a:xfrm>
          <a:off x="247650" y="73056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21</xdr:col>
      <xdr:colOff>0</xdr:colOff>
      <xdr:row>33</xdr:row>
      <xdr:rowOff>0</xdr:rowOff>
    </xdr:from>
    <xdr:ext cx="304800" cy="304800"/>
    <xdr:sp macro="" textlink="">
      <xdr:nvSpPr>
        <xdr:cNvPr id="88" name="AutoShape 13" descr="\sec \theta =\csc \left({\frac {\pi }{2}}-\theta \right)={\frac {1}{\cos \theta }}">
          <a:extLst>
            <a:ext uri="{FF2B5EF4-FFF2-40B4-BE49-F238E27FC236}">
              <a16:creationId xmlns:a16="http://schemas.microsoft.com/office/drawing/2014/main" id="{031975F4-740C-4291-8989-4D347240D12F}"/>
            </a:ext>
          </a:extLst>
        </xdr:cNvPr>
        <xdr:cNvSpPr>
          <a:spLocks noChangeAspect="1" noChangeArrowheads="1"/>
        </xdr:cNvSpPr>
      </xdr:nvSpPr>
      <xdr:spPr bwMode="auto">
        <a:xfrm>
          <a:off x="247650" y="73056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21</xdr:col>
      <xdr:colOff>0</xdr:colOff>
      <xdr:row>33</xdr:row>
      <xdr:rowOff>0</xdr:rowOff>
    </xdr:from>
    <xdr:ext cx="304800" cy="304800"/>
    <xdr:sp macro="" textlink="">
      <xdr:nvSpPr>
        <xdr:cNvPr id="89" name="AutoShape 9" descr="\sin \theta =\cos \left({\frac {\pi }{2}}-\theta \right)={\frac {1}{\csc \theta }}">
          <a:extLst>
            <a:ext uri="{FF2B5EF4-FFF2-40B4-BE49-F238E27FC236}">
              <a16:creationId xmlns:a16="http://schemas.microsoft.com/office/drawing/2014/main" id="{CF42B0FB-4688-45A2-9616-6BF55830D75B}"/>
            </a:ext>
          </a:extLst>
        </xdr:cNvPr>
        <xdr:cNvSpPr>
          <a:spLocks noChangeAspect="1" noChangeArrowheads="1"/>
        </xdr:cNvSpPr>
      </xdr:nvSpPr>
      <xdr:spPr bwMode="auto">
        <a:xfrm>
          <a:off x="1828800" y="73056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21</xdr:col>
      <xdr:colOff>0</xdr:colOff>
      <xdr:row>33</xdr:row>
      <xdr:rowOff>0</xdr:rowOff>
    </xdr:from>
    <xdr:ext cx="304800" cy="304800"/>
    <xdr:sp macro="" textlink="">
      <xdr:nvSpPr>
        <xdr:cNvPr id="90" name="AutoShape 10" descr="\cos \theta =\sin \left({\frac {\pi }{2}}-\theta \right)={\frac {1}{\sec \theta }}\,">
          <a:extLst>
            <a:ext uri="{FF2B5EF4-FFF2-40B4-BE49-F238E27FC236}">
              <a16:creationId xmlns:a16="http://schemas.microsoft.com/office/drawing/2014/main" id="{F4808543-2330-4317-9554-CB96D2E3C92E}"/>
            </a:ext>
          </a:extLst>
        </xdr:cNvPr>
        <xdr:cNvSpPr>
          <a:spLocks noChangeAspect="1" noChangeArrowheads="1"/>
        </xdr:cNvSpPr>
      </xdr:nvSpPr>
      <xdr:spPr bwMode="auto">
        <a:xfrm>
          <a:off x="1828800" y="73056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21</xdr:col>
      <xdr:colOff>0</xdr:colOff>
      <xdr:row>33</xdr:row>
      <xdr:rowOff>0</xdr:rowOff>
    </xdr:from>
    <xdr:ext cx="304800" cy="304800"/>
    <xdr:sp macro="" textlink="">
      <xdr:nvSpPr>
        <xdr:cNvPr id="91" name="AutoShape 11" descr="\tan \theta ={\frac {\sin \theta }{\cos \theta }}=\cot \left({\frac {\pi }{2}}-\theta \right)={\frac {1}{\cot \theta }}">
          <a:extLst>
            <a:ext uri="{FF2B5EF4-FFF2-40B4-BE49-F238E27FC236}">
              <a16:creationId xmlns:a16="http://schemas.microsoft.com/office/drawing/2014/main" id="{8E20DD4A-D7E6-4010-A477-8017393EEA9B}"/>
            </a:ext>
          </a:extLst>
        </xdr:cNvPr>
        <xdr:cNvSpPr>
          <a:spLocks noChangeAspect="1" noChangeArrowheads="1"/>
        </xdr:cNvSpPr>
      </xdr:nvSpPr>
      <xdr:spPr bwMode="auto">
        <a:xfrm>
          <a:off x="1828800" y="73056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21</xdr:col>
      <xdr:colOff>0</xdr:colOff>
      <xdr:row>33</xdr:row>
      <xdr:rowOff>0</xdr:rowOff>
    </xdr:from>
    <xdr:ext cx="304800" cy="304800"/>
    <xdr:sp macro="" textlink="">
      <xdr:nvSpPr>
        <xdr:cNvPr id="92" name="AutoShape 12" descr="\cot \theta ={\frac {\cos \theta }{\sin \theta }}=\tan \left({\frac {\pi }{2}}-\theta \right)={\frac {1}{\tan \theta }}">
          <a:extLst>
            <a:ext uri="{FF2B5EF4-FFF2-40B4-BE49-F238E27FC236}">
              <a16:creationId xmlns:a16="http://schemas.microsoft.com/office/drawing/2014/main" id="{4BBF146C-DD67-4401-846B-5AAB4D9010E2}"/>
            </a:ext>
          </a:extLst>
        </xdr:cNvPr>
        <xdr:cNvSpPr>
          <a:spLocks noChangeAspect="1" noChangeArrowheads="1"/>
        </xdr:cNvSpPr>
      </xdr:nvSpPr>
      <xdr:spPr bwMode="auto">
        <a:xfrm>
          <a:off x="1828800" y="73056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21</xdr:col>
      <xdr:colOff>0</xdr:colOff>
      <xdr:row>33</xdr:row>
      <xdr:rowOff>0</xdr:rowOff>
    </xdr:from>
    <xdr:ext cx="304800" cy="304800"/>
    <xdr:sp macro="" textlink="">
      <xdr:nvSpPr>
        <xdr:cNvPr id="93" name="AutoShape 13" descr="\sec \theta =\csc \left({\frac {\pi }{2}}-\theta \right)={\frac {1}{\cos \theta }}">
          <a:extLst>
            <a:ext uri="{FF2B5EF4-FFF2-40B4-BE49-F238E27FC236}">
              <a16:creationId xmlns:a16="http://schemas.microsoft.com/office/drawing/2014/main" id="{12CB952C-54F3-4CD9-99C8-14FDD5E043F9}"/>
            </a:ext>
          </a:extLst>
        </xdr:cNvPr>
        <xdr:cNvSpPr>
          <a:spLocks noChangeAspect="1" noChangeArrowheads="1"/>
        </xdr:cNvSpPr>
      </xdr:nvSpPr>
      <xdr:spPr bwMode="auto">
        <a:xfrm>
          <a:off x="1828800" y="73056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21</xdr:col>
      <xdr:colOff>0</xdr:colOff>
      <xdr:row>33</xdr:row>
      <xdr:rowOff>0</xdr:rowOff>
    </xdr:from>
    <xdr:ext cx="304800" cy="304800"/>
    <xdr:sp macro="" textlink="">
      <xdr:nvSpPr>
        <xdr:cNvPr id="94" name="AutoShape 9" descr="\sin \theta =\cos \left({\frac {\pi }{2}}-\theta \right)={\frac {1}{\csc \theta }}">
          <a:extLst>
            <a:ext uri="{FF2B5EF4-FFF2-40B4-BE49-F238E27FC236}">
              <a16:creationId xmlns:a16="http://schemas.microsoft.com/office/drawing/2014/main" id="{3DA2068E-9682-4F39-9776-0CB7B3203918}"/>
            </a:ext>
          </a:extLst>
        </xdr:cNvPr>
        <xdr:cNvSpPr>
          <a:spLocks noChangeAspect="1" noChangeArrowheads="1"/>
        </xdr:cNvSpPr>
      </xdr:nvSpPr>
      <xdr:spPr bwMode="auto">
        <a:xfrm>
          <a:off x="2876550" y="73056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21</xdr:col>
      <xdr:colOff>0</xdr:colOff>
      <xdr:row>33</xdr:row>
      <xdr:rowOff>0</xdr:rowOff>
    </xdr:from>
    <xdr:ext cx="304800" cy="304800"/>
    <xdr:sp macro="" textlink="">
      <xdr:nvSpPr>
        <xdr:cNvPr id="95" name="AutoShape 10" descr="\cos \theta =\sin \left({\frac {\pi }{2}}-\theta \right)={\frac {1}{\sec \theta }}\,">
          <a:extLst>
            <a:ext uri="{FF2B5EF4-FFF2-40B4-BE49-F238E27FC236}">
              <a16:creationId xmlns:a16="http://schemas.microsoft.com/office/drawing/2014/main" id="{F616379F-A18B-4713-814E-CCB9A5D76B33}"/>
            </a:ext>
          </a:extLst>
        </xdr:cNvPr>
        <xdr:cNvSpPr>
          <a:spLocks noChangeAspect="1" noChangeArrowheads="1"/>
        </xdr:cNvSpPr>
      </xdr:nvSpPr>
      <xdr:spPr bwMode="auto">
        <a:xfrm>
          <a:off x="2876550" y="73056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21</xdr:col>
      <xdr:colOff>0</xdr:colOff>
      <xdr:row>33</xdr:row>
      <xdr:rowOff>0</xdr:rowOff>
    </xdr:from>
    <xdr:ext cx="304800" cy="304800"/>
    <xdr:sp macro="" textlink="">
      <xdr:nvSpPr>
        <xdr:cNvPr id="96" name="AutoShape 11" descr="\tan \theta ={\frac {\sin \theta }{\cos \theta }}=\cot \left({\frac {\pi }{2}}-\theta \right)={\frac {1}{\cot \theta }}">
          <a:extLst>
            <a:ext uri="{FF2B5EF4-FFF2-40B4-BE49-F238E27FC236}">
              <a16:creationId xmlns:a16="http://schemas.microsoft.com/office/drawing/2014/main" id="{6FB0D9D3-5552-41C2-A53E-2DCCF80255B7}"/>
            </a:ext>
          </a:extLst>
        </xdr:cNvPr>
        <xdr:cNvSpPr>
          <a:spLocks noChangeAspect="1" noChangeArrowheads="1"/>
        </xdr:cNvSpPr>
      </xdr:nvSpPr>
      <xdr:spPr bwMode="auto">
        <a:xfrm>
          <a:off x="2876550" y="73056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21</xdr:col>
      <xdr:colOff>0</xdr:colOff>
      <xdr:row>33</xdr:row>
      <xdr:rowOff>0</xdr:rowOff>
    </xdr:from>
    <xdr:ext cx="304800" cy="304800"/>
    <xdr:sp macro="" textlink="">
      <xdr:nvSpPr>
        <xdr:cNvPr id="97" name="AutoShape 12" descr="\cot \theta ={\frac {\cos \theta }{\sin \theta }}=\tan \left({\frac {\pi }{2}}-\theta \right)={\frac {1}{\tan \theta }}">
          <a:extLst>
            <a:ext uri="{FF2B5EF4-FFF2-40B4-BE49-F238E27FC236}">
              <a16:creationId xmlns:a16="http://schemas.microsoft.com/office/drawing/2014/main" id="{BB8B5230-3B46-4A09-9D24-78933895112F}"/>
            </a:ext>
          </a:extLst>
        </xdr:cNvPr>
        <xdr:cNvSpPr>
          <a:spLocks noChangeAspect="1" noChangeArrowheads="1"/>
        </xdr:cNvSpPr>
      </xdr:nvSpPr>
      <xdr:spPr bwMode="auto">
        <a:xfrm>
          <a:off x="2876550" y="73056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21</xdr:col>
      <xdr:colOff>0</xdr:colOff>
      <xdr:row>33</xdr:row>
      <xdr:rowOff>0</xdr:rowOff>
    </xdr:from>
    <xdr:ext cx="304800" cy="304800"/>
    <xdr:sp macro="" textlink="">
      <xdr:nvSpPr>
        <xdr:cNvPr id="98" name="AutoShape 13" descr="\sec \theta =\csc \left({\frac {\pi }{2}}-\theta \right)={\frac {1}{\cos \theta }}">
          <a:extLst>
            <a:ext uri="{FF2B5EF4-FFF2-40B4-BE49-F238E27FC236}">
              <a16:creationId xmlns:a16="http://schemas.microsoft.com/office/drawing/2014/main" id="{8AF1F7F8-437E-46B3-8F20-9CB11A1A06FD}"/>
            </a:ext>
          </a:extLst>
        </xdr:cNvPr>
        <xdr:cNvSpPr>
          <a:spLocks noChangeAspect="1" noChangeArrowheads="1"/>
        </xdr:cNvSpPr>
      </xdr:nvSpPr>
      <xdr:spPr bwMode="auto">
        <a:xfrm>
          <a:off x="2876550" y="73056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21</xdr:col>
      <xdr:colOff>0</xdr:colOff>
      <xdr:row>33</xdr:row>
      <xdr:rowOff>0</xdr:rowOff>
    </xdr:from>
    <xdr:ext cx="304800" cy="304800"/>
    <xdr:sp macro="" textlink="">
      <xdr:nvSpPr>
        <xdr:cNvPr id="99" name="AutoShape 9" descr="\sin \theta =\cos \left({\frac {\pi }{2}}-\theta \right)={\frac {1}{\csc \theta }}">
          <a:extLst>
            <a:ext uri="{FF2B5EF4-FFF2-40B4-BE49-F238E27FC236}">
              <a16:creationId xmlns:a16="http://schemas.microsoft.com/office/drawing/2014/main" id="{EBE8ECD9-9EB4-4105-A8DB-6276BD1D91C7}"/>
            </a:ext>
          </a:extLst>
        </xdr:cNvPr>
        <xdr:cNvSpPr>
          <a:spLocks noChangeAspect="1" noChangeArrowheads="1"/>
        </xdr:cNvSpPr>
      </xdr:nvSpPr>
      <xdr:spPr bwMode="auto">
        <a:xfrm>
          <a:off x="3924300" y="73056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21</xdr:col>
      <xdr:colOff>0</xdr:colOff>
      <xdr:row>33</xdr:row>
      <xdr:rowOff>0</xdr:rowOff>
    </xdr:from>
    <xdr:ext cx="304800" cy="304800"/>
    <xdr:sp macro="" textlink="">
      <xdr:nvSpPr>
        <xdr:cNvPr id="100" name="AutoShape 10" descr="\cos \theta =\sin \left({\frac {\pi }{2}}-\theta \right)={\frac {1}{\sec \theta }}\,">
          <a:extLst>
            <a:ext uri="{FF2B5EF4-FFF2-40B4-BE49-F238E27FC236}">
              <a16:creationId xmlns:a16="http://schemas.microsoft.com/office/drawing/2014/main" id="{554729F4-8E68-460A-BE17-55EBE1B80C26}"/>
            </a:ext>
          </a:extLst>
        </xdr:cNvPr>
        <xdr:cNvSpPr>
          <a:spLocks noChangeAspect="1" noChangeArrowheads="1"/>
        </xdr:cNvSpPr>
      </xdr:nvSpPr>
      <xdr:spPr bwMode="auto">
        <a:xfrm>
          <a:off x="3924300" y="73056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21</xdr:col>
      <xdr:colOff>0</xdr:colOff>
      <xdr:row>33</xdr:row>
      <xdr:rowOff>0</xdr:rowOff>
    </xdr:from>
    <xdr:ext cx="304800" cy="304800"/>
    <xdr:sp macro="" textlink="">
      <xdr:nvSpPr>
        <xdr:cNvPr id="101" name="AutoShape 11" descr="\tan \theta ={\frac {\sin \theta }{\cos \theta }}=\cot \left({\frac {\pi }{2}}-\theta \right)={\frac {1}{\cot \theta }}">
          <a:extLst>
            <a:ext uri="{FF2B5EF4-FFF2-40B4-BE49-F238E27FC236}">
              <a16:creationId xmlns:a16="http://schemas.microsoft.com/office/drawing/2014/main" id="{0B3EA839-DA70-47A1-9D1B-FCA36505860B}"/>
            </a:ext>
          </a:extLst>
        </xdr:cNvPr>
        <xdr:cNvSpPr>
          <a:spLocks noChangeAspect="1" noChangeArrowheads="1"/>
        </xdr:cNvSpPr>
      </xdr:nvSpPr>
      <xdr:spPr bwMode="auto">
        <a:xfrm>
          <a:off x="3924300" y="73056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21</xdr:col>
      <xdr:colOff>0</xdr:colOff>
      <xdr:row>33</xdr:row>
      <xdr:rowOff>0</xdr:rowOff>
    </xdr:from>
    <xdr:ext cx="304800" cy="304800"/>
    <xdr:sp macro="" textlink="">
      <xdr:nvSpPr>
        <xdr:cNvPr id="102" name="AutoShape 12" descr="\cot \theta ={\frac {\cos \theta }{\sin \theta }}=\tan \left({\frac {\pi }{2}}-\theta \right)={\frac {1}{\tan \theta }}">
          <a:extLst>
            <a:ext uri="{FF2B5EF4-FFF2-40B4-BE49-F238E27FC236}">
              <a16:creationId xmlns:a16="http://schemas.microsoft.com/office/drawing/2014/main" id="{43D0EE2C-BAF2-4421-B5E9-FC471507F3A2}"/>
            </a:ext>
          </a:extLst>
        </xdr:cNvPr>
        <xdr:cNvSpPr>
          <a:spLocks noChangeAspect="1" noChangeArrowheads="1"/>
        </xdr:cNvSpPr>
      </xdr:nvSpPr>
      <xdr:spPr bwMode="auto">
        <a:xfrm>
          <a:off x="3924300" y="73056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21</xdr:col>
      <xdr:colOff>0</xdr:colOff>
      <xdr:row>33</xdr:row>
      <xdr:rowOff>0</xdr:rowOff>
    </xdr:from>
    <xdr:ext cx="304800" cy="304800"/>
    <xdr:sp macro="" textlink="">
      <xdr:nvSpPr>
        <xdr:cNvPr id="103" name="AutoShape 13" descr="\sec \theta =\csc \left({\frac {\pi }{2}}-\theta \right)={\frac {1}{\cos \theta }}">
          <a:extLst>
            <a:ext uri="{FF2B5EF4-FFF2-40B4-BE49-F238E27FC236}">
              <a16:creationId xmlns:a16="http://schemas.microsoft.com/office/drawing/2014/main" id="{458B32AD-1DA1-4B69-AA2C-9009F2B0E9D4}"/>
            </a:ext>
          </a:extLst>
        </xdr:cNvPr>
        <xdr:cNvSpPr>
          <a:spLocks noChangeAspect="1" noChangeArrowheads="1"/>
        </xdr:cNvSpPr>
      </xdr:nvSpPr>
      <xdr:spPr bwMode="auto">
        <a:xfrm>
          <a:off x="3924300" y="73056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21</xdr:col>
      <xdr:colOff>0</xdr:colOff>
      <xdr:row>33</xdr:row>
      <xdr:rowOff>0</xdr:rowOff>
    </xdr:from>
    <xdr:ext cx="304800" cy="304800"/>
    <xdr:sp macro="" textlink="">
      <xdr:nvSpPr>
        <xdr:cNvPr id="104" name="AutoShape 9" descr="\sin \theta =\cos \left({\frac {\pi }{2}}-\theta \right)={\frac {1}{\csc \theta }}">
          <a:extLst>
            <a:ext uri="{FF2B5EF4-FFF2-40B4-BE49-F238E27FC236}">
              <a16:creationId xmlns:a16="http://schemas.microsoft.com/office/drawing/2014/main" id="{2D99C2FF-6139-4D09-8539-18D281F0D388}"/>
            </a:ext>
          </a:extLst>
        </xdr:cNvPr>
        <xdr:cNvSpPr>
          <a:spLocks noChangeAspect="1" noChangeArrowheads="1"/>
        </xdr:cNvSpPr>
      </xdr:nvSpPr>
      <xdr:spPr bwMode="auto">
        <a:xfrm>
          <a:off x="4972050" y="73056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21</xdr:col>
      <xdr:colOff>0</xdr:colOff>
      <xdr:row>33</xdr:row>
      <xdr:rowOff>0</xdr:rowOff>
    </xdr:from>
    <xdr:ext cx="304800" cy="304800"/>
    <xdr:sp macro="" textlink="">
      <xdr:nvSpPr>
        <xdr:cNvPr id="105" name="AutoShape 10" descr="\cos \theta =\sin \left({\frac {\pi }{2}}-\theta \right)={\frac {1}{\sec \theta }}\,">
          <a:extLst>
            <a:ext uri="{FF2B5EF4-FFF2-40B4-BE49-F238E27FC236}">
              <a16:creationId xmlns:a16="http://schemas.microsoft.com/office/drawing/2014/main" id="{0F72DF2B-E6C8-4FAA-BDD5-48FCD3020EF8}"/>
            </a:ext>
          </a:extLst>
        </xdr:cNvPr>
        <xdr:cNvSpPr>
          <a:spLocks noChangeAspect="1" noChangeArrowheads="1"/>
        </xdr:cNvSpPr>
      </xdr:nvSpPr>
      <xdr:spPr bwMode="auto">
        <a:xfrm>
          <a:off x="4972050" y="73056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21</xdr:col>
      <xdr:colOff>0</xdr:colOff>
      <xdr:row>33</xdr:row>
      <xdr:rowOff>0</xdr:rowOff>
    </xdr:from>
    <xdr:ext cx="304800" cy="304800"/>
    <xdr:sp macro="" textlink="">
      <xdr:nvSpPr>
        <xdr:cNvPr id="106" name="AutoShape 11" descr="\tan \theta ={\frac {\sin \theta }{\cos \theta }}=\cot \left({\frac {\pi }{2}}-\theta \right)={\frac {1}{\cot \theta }}">
          <a:extLst>
            <a:ext uri="{FF2B5EF4-FFF2-40B4-BE49-F238E27FC236}">
              <a16:creationId xmlns:a16="http://schemas.microsoft.com/office/drawing/2014/main" id="{74FFF409-5894-4459-BA3C-22C9625EED24}"/>
            </a:ext>
          </a:extLst>
        </xdr:cNvPr>
        <xdr:cNvSpPr>
          <a:spLocks noChangeAspect="1" noChangeArrowheads="1"/>
        </xdr:cNvSpPr>
      </xdr:nvSpPr>
      <xdr:spPr bwMode="auto">
        <a:xfrm>
          <a:off x="4972050" y="73056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21</xdr:col>
      <xdr:colOff>0</xdr:colOff>
      <xdr:row>33</xdr:row>
      <xdr:rowOff>0</xdr:rowOff>
    </xdr:from>
    <xdr:ext cx="304800" cy="304800"/>
    <xdr:sp macro="" textlink="">
      <xdr:nvSpPr>
        <xdr:cNvPr id="107" name="AutoShape 12" descr="\cot \theta ={\frac {\cos \theta }{\sin \theta }}=\tan \left({\frac {\pi }{2}}-\theta \right)={\frac {1}{\tan \theta }}">
          <a:extLst>
            <a:ext uri="{FF2B5EF4-FFF2-40B4-BE49-F238E27FC236}">
              <a16:creationId xmlns:a16="http://schemas.microsoft.com/office/drawing/2014/main" id="{383C5C43-1FF9-452F-A964-627402EC59F4}"/>
            </a:ext>
          </a:extLst>
        </xdr:cNvPr>
        <xdr:cNvSpPr>
          <a:spLocks noChangeAspect="1" noChangeArrowheads="1"/>
        </xdr:cNvSpPr>
      </xdr:nvSpPr>
      <xdr:spPr bwMode="auto">
        <a:xfrm>
          <a:off x="4972050" y="73056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21</xdr:col>
      <xdr:colOff>0</xdr:colOff>
      <xdr:row>33</xdr:row>
      <xdr:rowOff>0</xdr:rowOff>
    </xdr:from>
    <xdr:ext cx="304800" cy="304800"/>
    <xdr:sp macro="" textlink="">
      <xdr:nvSpPr>
        <xdr:cNvPr id="108" name="AutoShape 13" descr="\sec \theta =\csc \left({\frac {\pi }{2}}-\theta \right)={\frac {1}{\cos \theta }}">
          <a:extLst>
            <a:ext uri="{FF2B5EF4-FFF2-40B4-BE49-F238E27FC236}">
              <a16:creationId xmlns:a16="http://schemas.microsoft.com/office/drawing/2014/main" id="{9109C358-4E89-4E55-9736-1C5BD6854EAA}"/>
            </a:ext>
          </a:extLst>
        </xdr:cNvPr>
        <xdr:cNvSpPr>
          <a:spLocks noChangeAspect="1" noChangeArrowheads="1"/>
        </xdr:cNvSpPr>
      </xdr:nvSpPr>
      <xdr:spPr bwMode="auto">
        <a:xfrm>
          <a:off x="4972050" y="73056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21</xdr:col>
      <xdr:colOff>0</xdr:colOff>
      <xdr:row>33</xdr:row>
      <xdr:rowOff>0</xdr:rowOff>
    </xdr:from>
    <xdr:ext cx="304800" cy="304800"/>
    <xdr:sp macro="" textlink="">
      <xdr:nvSpPr>
        <xdr:cNvPr id="109" name="AutoShape 9" descr="\sin \theta =\cos \left({\frac {\pi }{2}}-\theta \right)={\frac {1}{\csc \theta }}">
          <a:extLst>
            <a:ext uri="{FF2B5EF4-FFF2-40B4-BE49-F238E27FC236}">
              <a16:creationId xmlns:a16="http://schemas.microsoft.com/office/drawing/2014/main" id="{026760E1-9B47-49A8-82F0-2686D29EB688}"/>
            </a:ext>
          </a:extLst>
        </xdr:cNvPr>
        <xdr:cNvSpPr>
          <a:spLocks noChangeAspect="1" noChangeArrowheads="1"/>
        </xdr:cNvSpPr>
      </xdr:nvSpPr>
      <xdr:spPr bwMode="auto">
        <a:xfrm>
          <a:off x="5686425" y="73056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21</xdr:col>
      <xdr:colOff>0</xdr:colOff>
      <xdr:row>33</xdr:row>
      <xdr:rowOff>0</xdr:rowOff>
    </xdr:from>
    <xdr:ext cx="304800" cy="304800"/>
    <xdr:sp macro="" textlink="">
      <xdr:nvSpPr>
        <xdr:cNvPr id="110" name="AutoShape 10" descr="\cos \theta =\sin \left({\frac {\pi }{2}}-\theta \right)={\frac {1}{\sec \theta }}\,">
          <a:extLst>
            <a:ext uri="{FF2B5EF4-FFF2-40B4-BE49-F238E27FC236}">
              <a16:creationId xmlns:a16="http://schemas.microsoft.com/office/drawing/2014/main" id="{1B2B3853-2494-42D4-9F94-5006791A0C59}"/>
            </a:ext>
          </a:extLst>
        </xdr:cNvPr>
        <xdr:cNvSpPr>
          <a:spLocks noChangeAspect="1" noChangeArrowheads="1"/>
        </xdr:cNvSpPr>
      </xdr:nvSpPr>
      <xdr:spPr bwMode="auto">
        <a:xfrm>
          <a:off x="5686425" y="73056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21</xdr:col>
      <xdr:colOff>0</xdr:colOff>
      <xdr:row>33</xdr:row>
      <xdr:rowOff>0</xdr:rowOff>
    </xdr:from>
    <xdr:ext cx="304800" cy="304800"/>
    <xdr:sp macro="" textlink="">
      <xdr:nvSpPr>
        <xdr:cNvPr id="111" name="AutoShape 11" descr="\tan \theta ={\frac {\sin \theta }{\cos \theta }}=\cot \left({\frac {\pi }{2}}-\theta \right)={\frac {1}{\cot \theta }}">
          <a:extLst>
            <a:ext uri="{FF2B5EF4-FFF2-40B4-BE49-F238E27FC236}">
              <a16:creationId xmlns:a16="http://schemas.microsoft.com/office/drawing/2014/main" id="{828EA556-DA16-4159-9455-AAB04706455C}"/>
            </a:ext>
          </a:extLst>
        </xdr:cNvPr>
        <xdr:cNvSpPr>
          <a:spLocks noChangeAspect="1" noChangeArrowheads="1"/>
        </xdr:cNvSpPr>
      </xdr:nvSpPr>
      <xdr:spPr bwMode="auto">
        <a:xfrm>
          <a:off x="5686425" y="73056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21</xdr:col>
      <xdr:colOff>0</xdr:colOff>
      <xdr:row>33</xdr:row>
      <xdr:rowOff>0</xdr:rowOff>
    </xdr:from>
    <xdr:ext cx="304800" cy="304800"/>
    <xdr:sp macro="" textlink="">
      <xdr:nvSpPr>
        <xdr:cNvPr id="112" name="AutoShape 12" descr="\cot \theta ={\frac {\cos \theta }{\sin \theta }}=\tan \left({\frac {\pi }{2}}-\theta \right)={\frac {1}{\tan \theta }}">
          <a:extLst>
            <a:ext uri="{FF2B5EF4-FFF2-40B4-BE49-F238E27FC236}">
              <a16:creationId xmlns:a16="http://schemas.microsoft.com/office/drawing/2014/main" id="{2D2A23E2-2C9A-4EDC-B7F3-5377084D278C}"/>
            </a:ext>
          </a:extLst>
        </xdr:cNvPr>
        <xdr:cNvSpPr>
          <a:spLocks noChangeAspect="1" noChangeArrowheads="1"/>
        </xdr:cNvSpPr>
      </xdr:nvSpPr>
      <xdr:spPr bwMode="auto">
        <a:xfrm>
          <a:off x="5686425" y="73056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21</xdr:col>
      <xdr:colOff>0</xdr:colOff>
      <xdr:row>33</xdr:row>
      <xdr:rowOff>0</xdr:rowOff>
    </xdr:from>
    <xdr:ext cx="304800" cy="304800"/>
    <xdr:sp macro="" textlink="">
      <xdr:nvSpPr>
        <xdr:cNvPr id="113" name="AutoShape 13" descr="\sec \theta =\csc \left({\frac {\pi }{2}}-\theta \right)={\frac {1}{\cos \theta }}">
          <a:extLst>
            <a:ext uri="{FF2B5EF4-FFF2-40B4-BE49-F238E27FC236}">
              <a16:creationId xmlns:a16="http://schemas.microsoft.com/office/drawing/2014/main" id="{78017577-7111-40AE-95FE-005A57758E58}"/>
            </a:ext>
          </a:extLst>
        </xdr:cNvPr>
        <xdr:cNvSpPr>
          <a:spLocks noChangeAspect="1" noChangeArrowheads="1"/>
        </xdr:cNvSpPr>
      </xdr:nvSpPr>
      <xdr:spPr bwMode="auto">
        <a:xfrm>
          <a:off x="5686425" y="73056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21</xdr:col>
      <xdr:colOff>0</xdr:colOff>
      <xdr:row>33</xdr:row>
      <xdr:rowOff>0</xdr:rowOff>
    </xdr:from>
    <xdr:ext cx="304800" cy="304800"/>
    <xdr:sp macro="" textlink="">
      <xdr:nvSpPr>
        <xdr:cNvPr id="114" name="AutoShape 9" descr="\sin \theta =\cos \left({\frac {\pi }{2}}-\theta \right)={\frac {1}{\csc \theta }}">
          <a:extLst>
            <a:ext uri="{FF2B5EF4-FFF2-40B4-BE49-F238E27FC236}">
              <a16:creationId xmlns:a16="http://schemas.microsoft.com/office/drawing/2014/main" id="{B6F28344-931F-4761-A3AF-FC792527BCD7}"/>
            </a:ext>
          </a:extLst>
        </xdr:cNvPr>
        <xdr:cNvSpPr>
          <a:spLocks noChangeAspect="1" noChangeArrowheads="1"/>
        </xdr:cNvSpPr>
      </xdr:nvSpPr>
      <xdr:spPr bwMode="auto">
        <a:xfrm>
          <a:off x="5934075" y="73056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21</xdr:col>
      <xdr:colOff>0</xdr:colOff>
      <xdr:row>33</xdr:row>
      <xdr:rowOff>0</xdr:rowOff>
    </xdr:from>
    <xdr:ext cx="304800" cy="304800"/>
    <xdr:sp macro="" textlink="">
      <xdr:nvSpPr>
        <xdr:cNvPr id="115" name="AutoShape 10" descr="\cos \theta =\sin \left({\frac {\pi }{2}}-\theta \right)={\frac {1}{\sec \theta }}\,">
          <a:extLst>
            <a:ext uri="{FF2B5EF4-FFF2-40B4-BE49-F238E27FC236}">
              <a16:creationId xmlns:a16="http://schemas.microsoft.com/office/drawing/2014/main" id="{CB975424-21CE-4752-B442-40F1B32C34B3}"/>
            </a:ext>
          </a:extLst>
        </xdr:cNvPr>
        <xdr:cNvSpPr>
          <a:spLocks noChangeAspect="1" noChangeArrowheads="1"/>
        </xdr:cNvSpPr>
      </xdr:nvSpPr>
      <xdr:spPr bwMode="auto">
        <a:xfrm>
          <a:off x="5934075" y="73056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21</xdr:col>
      <xdr:colOff>0</xdr:colOff>
      <xdr:row>33</xdr:row>
      <xdr:rowOff>0</xdr:rowOff>
    </xdr:from>
    <xdr:ext cx="304800" cy="304800"/>
    <xdr:sp macro="" textlink="">
      <xdr:nvSpPr>
        <xdr:cNvPr id="116" name="AutoShape 11" descr="\tan \theta ={\frac {\sin \theta }{\cos \theta }}=\cot \left({\frac {\pi }{2}}-\theta \right)={\frac {1}{\cot \theta }}">
          <a:extLst>
            <a:ext uri="{FF2B5EF4-FFF2-40B4-BE49-F238E27FC236}">
              <a16:creationId xmlns:a16="http://schemas.microsoft.com/office/drawing/2014/main" id="{D6D5D4EE-FF07-442A-9BA9-5CEB8EB737AB}"/>
            </a:ext>
          </a:extLst>
        </xdr:cNvPr>
        <xdr:cNvSpPr>
          <a:spLocks noChangeAspect="1" noChangeArrowheads="1"/>
        </xdr:cNvSpPr>
      </xdr:nvSpPr>
      <xdr:spPr bwMode="auto">
        <a:xfrm>
          <a:off x="5934075" y="73056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21</xdr:col>
      <xdr:colOff>0</xdr:colOff>
      <xdr:row>33</xdr:row>
      <xdr:rowOff>0</xdr:rowOff>
    </xdr:from>
    <xdr:ext cx="304800" cy="304800"/>
    <xdr:sp macro="" textlink="">
      <xdr:nvSpPr>
        <xdr:cNvPr id="117" name="AutoShape 12" descr="\cot \theta ={\frac {\cos \theta }{\sin \theta }}=\tan \left({\frac {\pi }{2}}-\theta \right)={\frac {1}{\tan \theta }}">
          <a:extLst>
            <a:ext uri="{FF2B5EF4-FFF2-40B4-BE49-F238E27FC236}">
              <a16:creationId xmlns:a16="http://schemas.microsoft.com/office/drawing/2014/main" id="{7B60739D-9711-4A92-8478-382CF9C63758}"/>
            </a:ext>
          </a:extLst>
        </xdr:cNvPr>
        <xdr:cNvSpPr>
          <a:spLocks noChangeAspect="1" noChangeArrowheads="1"/>
        </xdr:cNvSpPr>
      </xdr:nvSpPr>
      <xdr:spPr bwMode="auto">
        <a:xfrm>
          <a:off x="5934075" y="73056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21</xdr:col>
      <xdr:colOff>0</xdr:colOff>
      <xdr:row>33</xdr:row>
      <xdr:rowOff>0</xdr:rowOff>
    </xdr:from>
    <xdr:ext cx="304800" cy="304800"/>
    <xdr:sp macro="" textlink="">
      <xdr:nvSpPr>
        <xdr:cNvPr id="118" name="AutoShape 13" descr="\sec \theta =\csc \left({\frac {\pi }{2}}-\theta \right)={\frac {1}{\cos \theta }}">
          <a:extLst>
            <a:ext uri="{FF2B5EF4-FFF2-40B4-BE49-F238E27FC236}">
              <a16:creationId xmlns:a16="http://schemas.microsoft.com/office/drawing/2014/main" id="{AE3B8DF2-EEEA-4187-8F2F-5F292B7B5F42}"/>
            </a:ext>
          </a:extLst>
        </xdr:cNvPr>
        <xdr:cNvSpPr>
          <a:spLocks noChangeAspect="1" noChangeArrowheads="1"/>
        </xdr:cNvSpPr>
      </xdr:nvSpPr>
      <xdr:spPr bwMode="auto">
        <a:xfrm>
          <a:off x="5934075" y="73056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21</xdr:col>
      <xdr:colOff>0</xdr:colOff>
      <xdr:row>33</xdr:row>
      <xdr:rowOff>0</xdr:rowOff>
    </xdr:from>
    <xdr:ext cx="304800" cy="304800"/>
    <xdr:sp macro="" textlink="">
      <xdr:nvSpPr>
        <xdr:cNvPr id="119" name="AutoShape 9" descr="\sin \theta =\cos \left({\frac {\pi }{2}}-\theta \right)={\frac {1}{\csc \theta }}">
          <a:extLst>
            <a:ext uri="{FF2B5EF4-FFF2-40B4-BE49-F238E27FC236}">
              <a16:creationId xmlns:a16="http://schemas.microsoft.com/office/drawing/2014/main" id="{CB0E1A2B-89FC-42CE-9860-6DCDA2C9465C}"/>
            </a:ext>
          </a:extLst>
        </xdr:cNvPr>
        <xdr:cNvSpPr>
          <a:spLocks noChangeAspect="1" noChangeArrowheads="1"/>
        </xdr:cNvSpPr>
      </xdr:nvSpPr>
      <xdr:spPr bwMode="auto">
        <a:xfrm>
          <a:off x="6515100" y="73056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21</xdr:col>
      <xdr:colOff>0</xdr:colOff>
      <xdr:row>33</xdr:row>
      <xdr:rowOff>0</xdr:rowOff>
    </xdr:from>
    <xdr:ext cx="304800" cy="304800"/>
    <xdr:sp macro="" textlink="">
      <xdr:nvSpPr>
        <xdr:cNvPr id="120" name="AutoShape 10" descr="\cos \theta =\sin \left({\frac {\pi }{2}}-\theta \right)={\frac {1}{\sec \theta }}\,">
          <a:extLst>
            <a:ext uri="{FF2B5EF4-FFF2-40B4-BE49-F238E27FC236}">
              <a16:creationId xmlns:a16="http://schemas.microsoft.com/office/drawing/2014/main" id="{1A708885-F274-4A66-90CB-BC0A0F36BDDB}"/>
            </a:ext>
          </a:extLst>
        </xdr:cNvPr>
        <xdr:cNvSpPr>
          <a:spLocks noChangeAspect="1" noChangeArrowheads="1"/>
        </xdr:cNvSpPr>
      </xdr:nvSpPr>
      <xdr:spPr bwMode="auto">
        <a:xfrm>
          <a:off x="6515100" y="73056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21</xdr:col>
      <xdr:colOff>0</xdr:colOff>
      <xdr:row>33</xdr:row>
      <xdr:rowOff>0</xdr:rowOff>
    </xdr:from>
    <xdr:ext cx="304800" cy="304800"/>
    <xdr:sp macro="" textlink="">
      <xdr:nvSpPr>
        <xdr:cNvPr id="121" name="AutoShape 11" descr="\tan \theta ={\frac {\sin \theta }{\cos \theta }}=\cot \left({\frac {\pi }{2}}-\theta \right)={\frac {1}{\cot \theta }}">
          <a:extLst>
            <a:ext uri="{FF2B5EF4-FFF2-40B4-BE49-F238E27FC236}">
              <a16:creationId xmlns:a16="http://schemas.microsoft.com/office/drawing/2014/main" id="{8084B657-91CA-454B-9AA7-CF7A58169D5E}"/>
            </a:ext>
          </a:extLst>
        </xdr:cNvPr>
        <xdr:cNvSpPr>
          <a:spLocks noChangeAspect="1" noChangeArrowheads="1"/>
        </xdr:cNvSpPr>
      </xdr:nvSpPr>
      <xdr:spPr bwMode="auto">
        <a:xfrm>
          <a:off x="6515100" y="73056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21</xdr:col>
      <xdr:colOff>0</xdr:colOff>
      <xdr:row>33</xdr:row>
      <xdr:rowOff>0</xdr:rowOff>
    </xdr:from>
    <xdr:ext cx="304800" cy="304800"/>
    <xdr:sp macro="" textlink="">
      <xdr:nvSpPr>
        <xdr:cNvPr id="122" name="AutoShape 12" descr="\cot \theta ={\frac {\cos \theta }{\sin \theta }}=\tan \left({\frac {\pi }{2}}-\theta \right)={\frac {1}{\tan \theta }}">
          <a:extLst>
            <a:ext uri="{FF2B5EF4-FFF2-40B4-BE49-F238E27FC236}">
              <a16:creationId xmlns:a16="http://schemas.microsoft.com/office/drawing/2014/main" id="{DE5069A6-5E14-46EF-95C5-631C7242302D}"/>
            </a:ext>
          </a:extLst>
        </xdr:cNvPr>
        <xdr:cNvSpPr>
          <a:spLocks noChangeAspect="1" noChangeArrowheads="1"/>
        </xdr:cNvSpPr>
      </xdr:nvSpPr>
      <xdr:spPr bwMode="auto">
        <a:xfrm>
          <a:off x="6515100" y="73056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21</xdr:col>
      <xdr:colOff>0</xdr:colOff>
      <xdr:row>33</xdr:row>
      <xdr:rowOff>0</xdr:rowOff>
    </xdr:from>
    <xdr:ext cx="304800" cy="304800"/>
    <xdr:sp macro="" textlink="">
      <xdr:nvSpPr>
        <xdr:cNvPr id="123" name="AutoShape 13" descr="\sec \theta =\csc \left({\frac {\pi }{2}}-\theta \right)={\frac {1}{\cos \theta }}">
          <a:extLst>
            <a:ext uri="{FF2B5EF4-FFF2-40B4-BE49-F238E27FC236}">
              <a16:creationId xmlns:a16="http://schemas.microsoft.com/office/drawing/2014/main" id="{04DFDDDA-4F6E-4D8A-A6B9-0F6FEBDEFAC0}"/>
            </a:ext>
          </a:extLst>
        </xdr:cNvPr>
        <xdr:cNvSpPr>
          <a:spLocks noChangeAspect="1" noChangeArrowheads="1"/>
        </xdr:cNvSpPr>
      </xdr:nvSpPr>
      <xdr:spPr bwMode="auto">
        <a:xfrm>
          <a:off x="6515100" y="73056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21</xdr:col>
      <xdr:colOff>0</xdr:colOff>
      <xdr:row>33</xdr:row>
      <xdr:rowOff>0</xdr:rowOff>
    </xdr:from>
    <xdr:ext cx="304800" cy="304800"/>
    <xdr:sp macro="" textlink="">
      <xdr:nvSpPr>
        <xdr:cNvPr id="124" name="AutoShape 9" descr="\sin \theta =\cos \left({\frac {\pi }{2}}-\theta \right)={\frac {1}{\csc \theta }}">
          <a:extLst>
            <a:ext uri="{FF2B5EF4-FFF2-40B4-BE49-F238E27FC236}">
              <a16:creationId xmlns:a16="http://schemas.microsoft.com/office/drawing/2014/main" id="{39090B13-FA2F-4DCA-A0DE-9625CBA90189}"/>
            </a:ext>
          </a:extLst>
        </xdr:cNvPr>
        <xdr:cNvSpPr>
          <a:spLocks noChangeAspect="1" noChangeArrowheads="1"/>
        </xdr:cNvSpPr>
      </xdr:nvSpPr>
      <xdr:spPr bwMode="auto">
        <a:xfrm>
          <a:off x="7229475" y="73056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21</xdr:col>
      <xdr:colOff>0</xdr:colOff>
      <xdr:row>33</xdr:row>
      <xdr:rowOff>0</xdr:rowOff>
    </xdr:from>
    <xdr:ext cx="304800" cy="304800"/>
    <xdr:sp macro="" textlink="">
      <xdr:nvSpPr>
        <xdr:cNvPr id="125" name="AutoShape 10" descr="\cos \theta =\sin \left({\frac {\pi }{2}}-\theta \right)={\frac {1}{\sec \theta }}\,">
          <a:extLst>
            <a:ext uri="{FF2B5EF4-FFF2-40B4-BE49-F238E27FC236}">
              <a16:creationId xmlns:a16="http://schemas.microsoft.com/office/drawing/2014/main" id="{A51E4F3E-0F7D-481D-BEED-D95520111628}"/>
            </a:ext>
          </a:extLst>
        </xdr:cNvPr>
        <xdr:cNvSpPr>
          <a:spLocks noChangeAspect="1" noChangeArrowheads="1"/>
        </xdr:cNvSpPr>
      </xdr:nvSpPr>
      <xdr:spPr bwMode="auto">
        <a:xfrm>
          <a:off x="7229475" y="73056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21</xdr:col>
      <xdr:colOff>0</xdr:colOff>
      <xdr:row>33</xdr:row>
      <xdr:rowOff>0</xdr:rowOff>
    </xdr:from>
    <xdr:ext cx="304800" cy="304800"/>
    <xdr:sp macro="" textlink="">
      <xdr:nvSpPr>
        <xdr:cNvPr id="126" name="AutoShape 11" descr="\tan \theta ={\frac {\sin \theta }{\cos \theta }}=\cot \left({\frac {\pi }{2}}-\theta \right)={\frac {1}{\cot \theta }}">
          <a:extLst>
            <a:ext uri="{FF2B5EF4-FFF2-40B4-BE49-F238E27FC236}">
              <a16:creationId xmlns:a16="http://schemas.microsoft.com/office/drawing/2014/main" id="{95F0E468-D9B0-4C47-9B2E-03B163FC548E}"/>
            </a:ext>
          </a:extLst>
        </xdr:cNvPr>
        <xdr:cNvSpPr>
          <a:spLocks noChangeAspect="1" noChangeArrowheads="1"/>
        </xdr:cNvSpPr>
      </xdr:nvSpPr>
      <xdr:spPr bwMode="auto">
        <a:xfrm>
          <a:off x="7229475" y="73056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21</xdr:col>
      <xdr:colOff>0</xdr:colOff>
      <xdr:row>33</xdr:row>
      <xdr:rowOff>0</xdr:rowOff>
    </xdr:from>
    <xdr:ext cx="304800" cy="304800"/>
    <xdr:sp macro="" textlink="">
      <xdr:nvSpPr>
        <xdr:cNvPr id="127" name="AutoShape 12" descr="\cot \theta ={\frac {\cos \theta }{\sin \theta }}=\tan \left({\frac {\pi }{2}}-\theta \right)={\frac {1}{\tan \theta }}">
          <a:extLst>
            <a:ext uri="{FF2B5EF4-FFF2-40B4-BE49-F238E27FC236}">
              <a16:creationId xmlns:a16="http://schemas.microsoft.com/office/drawing/2014/main" id="{1CD69A0C-79D4-419F-8438-0464FEF4ADC5}"/>
            </a:ext>
          </a:extLst>
        </xdr:cNvPr>
        <xdr:cNvSpPr>
          <a:spLocks noChangeAspect="1" noChangeArrowheads="1"/>
        </xdr:cNvSpPr>
      </xdr:nvSpPr>
      <xdr:spPr bwMode="auto">
        <a:xfrm>
          <a:off x="7229475" y="73056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21</xdr:col>
      <xdr:colOff>0</xdr:colOff>
      <xdr:row>33</xdr:row>
      <xdr:rowOff>0</xdr:rowOff>
    </xdr:from>
    <xdr:ext cx="304800" cy="304800"/>
    <xdr:sp macro="" textlink="">
      <xdr:nvSpPr>
        <xdr:cNvPr id="128" name="AutoShape 13" descr="\sec \theta =\csc \left({\frac {\pi }{2}}-\theta \right)={\frac {1}{\cos \theta }}">
          <a:extLst>
            <a:ext uri="{FF2B5EF4-FFF2-40B4-BE49-F238E27FC236}">
              <a16:creationId xmlns:a16="http://schemas.microsoft.com/office/drawing/2014/main" id="{38ECB5A9-88E0-49BE-B9EE-36FA539C5CC8}"/>
            </a:ext>
          </a:extLst>
        </xdr:cNvPr>
        <xdr:cNvSpPr>
          <a:spLocks noChangeAspect="1" noChangeArrowheads="1"/>
        </xdr:cNvSpPr>
      </xdr:nvSpPr>
      <xdr:spPr bwMode="auto">
        <a:xfrm>
          <a:off x="7229475" y="73056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21</xdr:col>
      <xdr:colOff>0</xdr:colOff>
      <xdr:row>33</xdr:row>
      <xdr:rowOff>0</xdr:rowOff>
    </xdr:from>
    <xdr:ext cx="304800" cy="304800"/>
    <xdr:sp macro="" textlink="">
      <xdr:nvSpPr>
        <xdr:cNvPr id="129" name="AutoShape 9" descr="\sin \theta =\cos \left({\frac {\pi }{2}}-\theta \right)={\frac {1}{\csc \theta }}">
          <a:extLst>
            <a:ext uri="{FF2B5EF4-FFF2-40B4-BE49-F238E27FC236}">
              <a16:creationId xmlns:a16="http://schemas.microsoft.com/office/drawing/2014/main" id="{3CDC28D0-309C-45DC-A924-802EA12BD212}"/>
            </a:ext>
          </a:extLst>
        </xdr:cNvPr>
        <xdr:cNvSpPr>
          <a:spLocks noChangeAspect="1" noChangeArrowheads="1"/>
        </xdr:cNvSpPr>
      </xdr:nvSpPr>
      <xdr:spPr bwMode="auto">
        <a:xfrm>
          <a:off x="8477250" y="73056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21</xdr:col>
      <xdr:colOff>0</xdr:colOff>
      <xdr:row>33</xdr:row>
      <xdr:rowOff>0</xdr:rowOff>
    </xdr:from>
    <xdr:ext cx="304800" cy="304800"/>
    <xdr:sp macro="" textlink="">
      <xdr:nvSpPr>
        <xdr:cNvPr id="130" name="AutoShape 10" descr="\cos \theta =\sin \left({\frac {\pi }{2}}-\theta \right)={\frac {1}{\sec \theta }}\,">
          <a:extLst>
            <a:ext uri="{FF2B5EF4-FFF2-40B4-BE49-F238E27FC236}">
              <a16:creationId xmlns:a16="http://schemas.microsoft.com/office/drawing/2014/main" id="{DABE8674-6FD3-490E-8604-38EAB12D9C38}"/>
            </a:ext>
          </a:extLst>
        </xdr:cNvPr>
        <xdr:cNvSpPr>
          <a:spLocks noChangeAspect="1" noChangeArrowheads="1"/>
        </xdr:cNvSpPr>
      </xdr:nvSpPr>
      <xdr:spPr bwMode="auto">
        <a:xfrm>
          <a:off x="8477250" y="73056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21</xdr:col>
      <xdr:colOff>0</xdr:colOff>
      <xdr:row>33</xdr:row>
      <xdr:rowOff>0</xdr:rowOff>
    </xdr:from>
    <xdr:ext cx="304800" cy="304800"/>
    <xdr:sp macro="" textlink="">
      <xdr:nvSpPr>
        <xdr:cNvPr id="131" name="AutoShape 11" descr="\tan \theta ={\frac {\sin \theta }{\cos \theta }}=\cot \left({\frac {\pi }{2}}-\theta \right)={\frac {1}{\cot \theta }}">
          <a:extLst>
            <a:ext uri="{FF2B5EF4-FFF2-40B4-BE49-F238E27FC236}">
              <a16:creationId xmlns:a16="http://schemas.microsoft.com/office/drawing/2014/main" id="{071ECCA1-A1E9-4B4D-9CE7-FDD339C32F17}"/>
            </a:ext>
          </a:extLst>
        </xdr:cNvPr>
        <xdr:cNvSpPr>
          <a:spLocks noChangeAspect="1" noChangeArrowheads="1"/>
        </xdr:cNvSpPr>
      </xdr:nvSpPr>
      <xdr:spPr bwMode="auto">
        <a:xfrm>
          <a:off x="8477250" y="73056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21</xdr:col>
      <xdr:colOff>0</xdr:colOff>
      <xdr:row>33</xdr:row>
      <xdr:rowOff>0</xdr:rowOff>
    </xdr:from>
    <xdr:ext cx="304800" cy="304800"/>
    <xdr:sp macro="" textlink="">
      <xdr:nvSpPr>
        <xdr:cNvPr id="132" name="AutoShape 12" descr="\cot \theta ={\frac {\cos \theta }{\sin \theta }}=\tan \left({\frac {\pi }{2}}-\theta \right)={\frac {1}{\tan \theta }}">
          <a:extLst>
            <a:ext uri="{FF2B5EF4-FFF2-40B4-BE49-F238E27FC236}">
              <a16:creationId xmlns:a16="http://schemas.microsoft.com/office/drawing/2014/main" id="{20383203-9C4F-4CCD-8BC0-AF8DE1924B0A}"/>
            </a:ext>
          </a:extLst>
        </xdr:cNvPr>
        <xdr:cNvSpPr>
          <a:spLocks noChangeAspect="1" noChangeArrowheads="1"/>
        </xdr:cNvSpPr>
      </xdr:nvSpPr>
      <xdr:spPr bwMode="auto">
        <a:xfrm>
          <a:off x="8477250" y="73056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21</xdr:col>
      <xdr:colOff>0</xdr:colOff>
      <xdr:row>33</xdr:row>
      <xdr:rowOff>0</xdr:rowOff>
    </xdr:from>
    <xdr:ext cx="304800" cy="304800"/>
    <xdr:sp macro="" textlink="">
      <xdr:nvSpPr>
        <xdr:cNvPr id="133" name="AutoShape 13" descr="\sec \theta =\csc \left({\frac {\pi }{2}}-\theta \right)={\frac {1}{\cos \theta }}">
          <a:extLst>
            <a:ext uri="{FF2B5EF4-FFF2-40B4-BE49-F238E27FC236}">
              <a16:creationId xmlns:a16="http://schemas.microsoft.com/office/drawing/2014/main" id="{DCD9DF4D-9C48-467A-B0C6-960A4047965D}"/>
            </a:ext>
          </a:extLst>
        </xdr:cNvPr>
        <xdr:cNvSpPr>
          <a:spLocks noChangeAspect="1" noChangeArrowheads="1"/>
        </xdr:cNvSpPr>
      </xdr:nvSpPr>
      <xdr:spPr bwMode="auto">
        <a:xfrm>
          <a:off x="8477250" y="73056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21</xdr:col>
      <xdr:colOff>0</xdr:colOff>
      <xdr:row>33</xdr:row>
      <xdr:rowOff>0</xdr:rowOff>
    </xdr:from>
    <xdr:ext cx="304800" cy="304800"/>
    <xdr:sp macro="" textlink="">
      <xdr:nvSpPr>
        <xdr:cNvPr id="134" name="AutoShape 9" descr="\sin \theta =\cos \left({\frac {\pi }{2}}-\theta \right)={\frac {1}{\csc \theta }}">
          <a:extLst>
            <a:ext uri="{FF2B5EF4-FFF2-40B4-BE49-F238E27FC236}">
              <a16:creationId xmlns:a16="http://schemas.microsoft.com/office/drawing/2014/main" id="{19AD58C5-E10D-481B-8528-2CFDC8CF3A14}"/>
            </a:ext>
          </a:extLst>
        </xdr:cNvPr>
        <xdr:cNvSpPr>
          <a:spLocks noChangeAspect="1" noChangeArrowheads="1"/>
        </xdr:cNvSpPr>
      </xdr:nvSpPr>
      <xdr:spPr bwMode="auto">
        <a:xfrm>
          <a:off x="9725025" y="73056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21</xdr:col>
      <xdr:colOff>0</xdr:colOff>
      <xdr:row>33</xdr:row>
      <xdr:rowOff>0</xdr:rowOff>
    </xdr:from>
    <xdr:ext cx="304800" cy="304800"/>
    <xdr:sp macro="" textlink="">
      <xdr:nvSpPr>
        <xdr:cNvPr id="135" name="AutoShape 10" descr="\cos \theta =\sin \left({\frac {\pi }{2}}-\theta \right)={\frac {1}{\sec \theta }}\,">
          <a:extLst>
            <a:ext uri="{FF2B5EF4-FFF2-40B4-BE49-F238E27FC236}">
              <a16:creationId xmlns:a16="http://schemas.microsoft.com/office/drawing/2014/main" id="{FD461850-E79E-4A73-A290-C189471D1556}"/>
            </a:ext>
          </a:extLst>
        </xdr:cNvPr>
        <xdr:cNvSpPr>
          <a:spLocks noChangeAspect="1" noChangeArrowheads="1"/>
        </xdr:cNvSpPr>
      </xdr:nvSpPr>
      <xdr:spPr bwMode="auto">
        <a:xfrm>
          <a:off x="9725025" y="73056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21</xdr:col>
      <xdr:colOff>0</xdr:colOff>
      <xdr:row>33</xdr:row>
      <xdr:rowOff>0</xdr:rowOff>
    </xdr:from>
    <xdr:ext cx="304800" cy="304800"/>
    <xdr:sp macro="" textlink="">
      <xdr:nvSpPr>
        <xdr:cNvPr id="136" name="AutoShape 11" descr="\tan \theta ={\frac {\sin \theta }{\cos \theta }}=\cot \left({\frac {\pi }{2}}-\theta \right)={\frac {1}{\cot \theta }}">
          <a:extLst>
            <a:ext uri="{FF2B5EF4-FFF2-40B4-BE49-F238E27FC236}">
              <a16:creationId xmlns:a16="http://schemas.microsoft.com/office/drawing/2014/main" id="{FF391C9F-75D1-4BFA-AFA9-7CAF4451A935}"/>
            </a:ext>
          </a:extLst>
        </xdr:cNvPr>
        <xdr:cNvSpPr>
          <a:spLocks noChangeAspect="1" noChangeArrowheads="1"/>
        </xdr:cNvSpPr>
      </xdr:nvSpPr>
      <xdr:spPr bwMode="auto">
        <a:xfrm>
          <a:off x="9725025" y="73056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21</xdr:col>
      <xdr:colOff>0</xdr:colOff>
      <xdr:row>33</xdr:row>
      <xdr:rowOff>0</xdr:rowOff>
    </xdr:from>
    <xdr:ext cx="304800" cy="304800"/>
    <xdr:sp macro="" textlink="">
      <xdr:nvSpPr>
        <xdr:cNvPr id="137" name="AutoShape 12" descr="\cot \theta ={\frac {\cos \theta }{\sin \theta }}=\tan \left({\frac {\pi }{2}}-\theta \right)={\frac {1}{\tan \theta }}">
          <a:extLst>
            <a:ext uri="{FF2B5EF4-FFF2-40B4-BE49-F238E27FC236}">
              <a16:creationId xmlns:a16="http://schemas.microsoft.com/office/drawing/2014/main" id="{03EE88B1-6A2A-4C89-AAB1-A71584D6DE8C}"/>
            </a:ext>
          </a:extLst>
        </xdr:cNvPr>
        <xdr:cNvSpPr>
          <a:spLocks noChangeAspect="1" noChangeArrowheads="1"/>
        </xdr:cNvSpPr>
      </xdr:nvSpPr>
      <xdr:spPr bwMode="auto">
        <a:xfrm>
          <a:off x="9725025" y="73056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21</xdr:col>
      <xdr:colOff>0</xdr:colOff>
      <xdr:row>33</xdr:row>
      <xdr:rowOff>0</xdr:rowOff>
    </xdr:from>
    <xdr:ext cx="304800" cy="304800"/>
    <xdr:sp macro="" textlink="">
      <xdr:nvSpPr>
        <xdr:cNvPr id="138" name="AutoShape 13" descr="\sec \theta =\csc \left({\frac {\pi }{2}}-\theta \right)={\frac {1}{\cos \theta }}">
          <a:extLst>
            <a:ext uri="{FF2B5EF4-FFF2-40B4-BE49-F238E27FC236}">
              <a16:creationId xmlns:a16="http://schemas.microsoft.com/office/drawing/2014/main" id="{4E4AAC0F-7942-4E63-ABC9-35D29A6648D1}"/>
            </a:ext>
          </a:extLst>
        </xdr:cNvPr>
        <xdr:cNvSpPr>
          <a:spLocks noChangeAspect="1" noChangeArrowheads="1"/>
        </xdr:cNvSpPr>
      </xdr:nvSpPr>
      <xdr:spPr bwMode="auto">
        <a:xfrm>
          <a:off x="9725025" y="73056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21</xdr:col>
      <xdr:colOff>0</xdr:colOff>
      <xdr:row>33</xdr:row>
      <xdr:rowOff>0</xdr:rowOff>
    </xdr:from>
    <xdr:ext cx="304800" cy="304800"/>
    <xdr:sp macro="" textlink="">
      <xdr:nvSpPr>
        <xdr:cNvPr id="139" name="AutoShape 9" descr="\sin \theta =\cos \left({\frac {\pi }{2}}-\theta \right)={\frac {1}{\csc \theta }}">
          <a:extLst>
            <a:ext uri="{FF2B5EF4-FFF2-40B4-BE49-F238E27FC236}">
              <a16:creationId xmlns:a16="http://schemas.microsoft.com/office/drawing/2014/main" id="{86448592-3E45-45A4-A8BD-76CA1CB91F62}"/>
            </a:ext>
          </a:extLst>
        </xdr:cNvPr>
        <xdr:cNvSpPr>
          <a:spLocks noChangeAspect="1" noChangeArrowheads="1"/>
        </xdr:cNvSpPr>
      </xdr:nvSpPr>
      <xdr:spPr bwMode="auto">
        <a:xfrm>
          <a:off x="10972800" y="73056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21</xdr:col>
      <xdr:colOff>0</xdr:colOff>
      <xdr:row>33</xdr:row>
      <xdr:rowOff>0</xdr:rowOff>
    </xdr:from>
    <xdr:ext cx="304800" cy="304800"/>
    <xdr:sp macro="" textlink="">
      <xdr:nvSpPr>
        <xdr:cNvPr id="140" name="AutoShape 10" descr="\cos \theta =\sin \left({\frac {\pi }{2}}-\theta \right)={\frac {1}{\sec \theta }}\,">
          <a:extLst>
            <a:ext uri="{FF2B5EF4-FFF2-40B4-BE49-F238E27FC236}">
              <a16:creationId xmlns:a16="http://schemas.microsoft.com/office/drawing/2014/main" id="{9F687CD9-3E4B-4579-ACA0-E183B29E675B}"/>
            </a:ext>
          </a:extLst>
        </xdr:cNvPr>
        <xdr:cNvSpPr>
          <a:spLocks noChangeAspect="1" noChangeArrowheads="1"/>
        </xdr:cNvSpPr>
      </xdr:nvSpPr>
      <xdr:spPr bwMode="auto">
        <a:xfrm>
          <a:off x="10972800" y="73056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21</xdr:col>
      <xdr:colOff>0</xdr:colOff>
      <xdr:row>33</xdr:row>
      <xdr:rowOff>0</xdr:rowOff>
    </xdr:from>
    <xdr:ext cx="304800" cy="304800"/>
    <xdr:sp macro="" textlink="">
      <xdr:nvSpPr>
        <xdr:cNvPr id="142" name="AutoShape 9" descr="\sin \theta =\cos \left({\frac {\pi }{2}}-\theta \right)={\frac {1}{\csc \theta }}">
          <a:extLst>
            <a:ext uri="{FF2B5EF4-FFF2-40B4-BE49-F238E27FC236}">
              <a16:creationId xmlns:a16="http://schemas.microsoft.com/office/drawing/2014/main" id="{84389EDD-5485-4FD3-AD48-74610941A9C2}"/>
            </a:ext>
          </a:extLst>
        </xdr:cNvPr>
        <xdr:cNvSpPr>
          <a:spLocks noChangeAspect="1" noChangeArrowheads="1"/>
        </xdr:cNvSpPr>
      </xdr:nvSpPr>
      <xdr:spPr bwMode="auto">
        <a:xfrm>
          <a:off x="11677650" y="73056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21</xdr:col>
      <xdr:colOff>0</xdr:colOff>
      <xdr:row>33</xdr:row>
      <xdr:rowOff>0</xdr:rowOff>
    </xdr:from>
    <xdr:ext cx="304800" cy="304800"/>
    <xdr:sp macro="" textlink="">
      <xdr:nvSpPr>
        <xdr:cNvPr id="143" name="AutoShape 10" descr="\cos \theta =\sin \left({\frac {\pi }{2}}-\theta \right)={\frac {1}{\sec \theta }}\,">
          <a:extLst>
            <a:ext uri="{FF2B5EF4-FFF2-40B4-BE49-F238E27FC236}">
              <a16:creationId xmlns:a16="http://schemas.microsoft.com/office/drawing/2014/main" id="{F0735F6D-0ED9-47A7-A2E3-02531EF4972C}"/>
            </a:ext>
          </a:extLst>
        </xdr:cNvPr>
        <xdr:cNvSpPr>
          <a:spLocks noChangeAspect="1" noChangeArrowheads="1"/>
        </xdr:cNvSpPr>
      </xdr:nvSpPr>
      <xdr:spPr bwMode="auto">
        <a:xfrm>
          <a:off x="11677650" y="73056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21</xdr:col>
      <xdr:colOff>76200</xdr:colOff>
      <xdr:row>33</xdr:row>
      <xdr:rowOff>0</xdr:rowOff>
    </xdr:from>
    <xdr:ext cx="304800" cy="304800"/>
    <xdr:sp macro="" textlink="">
      <xdr:nvSpPr>
        <xdr:cNvPr id="145" name="AutoShape 12" descr="\cot \theta ={\frac {\cos \theta }{\sin \theta }}=\tan \left({\frac {\pi }{2}}-\theta \right)={\frac {1}{\tan \theta }}">
          <a:extLst>
            <a:ext uri="{FF2B5EF4-FFF2-40B4-BE49-F238E27FC236}">
              <a16:creationId xmlns:a16="http://schemas.microsoft.com/office/drawing/2014/main" id="{19E77186-F740-4103-8C88-27154D91E0C5}"/>
            </a:ext>
          </a:extLst>
        </xdr:cNvPr>
        <xdr:cNvSpPr>
          <a:spLocks noChangeAspect="1" noChangeArrowheads="1"/>
        </xdr:cNvSpPr>
      </xdr:nvSpPr>
      <xdr:spPr bwMode="auto">
        <a:xfrm>
          <a:off x="17773650" y="91154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49695</xdr:colOff>
      <xdr:row>1</xdr:row>
      <xdr:rowOff>149087</xdr:rowOff>
    </xdr:from>
    <xdr:ext cx="1822816" cy="666667"/>
    <xdr:pic>
      <xdr:nvPicPr>
        <xdr:cNvPr id="147" name="Picture 146">
          <a:extLst>
            <a:ext uri="{FF2B5EF4-FFF2-40B4-BE49-F238E27FC236}">
              <a16:creationId xmlns:a16="http://schemas.microsoft.com/office/drawing/2014/main" id="{71795C7D-4518-4596-9BA7-4F49AF4679F4}"/>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78295" y="339587"/>
          <a:ext cx="1822816" cy="666667"/>
        </a:xfrm>
        <a:prstGeom prst="rect">
          <a:avLst/>
        </a:prstGeom>
        <a:noFill/>
        <a:ln>
          <a:noFill/>
        </a:ln>
      </xdr:spPr>
    </xdr:pic>
    <xdr:clientData/>
  </xdr:oneCellAnchor>
  <xdr:twoCellAnchor editAs="absolute">
    <xdr:from>
      <xdr:col>7</xdr:col>
      <xdr:colOff>609602</xdr:colOff>
      <xdr:row>6</xdr:row>
      <xdr:rowOff>137160</xdr:rowOff>
    </xdr:from>
    <xdr:to>
      <xdr:col>9</xdr:col>
      <xdr:colOff>922683</xdr:colOff>
      <xdr:row>14</xdr:row>
      <xdr:rowOff>156211</xdr:rowOff>
    </xdr:to>
    <mc:AlternateContent xmlns:mc="http://schemas.openxmlformats.org/markup-compatibility/2006" xmlns:sle15="http://schemas.microsoft.com/office/drawing/2012/slicer">
      <mc:Choice Requires="sle15">
        <xdr:graphicFrame macro="">
          <xdr:nvGraphicFramePr>
            <xdr:cNvPr id="148" name="TYPE">
              <a:extLst>
                <a:ext uri="{FF2B5EF4-FFF2-40B4-BE49-F238E27FC236}">
                  <a16:creationId xmlns:a16="http://schemas.microsoft.com/office/drawing/2014/main" id="{C467AD7E-D695-6718-6A7B-510C24F41A8A}"/>
                </a:ext>
              </a:extLst>
            </xdr:cNvPr>
            <xdr:cNvGraphicFramePr/>
          </xdr:nvGraphicFramePr>
          <xdr:xfrm>
            <a:off x="0" y="0"/>
            <a:ext cx="0" cy="0"/>
          </xdr:xfrm>
          <a:graphic>
            <a:graphicData uri="http://schemas.microsoft.com/office/drawing/2010/slicer">
              <sle:slicer xmlns:sle="http://schemas.microsoft.com/office/drawing/2010/slicer" name="TYPE"/>
            </a:graphicData>
          </a:graphic>
        </xdr:graphicFrame>
      </mc:Choice>
      <mc:Fallback xmlns="">
        <xdr:sp macro="" textlink="">
          <xdr:nvSpPr>
            <xdr:cNvPr id="0" name=""/>
            <xdr:cNvSpPr>
              <a:spLocks noTextEdit="1"/>
            </xdr:cNvSpPr>
          </xdr:nvSpPr>
          <xdr:spPr>
            <a:xfrm>
              <a:off x="7699515" y="1280160"/>
              <a:ext cx="2590798" cy="1543051"/>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oneCell">
    <xdr:from>
      <xdr:col>6</xdr:col>
      <xdr:colOff>259080</xdr:colOff>
      <xdr:row>9</xdr:row>
      <xdr:rowOff>89535</xdr:rowOff>
    </xdr:from>
    <xdr:to>
      <xdr:col>7</xdr:col>
      <xdr:colOff>487680</xdr:colOff>
      <xdr:row>14</xdr:row>
      <xdr:rowOff>142875</xdr:rowOff>
    </xdr:to>
    <mc:AlternateContent xmlns:mc="http://schemas.openxmlformats.org/markup-compatibility/2006" xmlns:a14="http://schemas.microsoft.com/office/drawing/2010/main">
      <mc:Choice Requires="a14">
        <xdr:graphicFrame macro="">
          <xdr:nvGraphicFramePr>
            <xdr:cNvPr id="153" name="DIFFICULTY">
              <a:extLst>
                <a:ext uri="{FF2B5EF4-FFF2-40B4-BE49-F238E27FC236}">
                  <a16:creationId xmlns:a16="http://schemas.microsoft.com/office/drawing/2014/main" id="{E47A8524-613B-4138-82A2-50052AA47E91}"/>
                </a:ext>
              </a:extLst>
            </xdr:cNvPr>
            <xdr:cNvGraphicFramePr/>
          </xdr:nvGraphicFramePr>
          <xdr:xfrm>
            <a:off x="0" y="0"/>
            <a:ext cx="0" cy="0"/>
          </xdr:xfrm>
          <a:graphic>
            <a:graphicData uri="http://schemas.microsoft.com/office/drawing/2010/slicer">
              <sle:slicer xmlns:sle="http://schemas.microsoft.com/office/drawing/2010/slicer" name="DIFFICULTY"/>
            </a:graphicData>
          </a:graphic>
        </xdr:graphicFrame>
      </mc:Choice>
      <mc:Fallback xmlns="">
        <xdr:sp macro="" textlink="">
          <xdr:nvSpPr>
            <xdr:cNvPr id="0" name=""/>
            <xdr:cNvSpPr>
              <a:spLocks noTextEdit="1"/>
            </xdr:cNvSpPr>
          </xdr:nvSpPr>
          <xdr:spPr>
            <a:xfrm>
              <a:off x="6205993" y="1804035"/>
              <a:ext cx="1371600" cy="100584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285751</xdr:colOff>
      <xdr:row>7</xdr:row>
      <xdr:rowOff>9524</xdr:rowOff>
    </xdr:from>
    <xdr:to>
      <xdr:col>7</xdr:col>
      <xdr:colOff>419101</xdr:colOff>
      <xdr:row>9</xdr:row>
      <xdr:rowOff>47625</xdr:rowOff>
    </xdr:to>
    <xdr:sp macro="" textlink="">
      <xdr:nvSpPr>
        <xdr:cNvPr id="156" name="Rectangle 155">
          <a:extLst>
            <a:ext uri="{FF2B5EF4-FFF2-40B4-BE49-F238E27FC236}">
              <a16:creationId xmlns:a16="http://schemas.microsoft.com/office/drawing/2014/main" id="{7E749F8E-413A-0522-4863-0CAC29426B28}"/>
            </a:ext>
          </a:extLst>
        </xdr:cNvPr>
        <xdr:cNvSpPr/>
      </xdr:nvSpPr>
      <xdr:spPr>
        <a:xfrm>
          <a:off x="6229351" y="1343024"/>
          <a:ext cx="1276350" cy="419101"/>
        </a:xfrm>
        <a:prstGeom prst="rect">
          <a:avLst/>
        </a:prstGeom>
        <a:solidFill>
          <a:schemeClr val="bg1"/>
        </a:solidFill>
        <a:ln w="12700">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b="1">
              <a:solidFill>
                <a:sysClr val="windowText" lastClr="000000"/>
              </a:solidFill>
            </a:rPr>
            <a:t>SELECT COMPONENTS AND COMPLEXITY</a:t>
          </a:r>
        </a:p>
      </xdr:txBody>
    </xdr:sp>
    <xdr:clientData/>
  </xdr:twoCellAnchor>
  <xdr:twoCellAnchor>
    <xdr:from>
      <xdr:col>7</xdr:col>
      <xdr:colOff>342034</xdr:colOff>
      <xdr:row>7</xdr:row>
      <xdr:rowOff>125557</xdr:rowOff>
    </xdr:from>
    <xdr:to>
      <xdr:col>7</xdr:col>
      <xdr:colOff>670034</xdr:colOff>
      <xdr:row>7</xdr:row>
      <xdr:rowOff>131379</xdr:rowOff>
    </xdr:to>
    <xdr:cxnSp macro="">
      <xdr:nvCxnSpPr>
        <xdr:cNvPr id="158" name="Straight Arrow Connector 157">
          <a:extLst>
            <a:ext uri="{FF2B5EF4-FFF2-40B4-BE49-F238E27FC236}">
              <a16:creationId xmlns:a16="http://schemas.microsoft.com/office/drawing/2014/main" id="{C55ECB24-FBB1-5527-DF50-8B02B3E1B289}"/>
            </a:ext>
          </a:extLst>
        </xdr:cNvPr>
        <xdr:cNvCxnSpPr/>
      </xdr:nvCxnSpPr>
      <xdr:spPr>
        <a:xfrm>
          <a:off x="7429500" y="1459057"/>
          <a:ext cx="328000" cy="582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895350</xdr:colOff>
      <xdr:row>8</xdr:row>
      <xdr:rowOff>142875</xdr:rowOff>
    </xdr:from>
    <xdr:to>
      <xdr:col>6</xdr:col>
      <xdr:colOff>904876</xdr:colOff>
      <xdr:row>9</xdr:row>
      <xdr:rowOff>133350</xdr:rowOff>
    </xdr:to>
    <xdr:cxnSp macro="">
      <xdr:nvCxnSpPr>
        <xdr:cNvPr id="165" name="Straight Arrow Connector 164">
          <a:extLst>
            <a:ext uri="{FF2B5EF4-FFF2-40B4-BE49-F238E27FC236}">
              <a16:creationId xmlns:a16="http://schemas.microsoft.com/office/drawing/2014/main" id="{09AAA975-182E-970C-206C-58057FA4D77C}"/>
            </a:ext>
          </a:extLst>
        </xdr:cNvPr>
        <xdr:cNvCxnSpPr/>
      </xdr:nvCxnSpPr>
      <xdr:spPr>
        <a:xfrm flipH="1">
          <a:off x="6838950" y="1666875"/>
          <a:ext cx="9526" cy="1809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Tom Selven" refreshedDate="45365.595099074075" createdVersion="8" refreshedVersion="8" minRefreshableVersion="3" recordCount="48" xr:uid="{A1283966-C3F9-4219-ADC5-087A5573B20C}">
  <cacheSource type="worksheet">
    <worksheetSource name="Table4"/>
  </cacheSource>
  <cacheFields count="8">
    <cacheField name="FROM" numFmtId="0">
      <sharedItems containsSemiMixedTypes="0" containsString="0" containsNumber="1" containsInteger="1" minValue="0" maxValue="1501" count="16">
        <n v="0"/>
        <n v="11"/>
        <n v="26"/>
        <n v="51"/>
        <n v="76"/>
        <n v="101"/>
        <n v="126"/>
        <n v="151"/>
        <n v="201"/>
        <n v="251"/>
        <n v="301"/>
        <n v="401"/>
        <n v="601"/>
        <n v="801"/>
        <n v="1001"/>
        <n v="1501"/>
      </sharedItems>
    </cacheField>
    <cacheField name="TO" numFmtId="0">
      <sharedItems containsSemiMixedTypes="0" containsString="0" containsNumber="1" containsInteger="1" minValue="10" maxValue="2000"/>
    </cacheField>
    <cacheField name="DIFFICULTY" numFmtId="0">
      <sharedItems count="3">
        <s v="Complex"/>
        <s v="Simple"/>
        <s v="Medium"/>
      </sharedItems>
    </cacheField>
    <cacheField name="CRATE" numFmtId="0">
      <sharedItems containsSemiMixedTypes="0" containsString="0" containsNumber="1" minValue="0.66" maxValue="10.91"/>
    </cacheField>
    <cacheField name="BASE" numFmtId="0">
      <sharedItems containsSemiMixedTypes="0" containsString="0" containsNumber="1" minValue="0.4" maxValue="6.55"/>
    </cacheField>
    <cacheField name="BAG" numFmtId="0">
      <sharedItems containsSemiMixedTypes="0" containsString="0" containsNumber="1" minValue="0.06" maxValue="3.5"/>
    </cacheField>
    <cacheField name="BASE + BAG" numFmtId="0">
      <sharedItems containsSemiMixedTypes="0" containsString="0" containsNumber="1" minValue="0.46" maxValue="9"/>
    </cacheField>
    <cacheField name="TRANSIT CASE" numFmtId="0">
      <sharedItems containsSemiMixedTypes="0" containsString="0" containsNumber="1" minValue="1.98" maxValue="32.729999999999997"/>
    </cacheField>
  </cacheFields>
  <extLst>
    <ext xmlns:x14="http://schemas.microsoft.com/office/spreadsheetml/2009/9/main" uri="{725AE2AE-9491-48be-B2B4-4EB974FC3084}">
      <x14:pivotCacheDefinition pivotCacheId="117451670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8">
  <r>
    <x v="0"/>
    <n v="10"/>
    <x v="0"/>
    <n v="10.91"/>
    <n v="6.55"/>
    <n v="3.5"/>
    <n v="9"/>
    <n v="32.729999999999997"/>
  </r>
  <r>
    <x v="1"/>
    <n v="25"/>
    <x v="0"/>
    <n v="10.91"/>
    <n v="6.55"/>
    <n v="1.98"/>
    <n v="8.5299999999999994"/>
    <n v="32.729999999999997"/>
  </r>
  <r>
    <x v="2"/>
    <n v="50"/>
    <x v="0"/>
    <n v="7.64"/>
    <n v="4.58"/>
    <n v="0.96"/>
    <n v="5.54"/>
    <n v="22.92"/>
  </r>
  <r>
    <x v="3"/>
    <n v="75"/>
    <x v="0"/>
    <n v="5.36"/>
    <n v="3.22"/>
    <n v="0.78"/>
    <n v="4"/>
    <n v="16.079999999999998"/>
  </r>
  <r>
    <x v="4"/>
    <n v="100"/>
    <x v="0"/>
    <n v="4.55"/>
    <n v="2.73"/>
    <n v="0.46"/>
    <n v="3.19"/>
    <n v="13.65"/>
  </r>
  <r>
    <x v="5"/>
    <n v="125"/>
    <x v="0"/>
    <n v="3.86"/>
    <n v="2.3199999999999998"/>
    <n v="0.38"/>
    <n v="2.7"/>
    <n v="11.58"/>
  </r>
  <r>
    <x v="6"/>
    <n v="150"/>
    <x v="0"/>
    <n v="3.29"/>
    <n v="1.97"/>
    <n v="0.36"/>
    <n v="2.33"/>
    <n v="9.8699999999999992"/>
  </r>
  <r>
    <x v="7"/>
    <n v="200"/>
    <x v="0"/>
    <n v="2.79"/>
    <n v="1.67"/>
    <n v="0.3"/>
    <n v="1.97"/>
    <n v="8.3699999999999992"/>
  </r>
  <r>
    <x v="8"/>
    <n v="250"/>
    <x v="0"/>
    <n v="2.38"/>
    <n v="1.43"/>
    <n v="0.24"/>
    <n v="1.67"/>
    <n v="7.14"/>
  </r>
  <r>
    <x v="9"/>
    <n v="300"/>
    <x v="0"/>
    <n v="2.02"/>
    <n v="1.21"/>
    <n v="0.18"/>
    <n v="1.39"/>
    <n v="6.06"/>
  </r>
  <r>
    <x v="10"/>
    <n v="400"/>
    <x v="0"/>
    <n v="1.82"/>
    <n v="1.0900000000000001"/>
    <n v="0.14000000000000001"/>
    <n v="1.23"/>
    <n v="5.46"/>
  </r>
  <r>
    <x v="11"/>
    <n v="600"/>
    <x v="0"/>
    <n v="1.64"/>
    <n v="0.98"/>
    <n v="0.12"/>
    <n v="1.1000000000000001"/>
    <n v="4.92"/>
  </r>
  <r>
    <x v="12"/>
    <n v="800"/>
    <x v="0"/>
    <n v="1.4"/>
    <n v="0.84"/>
    <n v="0.1"/>
    <n v="0.94"/>
    <n v="4.2"/>
  </r>
  <r>
    <x v="13"/>
    <n v="1000"/>
    <x v="0"/>
    <n v="1.25"/>
    <n v="0.75"/>
    <n v="0.09"/>
    <n v="0.84"/>
    <n v="3.75"/>
  </r>
  <r>
    <x v="14"/>
    <n v="1500"/>
    <x v="0"/>
    <n v="1.1399999999999999"/>
    <n v="0.68"/>
    <n v="0.08"/>
    <n v="0.76"/>
    <n v="3.42"/>
  </r>
  <r>
    <x v="15"/>
    <n v="2000"/>
    <x v="0"/>
    <n v="1.01"/>
    <n v="0.61"/>
    <n v="0.06"/>
    <n v="0.67"/>
    <n v="3.03"/>
  </r>
  <r>
    <x v="0"/>
    <n v="10"/>
    <x v="1"/>
    <n v="6.99"/>
    <n v="4.1900000000000004"/>
    <n v="3.5"/>
    <n v="6"/>
    <n v="20.97"/>
  </r>
  <r>
    <x v="1"/>
    <n v="25"/>
    <x v="1"/>
    <n v="6.99"/>
    <n v="4.1900000000000004"/>
    <n v="1.98"/>
    <n v="6.17"/>
    <n v="20.97"/>
  </r>
  <r>
    <x v="2"/>
    <n v="50"/>
    <x v="1"/>
    <n v="4.8899999999999997"/>
    <n v="2.93"/>
    <n v="0.96"/>
    <n v="3.89"/>
    <n v="14.67"/>
  </r>
  <r>
    <x v="3"/>
    <n v="75"/>
    <x v="1"/>
    <n v="3.43"/>
    <n v="2.06"/>
    <n v="0.78"/>
    <n v="2.84"/>
    <n v="10.29"/>
  </r>
  <r>
    <x v="4"/>
    <n v="100"/>
    <x v="1"/>
    <n v="2.92"/>
    <n v="1.75"/>
    <n v="0.46"/>
    <n v="2.21"/>
    <n v="8.76"/>
  </r>
  <r>
    <x v="5"/>
    <n v="125"/>
    <x v="1"/>
    <n v="2.48"/>
    <n v="1.49"/>
    <n v="0.38"/>
    <n v="1.87"/>
    <n v="7.44"/>
  </r>
  <r>
    <x v="6"/>
    <n v="150"/>
    <x v="1"/>
    <n v="2.12"/>
    <n v="1.27"/>
    <n v="0.36"/>
    <n v="1.63"/>
    <n v="6.36"/>
  </r>
  <r>
    <x v="7"/>
    <n v="200"/>
    <x v="1"/>
    <n v="1.78"/>
    <n v="1.07"/>
    <n v="0.3"/>
    <n v="1.37"/>
    <n v="5.34"/>
  </r>
  <r>
    <x v="8"/>
    <n v="250"/>
    <x v="1"/>
    <n v="1.52"/>
    <n v="0.91"/>
    <n v="0.24"/>
    <n v="1.1499999999999999"/>
    <n v="4.5599999999999996"/>
  </r>
  <r>
    <x v="9"/>
    <n v="300"/>
    <x v="1"/>
    <n v="1.29"/>
    <n v="0.77"/>
    <n v="0.18"/>
    <n v="0.95"/>
    <n v="3.87"/>
  </r>
  <r>
    <x v="10"/>
    <n v="400"/>
    <x v="1"/>
    <n v="1.1599999999999999"/>
    <n v="0.7"/>
    <n v="0.14000000000000001"/>
    <n v="0.84"/>
    <n v="3.48"/>
  </r>
  <r>
    <x v="11"/>
    <n v="600"/>
    <x v="1"/>
    <n v="1.06"/>
    <n v="0.64"/>
    <n v="0.12"/>
    <n v="0.76"/>
    <n v="3.18"/>
  </r>
  <r>
    <x v="12"/>
    <n v="800"/>
    <x v="1"/>
    <n v="0.9"/>
    <n v="0.54"/>
    <n v="0.1"/>
    <n v="0.64"/>
    <n v="2.7"/>
  </r>
  <r>
    <x v="13"/>
    <n v="1000"/>
    <x v="1"/>
    <n v="0.81"/>
    <n v="0.49"/>
    <n v="0.09"/>
    <n v="0.57999999999999996"/>
    <n v="2.4300000000000002"/>
  </r>
  <r>
    <x v="14"/>
    <n v="1500"/>
    <x v="1"/>
    <n v="0.72"/>
    <n v="0.43"/>
    <n v="0.08"/>
    <n v="0.51"/>
    <n v="2.16"/>
  </r>
  <r>
    <x v="15"/>
    <n v="2000"/>
    <x v="1"/>
    <n v="0.66"/>
    <n v="0.4"/>
    <n v="0.06"/>
    <n v="0.46"/>
    <n v="1.98"/>
  </r>
  <r>
    <x v="0"/>
    <n v="10"/>
    <x v="2"/>
    <n v="8.74"/>
    <n v="5.24"/>
    <n v="3.5"/>
    <n v="7"/>
    <n v="26.22"/>
  </r>
  <r>
    <x v="1"/>
    <n v="25"/>
    <x v="2"/>
    <n v="8.74"/>
    <n v="5.24"/>
    <n v="1.98"/>
    <n v="7.22"/>
    <n v="26.22"/>
  </r>
  <r>
    <x v="2"/>
    <n v="50"/>
    <x v="2"/>
    <n v="6.12"/>
    <n v="3.67"/>
    <n v="0.96"/>
    <n v="4.63"/>
    <n v="18.36"/>
  </r>
  <r>
    <x v="3"/>
    <n v="75"/>
    <x v="2"/>
    <n v="4.29"/>
    <n v="2.57"/>
    <n v="0.78"/>
    <n v="3.35"/>
    <n v="12.87"/>
  </r>
  <r>
    <x v="4"/>
    <n v="100"/>
    <x v="2"/>
    <n v="3.65"/>
    <n v="2.19"/>
    <n v="0.46"/>
    <n v="2.65"/>
    <n v="10.95"/>
  </r>
  <r>
    <x v="5"/>
    <n v="125"/>
    <x v="2"/>
    <n v="3.09"/>
    <n v="1.85"/>
    <n v="0.38"/>
    <n v="2.23"/>
    <n v="9.27"/>
  </r>
  <r>
    <x v="6"/>
    <n v="150"/>
    <x v="2"/>
    <n v="2.65"/>
    <n v="1.59"/>
    <n v="0.36"/>
    <n v="1.95"/>
    <n v="7.95"/>
  </r>
  <r>
    <x v="7"/>
    <n v="200"/>
    <x v="2"/>
    <n v="2.23"/>
    <n v="1.34"/>
    <n v="0.3"/>
    <n v="1.64"/>
    <n v="6.69"/>
  </r>
  <r>
    <x v="8"/>
    <n v="250"/>
    <x v="2"/>
    <n v="1.91"/>
    <n v="1.1499999999999999"/>
    <n v="0.24"/>
    <n v="1.39"/>
    <n v="5.73"/>
  </r>
  <r>
    <x v="9"/>
    <n v="300"/>
    <x v="2"/>
    <n v="1.61"/>
    <n v="0.97"/>
    <n v="0.18"/>
    <n v="1.1499999999999999"/>
    <n v="4.83"/>
  </r>
  <r>
    <x v="10"/>
    <n v="400"/>
    <x v="2"/>
    <n v="1.46"/>
    <n v="0.88"/>
    <n v="0.14000000000000001"/>
    <n v="1.02"/>
    <n v="4.38"/>
  </r>
  <r>
    <x v="11"/>
    <n v="600"/>
    <x v="2"/>
    <n v="1.3"/>
    <n v="0.78"/>
    <n v="0.12"/>
    <n v="0.9"/>
    <n v="3.9"/>
  </r>
  <r>
    <x v="12"/>
    <n v="800"/>
    <x v="2"/>
    <n v="1.1200000000000001"/>
    <n v="0.67"/>
    <n v="0.1"/>
    <n v="0.77"/>
    <n v="3.36"/>
  </r>
  <r>
    <x v="13"/>
    <n v="1000"/>
    <x v="2"/>
    <n v="1.01"/>
    <n v="0.61"/>
    <n v="0.09"/>
    <n v="0.7"/>
    <n v="3.03"/>
  </r>
  <r>
    <x v="14"/>
    <n v="1500"/>
    <x v="2"/>
    <n v="0.9"/>
    <n v="0.54"/>
    <n v="0.08"/>
    <n v="0.62"/>
    <n v="2.7"/>
  </r>
  <r>
    <x v="15"/>
    <n v="2000"/>
    <x v="2"/>
    <n v="0.81"/>
    <n v="0.49"/>
    <n v="0.06"/>
    <n v="0.55000000000000004"/>
    <n v="2.430000000000000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1B48646-049F-4CF1-B389-E158CEAB06BA}" name="CMLabor" cacheId="4147"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2:B19" firstHeaderRow="1" firstDataRow="2" firstDataCol="1"/>
  <pivotFields count="8">
    <pivotField axis="axisRow" showAll="0">
      <items count="17">
        <item x="0"/>
        <item x="1"/>
        <item x="2"/>
        <item x="3"/>
        <item x="4"/>
        <item x="5"/>
        <item x="6"/>
        <item x="7"/>
        <item x="8"/>
        <item x="9"/>
        <item x="10"/>
        <item x="11"/>
        <item x="12"/>
        <item x="13"/>
        <item x="14"/>
        <item x="15"/>
        <item t="default"/>
      </items>
    </pivotField>
    <pivotField showAll="0"/>
    <pivotField axis="axisCol" showAll="0">
      <items count="4">
        <item h="1" x="0"/>
        <item h="1" x="2"/>
        <item x="1"/>
        <item t="default"/>
      </items>
    </pivotField>
    <pivotField dataField="1" showAll="0"/>
    <pivotField showAll="0"/>
    <pivotField showAll="0"/>
    <pivotField showAll="0"/>
    <pivotField showAll="0"/>
  </pivotFields>
  <rowFields count="1">
    <field x="0"/>
  </rowFields>
  <rowItems count="16">
    <i>
      <x/>
    </i>
    <i>
      <x v="1"/>
    </i>
    <i>
      <x v="2"/>
    </i>
    <i>
      <x v="3"/>
    </i>
    <i>
      <x v="4"/>
    </i>
    <i>
      <x v="5"/>
    </i>
    <i>
      <x v="6"/>
    </i>
    <i>
      <x v="7"/>
    </i>
    <i>
      <x v="8"/>
    </i>
    <i>
      <x v="9"/>
    </i>
    <i>
      <x v="10"/>
    </i>
    <i>
      <x v="11"/>
    </i>
    <i>
      <x v="12"/>
    </i>
    <i>
      <x v="13"/>
    </i>
    <i>
      <x v="14"/>
    </i>
    <i>
      <x v="15"/>
    </i>
  </rowItems>
  <colFields count="1">
    <field x="2"/>
  </colFields>
  <colItems count="1">
    <i>
      <x v="2"/>
    </i>
  </colItems>
  <dataFields count="1">
    <dataField name="LABOR"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FFICULTY" xr10:uid="{75555676-43DB-48FB-A972-3AD971DBCEB7}" sourceName="DIFFICULTY">
  <pivotTables>
    <pivotTable tabId="5" name="CMLabor"/>
  </pivotTables>
  <data>
    <tabular pivotCacheId="1174516709">
      <items count="3">
        <i x="0"/>
        <i x="2"/>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YPE" xr10:uid="{C8CC7F19-1914-44DF-915E-D3B18AE1A9C2}" sourceName="LAYER">
  <extLst>
    <x:ext xmlns:x15="http://schemas.microsoft.com/office/spreadsheetml/2010/11/main" uri="{2F2917AC-EB37-4324-AD4E-5DD8C200BD13}">
      <x15:tableSlicerCache tableId="2" column="1"/>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IFFICULTY" xr10:uid="{15E3B298-3922-4C28-BF7D-4342E3AC1E9D}" cache="Slicer_DIFFICULTY" caption="COMPLEXITY" showCaption="0" style="SlicerStyleLight1 2"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TYPE" xr10:uid="{F52C196E-D176-4E96-A672-82B3A741E99B}" cache="Slicer_TYPE" caption="PARTS TO INCLUDE" columnCount="2" showCaption="0" style="SlicerStyleLight1 2" rowHeight="237744"/>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F84C31E-65E7-4D7E-B4CE-4A2E60E4A8A0}" name="Table1" displayName="Table1" ref="B17:N44" headerRowDxfId="32" dataDxfId="31" totalsRowDxfId="30">
  <autoFilter ref="B17:N44" xr:uid="{9F84C31E-65E7-4D7E-B4CE-4A2E60E4A8A0}"/>
  <sortState xmlns:xlrd2="http://schemas.microsoft.com/office/spreadsheetml/2017/richdata2" ref="B18:N44">
    <sortCondition ref="B17:B44"/>
  </sortState>
  <tableColumns count="13">
    <tableColumn id="1" xr3:uid="{0054A762-7779-497C-8036-019FC67A8C58}" name="LAYER" totalsRowLabel="Total" dataDxfId="29"/>
    <tableColumn id="2" xr3:uid="{5FEE609B-C33F-45BC-A623-E92F8CC38F43}" name="DESCRIPTION" dataDxfId="28"/>
    <tableColumn id="3" xr3:uid="{713A312D-F762-4446-AD66-BD3D2DF5348B}" name="MATERIAL" dataDxfId="27"/>
    <tableColumn id="4" xr3:uid="{9014CF50-B796-4D3F-8B10-554795610CD3}" name="QTY" dataDxfId="26"/>
    <tableColumn id="5" xr3:uid="{A94100A9-9006-4308-B693-64A6A29B7DCE}" name="LENGTH" dataDxfId="25"/>
    <tableColumn id="6" xr3:uid="{5B3A1D57-A2F9-4DF7-B0D0-69613C472DE0}" name="WIDTH" dataDxfId="24"/>
    <tableColumn id="7" xr3:uid="{8A370A4D-30D5-4C94-8904-645DB34A64C1}" name="THICKNESS" dataDxfId="23">
      <calculatedColumnFormula>_xlfn.XLOOKUP(Table1[[#This Row],[MATERIAL]],MatList[Description],MatList[ActT])</calculatedColumnFormula>
    </tableColumn>
    <tableColumn id="8" xr3:uid="{1435861E-A288-4929-9E99-256D7563E339}" name="SCRAP" dataDxfId="22" dataCellStyle="Percent">
      <calculatedColumnFormula>IFERROR(INDEX(MatList[SCRAP], MATCH(Table1[[#This Row],[MATERIAL]], MatList[Description], 0)),0)</calculatedColumnFormula>
    </tableColumn>
    <tableColumn id="9" xr3:uid="{973B1693-51F5-4A3A-A355-81328625C35B}" name="UOM" dataDxfId="21"/>
    <tableColumn id="10" xr3:uid="{0532D927-CA0F-47C2-A379-E51E6B528058}" name="QTY UOM" dataDxfId="20">
      <calculatedColumnFormula array="1">_xlfn.IFS(Table1[[#This Row],[UOM]]="BF",(Table1[[#This Row],[QTY]]*Table1[[#This Row],[LENGTH]]*_xlfn.XLOOKUP(Table1[[#This Row],[MATERIAL]],MatList[Description],MatList[NomW])*_xlfn.XLOOKUP(Table1[[#This Row],[MATERIAL]],MatList[Description],MatList[NomT])/144)*(1+Table1[[#This Row],[SCRAP]]),Table1[[#This Row],[UOM]]="SF",(Table1[[#This Row],[QTY]]*Table1[[#This Row],[LENGTH]]*Table1[[#This Row],[WIDTH]]/144)*(1+Table1[[#This Row],[SCRAP]]),Table1[[#This Row],[UOM]]="EA",Table1[[#This Row],[QTY]],NOT(OR(Table1[[#This Row],[UOM]]="BF",Table1[[#This Row],[UOM]]="SF",Table1[[#This Row],[UOM]]="EA")),0)</calculatedColumnFormula>
    </tableColumn>
    <tableColumn id="11" xr3:uid="{26301FED-A381-4DB1-9F51-D17BB29DDEE7}" name="$/UOM" dataDxfId="19" dataCellStyle="Currency">
      <calculatedColumnFormula>IFERROR(INDEX(MatList[UNIT PRICE], MATCH(Table1[[#This Row],[MATERIAL]], MatList[Description], 0)),0)</calculatedColumnFormula>
    </tableColumn>
    <tableColumn id="12" xr3:uid="{2CDF7EFF-3BB4-4FF2-A6D8-3569BE841C42}" name="COST" totalsRowFunction="sum" dataDxfId="18" dataCellStyle="Currency">
      <calculatedColumnFormula>Table1[[#This Row],[QTY UOM]]*Table1[[#This Row],[$/UOM]]</calculatedColumnFormula>
    </tableColumn>
    <tableColumn id="13" xr3:uid="{DFC30D25-CB03-4DDC-ACAF-C00AD071A8C5}" name="LABOR COMPONENT" totalsRowFunction="sum" dataDxfId="17" dataCellStyle="Percent"/>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7FEF6FE-F9EE-4E36-848C-CFD4F64CA9D4}" name="Table2" displayName="Table2" ref="B47:M56" totalsRowShown="0" headerRowDxfId="16" dataDxfId="15" headerRowBorderDxfId="13" tableBorderDxfId="14">
  <autoFilter ref="B47:M56" xr:uid="{E7FEF6FE-F9EE-4E36-848C-CFD4F64CA9D4}">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autoFilter>
  <tableColumns count="12">
    <tableColumn id="1" xr3:uid="{B6F29074-F0F1-4489-8802-0B7A6053D07A}" name="LAYER" dataDxfId="12"/>
    <tableColumn id="2" xr3:uid="{9F77A925-BEEB-4F67-8E06-5B3A1EE13AAC}" name="DESCRIPTION" dataDxfId="11"/>
    <tableColumn id="3" xr3:uid="{152686EE-0D72-4C06-ABA2-D789ACB9093E}" name="MATERIAL" dataDxfId="10"/>
    <tableColumn id="4" xr3:uid="{7AD82F04-5CC1-4A4E-9D33-139304E243CA}" name="QTY" dataDxfId="9"/>
    <tableColumn id="5" xr3:uid="{65420E9F-1E10-4C01-8C92-45E311D24216}" name="LENGTH" dataDxfId="8"/>
    <tableColumn id="6" xr3:uid="{DA04B3CC-B44B-449C-AECE-FBAD952223A6}" name="WIDTH" dataDxfId="7"/>
    <tableColumn id="7" xr3:uid="{81E80FF6-A31F-49DD-8BE8-F56F41DEA729}" name="THICKNESS" dataDxfId="6">
      <calculatedColumnFormula>IF(ISBLANK(Table2[[#This Row],[QTY]]),"",IFERROR(VLOOKUP($D48,MatList[],5,FALSE),0))</calculatedColumnFormula>
    </tableColumn>
    <tableColumn id="8" xr3:uid="{3FC2956A-E0F7-4794-8C66-0ABAF849A5C1}" name="SCRAP" dataDxfId="5">
      <calculatedColumnFormula>IF(ISBLANK(Table2[[#This Row],[QTY]]),"",IFERROR(INDEX(MatList[SCRAP], MATCH(Table2[[#This Row],[MATERIAL]], MatList[Description], 0)),0))</calculatedColumnFormula>
    </tableColumn>
    <tableColumn id="9" xr3:uid="{0FA4C52F-B796-4BC3-811B-21226963D030}" name="UOM" dataDxfId="4"/>
    <tableColumn id="10" xr3:uid="{E8EB1F2C-CA7D-4C32-9917-BA195B583AA8}" name="QTY UOM" dataDxfId="3">
      <calculatedColumnFormula>IF(Table2[[#This Row],[UOM]]="EA",Table2[[#This Row],[QTY]],IF(Table2[[#This Row],[UOM]]="BF",(Table2[[#This Row],[QTY]]*Table2[[#This Row],[LENGTH]]*Table2[[#This Row],[WIDTH]]*Table2[[#This Row],[THICKNESS]]/144)*(1+Table2[[#This Row],[SCRAP]]),IF(Table2[[#This Row],[UOM]]="SF",(Table2[[#This Row],[QTY]]*Table2[[#This Row],[LENGTH]]*Table2[[#This Row],[WIDTH]]/144)*(1+Table2[[#This Row],[SCRAP]]),IF(Table2[[#This Row],[UOM]]="","","WRONG UOM"))))</calculatedColumnFormula>
    </tableColumn>
    <tableColumn id="11" xr3:uid="{ADB46A2C-E7F4-4086-B319-FF9978CFA79A}" name="$/UOM" dataDxfId="2">
      <calculatedColumnFormula>IFERROR(IF(INDEX(MatList[UNIT PRICE], MATCH(Table2[[#This Row],[MATERIAL]], MatList[Description], 0))=0,"",INDEX(MatList[UNIT PRICE], MATCH(Table2[[#This Row],[MATERIAL]], MatList[Description], 0))),"")</calculatedColumnFormula>
    </tableColumn>
    <tableColumn id="12" xr3:uid="{5B391E1B-BF2D-4DF5-92AB-A5D8A47E3207}" name="COST" dataDxfId="1">
      <calculatedColumnFormula>IFERROR(Table2[[#This Row],[QTY UOM]]*Table2[[#This Row],[$/UOM]],"")</calculatedColumnFormula>
    </tableColumn>
  </tableColumns>
  <tableStyleInfo name="TableStyleLight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ED179559-BAD5-4C52-8E42-2A75B2B1C4C7}" name="MatList" displayName="MatList" ref="H2:P21" totalsRowShown="0">
  <autoFilter ref="H2:P21" xr:uid="{ED179559-BAD5-4C52-8E42-2A75B2B1C4C7}"/>
  <tableColumns count="9">
    <tableColumn id="1" xr3:uid="{AAC23627-2F61-4A1F-BD75-6C85E594D061}" name="Description"/>
    <tableColumn id="8" xr3:uid="{3271A5BB-441C-4A39-883C-515EF2729A3A}" name="PN"/>
    <tableColumn id="2" xr3:uid="{C0D55B65-2595-4B25-AAF4-F17D101DA614}" name="NomT"/>
    <tableColumn id="3" xr3:uid="{697C1768-7AFC-476A-BBFE-F4FC5894AFD5}" name="NomW"/>
    <tableColumn id="4" xr3:uid="{8F694A8F-2AD3-42DB-9012-23CCE35C3E46}" name="ActT"/>
    <tableColumn id="5" xr3:uid="{4FAA7F99-24EF-474E-A94E-82E5B5E6C8FF}" name="ActW"/>
    <tableColumn id="10" xr3:uid="{49F1ED6D-ACA9-4097-A1C0-E2529DC30F27}" name="SCRAP" dataDxfId="0" dataCellStyle="Percent"/>
    <tableColumn id="6" xr3:uid="{5249066F-7E82-4F5F-A1C2-B5474A3E0DB4}" name="UNIT PRICE" dataCellStyle="Currency"/>
    <tableColumn id="7" xr3:uid="{CD030E5B-D4B2-4297-97DC-FB7ECB634A84}" name="Price will be updated "/>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microsoft.com/office/2007/relationships/slicer" Target="../slicers/slicer2.xml"/><Relationship Id="rId5" Type="http://schemas.microsoft.com/office/2007/relationships/slicer" Target="../slicers/slicer1.xml"/><Relationship Id="rId4" Type="http://schemas.openxmlformats.org/officeDocument/2006/relationships/table" Target="../tables/table2.xml"/></Relationships>
</file>

<file path=xl/worksheets/_rels/sheet2.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C98073-9F19-4EC2-83F4-6595B20A214D}">
  <dimension ref="A1:AE59"/>
  <sheetViews>
    <sheetView tabSelected="1" topLeftCell="L1" zoomScale="115" zoomScaleNormal="115" workbookViewId="0">
      <selection activeCell="X12" sqref="X12"/>
    </sheetView>
  </sheetViews>
  <sheetFormatPr defaultRowHeight="15" customHeight="1"/>
  <cols>
    <col min="1" max="1" width="3.42578125" customWidth="1"/>
    <col min="2" max="8" width="17.140625" customWidth="1"/>
    <col min="9" max="9" width="17" customWidth="1"/>
    <col min="10" max="11" width="17.140625" customWidth="1"/>
    <col min="12" max="13" width="14.5703125" customWidth="1"/>
    <col min="14" max="14" width="7.85546875" hidden="1" customWidth="1"/>
    <col min="15" max="15" width="3.42578125" customWidth="1"/>
    <col min="19" max="20" width="11.140625" bestFit="1" customWidth="1"/>
    <col min="21" max="21" width="11.140625" customWidth="1"/>
    <col min="22" max="22" width="13.28515625" bestFit="1" customWidth="1"/>
    <col min="23" max="23" width="16.42578125" bestFit="1" customWidth="1"/>
    <col min="24" max="24" width="50.85546875" bestFit="1" customWidth="1"/>
    <col min="25" max="25" width="14" customWidth="1"/>
    <col min="26" max="26" width="8.42578125" customWidth="1"/>
    <col min="27" max="33" width="4.5703125" bestFit="1" customWidth="1"/>
    <col min="34" max="44" width="5.5703125" bestFit="1" customWidth="1"/>
    <col min="45" max="45" width="11.28515625" bestFit="1" customWidth="1"/>
  </cols>
  <sheetData>
    <row r="1" spans="1:31" ht="15" customHeight="1">
      <c r="A1" s="9"/>
      <c r="B1" s="10"/>
      <c r="C1" s="10"/>
      <c r="D1" s="10"/>
      <c r="E1" s="10"/>
      <c r="F1" s="10"/>
      <c r="G1" s="10"/>
      <c r="H1" s="10"/>
      <c r="I1" s="10"/>
      <c r="J1" s="10"/>
      <c r="K1" s="10"/>
      <c r="L1" s="10"/>
      <c r="M1" s="10"/>
      <c r="N1" s="10"/>
      <c r="O1" s="11"/>
      <c r="P1" s="1"/>
      <c r="Q1" s="1"/>
      <c r="R1" s="1"/>
      <c r="S1" s="1"/>
      <c r="T1" s="1"/>
      <c r="U1" s="1"/>
    </row>
    <row r="2" spans="1:31" ht="15" customHeight="1">
      <c r="A2" s="12"/>
      <c r="B2" s="9"/>
      <c r="C2" s="10"/>
      <c r="D2" s="10"/>
      <c r="E2" s="10"/>
      <c r="F2" s="10"/>
      <c r="G2" s="10"/>
      <c r="H2" s="10"/>
      <c r="I2" s="10"/>
      <c r="J2" s="10"/>
      <c r="K2" s="10"/>
      <c r="L2" s="10"/>
      <c r="M2" s="11"/>
      <c r="N2" s="1"/>
      <c r="O2" s="20"/>
      <c r="P2" s="1"/>
    </row>
    <row r="3" spans="1:31" ht="15" customHeight="1">
      <c r="A3" s="12"/>
      <c r="B3" s="12"/>
      <c r="C3" s="1"/>
      <c r="D3" s="1"/>
      <c r="E3" s="57" t="s">
        <v>0</v>
      </c>
      <c r="F3" s="57"/>
      <c r="G3" s="57"/>
      <c r="H3" s="57"/>
      <c r="I3" s="57"/>
      <c r="J3" s="1"/>
      <c r="K3" s="1"/>
      <c r="L3" s="13" t="s">
        <v>1</v>
      </c>
      <c r="M3" s="14" t="s">
        <v>2</v>
      </c>
      <c r="N3" s="1"/>
      <c r="O3" s="20"/>
      <c r="P3" s="1"/>
      <c r="Q3" s="1"/>
      <c r="R3" s="1"/>
      <c r="S3" s="1"/>
      <c r="T3" s="1"/>
      <c r="U3" s="1"/>
    </row>
    <row r="4" spans="1:31" ht="15" customHeight="1">
      <c r="A4" s="12"/>
      <c r="B4" s="12"/>
      <c r="C4" s="1"/>
      <c r="D4" s="1"/>
      <c r="E4" s="57"/>
      <c r="F4" s="57"/>
      <c r="G4" s="57"/>
      <c r="H4" s="57"/>
      <c r="I4" s="57"/>
      <c r="J4" s="1"/>
      <c r="K4" s="1"/>
      <c r="L4" s="13" t="s">
        <v>3</v>
      </c>
      <c r="M4" s="14">
        <v>0.1</v>
      </c>
      <c r="N4" s="1"/>
      <c r="O4" s="20"/>
      <c r="P4" s="1"/>
      <c r="Q4" s="1"/>
      <c r="R4" s="1"/>
      <c r="S4" s="1"/>
      <c r="T4" s="1"/>
      <c r="U4" s="1"/>
    </row>
    <row r="5" spans="1:31" ht="15" customHeight="1">
      <c r="A5" s="12"/>
      <c r="B5" s="12"/>
      <c r="C5" s="1"/>
      <c r="D5" s="1"/>
      <c r="E5" s="57"/>
      <c r="F5" s="57"/>
      <c r="G5" s="57"/>
      <c r="H5" s="57"/>
      <c r="I5" s="57"/>
      <c r="J5" s="1"/>
      <c r="K5" s="1"/>
      <c r="L5" s="13" t="s">
        <v>4</v>
      </c>
      <c r="M5" s="14" t="s">
        <v>5</v>
      </c>
      <c r="N5" s="1"/>
      <c r="O5" s="20"/>
      <c r="P5" s="1"/>
      <c r="Q5" s="1"/>
      <c r="R5" s="1"/>
      <c r="S5" s="1"/>
      <c r="T5" s="1"/>
      <c r="U5" s="1"/>
    </row>
    <row r="6" spans="1:31" ht="15" customHeight="1">
      <c r="A6" s="12"/>
      <c r="B6" s="15"/>
      <c r="C6" s="16"/>
      <c r="D6" s="16"/>
      <c r="E6" s="16"/>
      <c r="F6" s="16"/>
      <c r="G6" s="16"/>
      <c r="H6" s="16"/>
      <c r="I6" s="16"/>
      <c r="J6" s="16"/>
      <c r="K6" s="16"/>
      <c r="L6" s="16"/>
      <c r="M6" s="17"/>
      <c r="N6" s="1"/>
      <c r="O6" s="20"/>
      <c r="P6" s="1"/>
      <c r="Q6" s="1"/>
      <c r="R6" s="1"/>
      <c r="S6" s="1"/>
      <c r="T6" s="1"/>
      <c r="U6" s="1"/>
    </row>
    <row r="7" spans="1:31" ht="15" customHeight="1">
      <c r="A7" s="12"/>
      <c r="B7" s="1"/>
      <c r="C7" s="1"/>
      <c r="D7" s="1"/>
      <c r="E7" s="1"/>
      <c r="F7" s="1"/>
      <c r="G7" s="1"/>
      <c r="H7" s="1"/>
      <c r="I7" s="1"/>
      <c r="J7" s="1"/>
      <c r="K7" s="1"/>
      <c r="L7" s="1"/>
      <c r="M7" s="1"/>
      <c r="N7" s="1"/>
      <c r="O7" s="20"/>
      <c r="P7" s="1"/>
      <c r="Q7" s="1"/>
      <c r="R7" s="1"/>
      <c r="S7" s="1"/>
      <c r="T7" s="1"/>
      <c r="U7" s="1"/>
    </row>
    <row r="8" spans="1:31" ht="15" customHeight="1">
      <c r="A8" s="12"/>
      <c r="B8" s="18" t="s">
        <v>6</v>
      </c>
      <c r="C8" s="73" t="s">
        <v>7</v>
      </c>
      <c r="D8" s="73"/>
      <c r="E8" s="73"/>
      <c r="F8" s="73"/>
      <c r="G8" s="1"/>
      <c r="H8" s="1"/>
      <c r="I8" s="1"/>
      <c r="J8" s="1"/>
      <c r="K8" s="2" t="s">
        <v>8</v>
      </c>
      <c r="L8" s="3"/>
      <c r="M8" s="5">
        <f>SUBTOTAL(109,Table1[COST])</f>
        <v>911.94260381944412</v>
      </c>
      <c r="N8" s="1"/>
      <c r="O8" s="20"/>
      <c r="P8" s="56" t="s">
        <v>9</v>
      </c>
      <c r="Q8" s="1"/>
      <c r="R8" s="36"/>
      <c r="S8" s="1"/>
      <c r="T8" s="1"/>
      <c r="U8" s="1"/>
    </row>
    <row r="9" spans="1:31" ht="15" customHeight="1">
      <c r="A9" s="12"/>
      <c r="B9" s="18" t="s">
        <v>10</v>
      </c>
      <c r="C9" s="73" t="s">
        <v>11</v>
      </c>
      <c r="D9" s="73"/>
      <c r="E9" s="73"/>
      <c r="F9" s="73"/>
      <c r="G9" s="1"/>
      <c r="H9" s="1"/>
      <c r="I9" s="1"/>
      <c r="J9" s="1"/>
      <c r="K9" s="4" t="s">
        <v>12</v>
      </c>
      <c r="L9" s="19">
        <f>(INDEX(DATA!$B$4:$B$19,MATCH(F14,DATA!$A$4:$A$19,1))*F14)/60</f>
        <v>11.459773498535156</v>
      </c>
      <c r="M9" s="6">
        <f>L9*38</f>
        <v>435.47139294433595</v>
      </c>
      <c r="N9" s="1"/>
      <c r="O9" s="20"/>
      <c r="P9" s="53"/>
      <c r="Q9" s="49" t="s">
        <v>13</v>
      </c>
      <c r="R9" s="50" t="s">
        <v>14</v>
      </c>
      <c r="S9" s="51" t="s">
        <v>15</v>
      </c>
      <c r="T9" s="49" t="s">
        <v>16</v>
      </c>
      <c r="U9" s="52" t="s">
        <v>17</v>
      </c>
      <c r="V9" s="49" t="s">
        <v>18</v>
      </c>
      <c r="W9" s="51" t="s">
        <v>19</v>
      </c>
      <c r="X9" s="49" t="s">
        <v>20</v>
      </c>
      <c r="Y9" s="27"/>
      <c r="Z9" s="27"/>
      <c r="AA9" s="27"/>
      <c r="AB9" s="27"/>
      <c r="AC9" s="27"/>
      <c r="AD9" s="27"/>
      <c r="AE9" s="27"/>
    </row>
    <row r="10" spans="1:31" ht="15" customHeight="1">
      <c r="A10" s="12"/>
      <c r="B10" s="18" t="s">
        <v>21</v>
      </c>
      <c r="C10" s="73" t="s">
        <v>22</v>
      </c>
      <c r="D10" s="73"/>
      <c r="E10" s="73"/>
      <c r="F10" s="73"/>
      <c r="G10" s="1"/>
      <c r="H10" s="1"/>
      <c r="I10" s="1"/>
      <c r="J10" s="1"/>
      <c r="K10" s="4" t="s">
        <v>23</v>
      </c>
      <c r="L10" s="1"/>
      <c r="M10" s="28">
        <v>0.48</v>
      </c>
      <c r="N10" s="1"/>
      <c r="O10" s="20"/>
      <c r="P10" s="54" t="s">
        <v>24</v>
      </c>
      <c r="Q10" s="34">
        <v>1</v>
      </c>
      <c r="R10" s="37">
        <v>0.75</v>
      </c>
      <c r="S10" s="38">
        <f>SUBTOTAL(109,Table1[COST])*Q10</f>
        <v>911.94260381944412</v>
      </c>
      <c r="T10" s="29">
        <f>S10*R10</f>
        <v>683.95695286458306</v>
      </c>
      <c r="U10" s="45">
        <f>T10/35</f>
        <v>19.541627224702374</v>
      </c>
      <c r="V10" s="29">
        <f t="shared" ref="V10:V11" si="0">SUM(S10:T10)</f>
        <v>1595.8995566840272</v>
      </c>
      <c r="W10" s="38">
        <f>V10/(1-$M$10)</f>
        <v>3069.0376090077443</v>
      </c>
      <c r="X10" t="s">
        <v>25</v>
      </c>
    </row>
    <row r="11" spans="1:31" ht="15" customHeight="1">
      <c r="A11" s="12"/>
      <c r="B11" s="1"/>
      <c r="C11" s="1"/>
      <c r="D11" s="1"/>
      <c r="E11" s="1"/>
      <c r="F11" s="1"/>
      <c r="G11" s="1"/>
      <c r="H11" s="1"/>
      <c r="I11" s="1"/>
      <c r="J11" s="1"/>
      <c r="K11" s="71" t="s">
        <v>26</v>
      </c>
      <c r="L11" s="72"/>
      <c r="M11" s="70">
        <f>SUM(SUBTOTAL(109,Table1[COST]),SUBTOTAL(109,Table2[COST]),M9)/(1-M10)</f>
        <v>2591.180763007269</v>
      </c>
      <c r="N11" s="1"/>
      <c r="O11" s="20"/>
      <c r="P11" s="55" t="s">
        <v>27</v>
      </c>
      <c r="Q11" s="35">
        <v>1</v>
      </c>
      <c r="R11" s="37">
        <v>1</v>
      </c>
      <c r="S11" s="38">
        <f>SUBTOTAL(109,Table1[COST])*Q11</f>
        <v>911.94260381944412</v>
      </c>
      <c r="T11" s="29">
        <f>S11*R11</f>
        <v>911.94260381944412</v>
      </c>
      <c r="U11" s="45">
        <f t="shared" ref="U11:U12" si="1">T11/35</f>
        <v>26.055502966269831</v>
      </c>
      <c r="V11" s="29">
        <f t="shared" si="0"/>
        <v>1823.8852076388882</v>
      </c>
      <c r="W11" s="38">
        <f t="shared" ref="W11:W12" si="2">V11/(1-$M$10)</f>
        <v>3507.4715531517081</v>
      </c>
      <c r="X11" t="s">
        <v>28</v>
      </c>
    </row>
    <row r="12" spans="1:31" ht="15" customHeight="1">
      <c r="A12" s="12"/>
      <c r="B12" s="1"/>
      <c r="C12" s="18" t="s">
        <v>29</v>
      </c>
      <c r="D12" s="18" t="s">
        <v>30</v>
      </c>
      <c r="E12" s="18" t="s">
        <v>31</v>
      </c>
      <c r="F12" s="18" t="s">
        <v>32</v>
      </c>
      <c r="G12" s="1"/>
      <c r="H12" s="1"/>
      <c r="I12" s="1"/>
      <c r="J12" s="1"/>
      <c r="K12" s="71"/>
      <c r="L12" s="72"/>
      <c r="M12" s="70"/>
      <c r="N12" s="1"/>
      <c r="O12" s="20"/>
      <c r="P12" s="55" t="s">
        <v>33</v>
      </c>
      <c r="Q12" s="35">
        <v>1.2</v>
      </c>
      <c r="R12" s="37">
        <v>1.2</v>
      </c>
      <c r="S12" s="38">
        <f>SUBTOTAL(109,Table1[COST])*Q12</f>
        <v>1094.3311245833329</v>
      </c>
      <c r="T12" s="29">
        <f>S12*R12</f>
        <v>1313.1973494999995</v>
      </c>
      <c r="U12" s="45">
        <f t="shared" si="1"/>
        <v>37.519924271428557</v>
      </c>
      <c r="V12" s="29">
        <f>SUM(S12:T12)</f>
        <v>2407.5284740833322</v>
      </c>
      <c r="W12" s="38">
        <f t="shared" si="2"/>
        <v>4629.8624501602544</v>
      </c>
      <c r="X12" t="s">
        <v>34</v>
      </c>
    </row>
    <row r="13" spans="1:31" ht="15" customHeight="1">
      <c r="A13" s="12"/>
      <c r="B13" s="18" t="s">
        <v>35</v>
      </c>
      <c r="C13" s="43">
        <v>120</v>
      </c>
      <c r="D13" s="43">
        <v>96</v>
      </c>
      <c r="E13" s="43">
        <v>116</v>
      </c>
      <c r="F13" s="30">
        <f>C13*D13*E13/1728</f>
        <v>773.33333333333337</v>
      </c>
      <c r="G13" s="1"/>
      <c r="H13" s="1"/>
      <c r="I13" s="1"/>
      <c r="J13" s="1"/>
      <c r="K13" s="64" t="s">
        <v>36</v>
      </c>
      <c r="L13" s="65"/>
      <c r="M13" s="66"/>
      <c r="N13" s="1"/>
      <c r="O13" s="20"/>
      <c r="P13" s="1"/>
      <c r="R13" s="39"/>
      <c r="S13" s="1"/>
      <c r="T13" s="1"/>
      <c r="U13" s="1"/>
    </row>
    <row r="14" spans="1:31" ht="15" customHeight="1">
      <c r="A14" s="12"/>
      <c r="B14" s="18" t="s">
        <v>37</v>
      </c>
      <c r="C14" s="30">
        <f>C13+SUM(H24:H25)*2</f>
        <v>122.25</v>
      </c>
      <c r="D14" s="30">
        <f>D13+SUM(H20:H21)*2</f>
        <v>98.25</v>
      </c>
      <c r="E14" s="30">
        <f>SUM($E$13,$H$18,$H$19,$H$28,$H$29)</f>
        <v>122.125</v>
      </c>
      <c r="F14" s="30">
        <f>C14*D14*E14/1728</f>
        <v>848.87211100260413</v>
      </c>
      <c r="G14" s="1"/>
      <c r="H14" s="1"/>
      <c r="I14" s="1"/>
      <c r="J14" s="1"/>
      <c r="K14" s="67"/>
      <c r="L14" s="68"/>
      <c r="M14" s="69"/>
      <c r="N14" s="1"/>
      <c r="O14" s="20"/>
      <c r="P14" s="1"/>
      <c r="Q14" s="1"/>
      <c r="R14" s="1"/>
      <c r="S14" s="1"/>
      <c r="T14" s="1"/>
      <c r="U14" s="1"/>
    </row>
    <row r="15" spans="1:31" ht="15" customHeight="1">
      <c r="A15" s="12"/>
      <c r="B15" s="1"/>
      <c r="C15" s="1"/>
      <c r="D15" s="1"/>
      <c r="E15" s="1"/>
      <c r="F15" s="1"/>
      <c r="G15" s="1"/>
      <c r="H15" s="1"/>
      <c r="I15" s="1"/>
      <c r="J15" s="1"/>
      <c r="K15" s="1"/>
      <c r="L15" s="1"/>
      <c r="M15" s="1"/>
      <c r="N15" s="1"/>
      <c r="O15" s="20"/>
      <c r="P15" s="1"/>
      <c r="Q15" s="1"/>
      <c r="R15" s="1"/>
      <c r="S15" s="1"/>
      <c r="T15" s="1"/>
      <c r="U15" s="1"/>
    </row>
    <row r="16" spans="1:31" ht="15" customHeight="1">
      <c r="A16" s="12"/>
      <c r="B16" s="61" t="s">
        <v>38</v>
      </c>
      <c r="C16" s="62"/>
      <c r="D16" s="62"/>
      <c r="E16" s="62"/>
      <c r="F16" s="62"/>
      <c r="G16" s="62"/>
      <c r="H16" s="62"/>
      <c r="I16" s="62"/>
      <c r="J16" s="62"/>
      <c r="K16" s="62"/>
      <c r="L16" s="62"/>
      <c r="M16" s="63"/>
      <c r="N16" s="21"/>
      <c r="O16" s="20"/>
      <c r="P16" s="1"/>
      <c r="Q16" s="1"/>
      <c r="R16" s="1"/>
      <c r="S16" s="1"/>
      <c r="T16" s="1"/>
      <c r="U16" s="1"/>
    </row>
    <row r="17" spans="1:25" ht="15" customHeight="1">
      <c r="A17" s="12"/>
      <c r="B17" s="1" t="s">
        <v>39</v>
      </c>
      <c r="C17" s="1" t="s">
        <v>40</v>
      </c>
      <c r="D17" s="1" t="s">
        <v>41</v>
      </c>
      <c r="E17" s="22" t="s">
        <v>42</v>
      </c>
      <c r="F17" s="22" t="s">
        <v>43</v>
      </c>
      <c r="G17" s="22" t="s">
        <v>44</v>
      </c>
      <c r="H17" s="22" t="s">
        <v>45</v>
      </c>
      <c r="I17" s="22" t="s">
        <v>46</v>
      </c>
      <c r="J17" s="22" t="s">
        <v>47</v>
      </c>
      <c r="K17" s="22" t="s">
        <v>48</v>
      </c>
      <c r="L17" s="22" t="s">
        <v>49</v>
      </c>
      <c r="M17" s="22" t="s">
        <v>50</v>
      </c>
      <c r="N17" s="1" t="s">
        <v>51</v>
      </c>
      <c r="O17" s="20"/>
      <c r="P17" s="1"/>
      <c r="Q17" s="1"/>
      <c r="R17" s="1"/>
      <c r="S17" s="1"/>
      <c r="T17" s="1"/>
      <c r="U17" s="1"/>
    </row>
    <row r="18" spans="1:25" ht="15" customHeight="1">
      <c r="A18" s="12"/>
      <c r="B18" s="1" t="s">
        <v>52</v>
      </c>
      <c r="C18" s="1" t="s">
        <v>53</v>
      </c>
      <c r="D18" s="1" t="s">
        <v>54</v>
      </c>
      <c r="E18" s="22">
        <f>ROUNDUP((C13-Table1[[#This Row],[WIDTH]]*2)/24,0)+1</f>
        <v>6</v>
      </c>
      <c r="F18" s="23">
        <f>D14</f>
        <v>98.25</v>
      </c>
      <c r="G18" s="23">
        <f>_xlfn.XLOOKUP(Table1[[#This Row],[MATERIAL]],MatList[Description],MatList[ActW])</f>
        <v>3.5</v>
      </c>
      <c r="H18" s="23">
        <f>_xlfn.XLOOKUP(Table1[[#This Row],[MATERIAL]],MatList[Description],MatList[ActT])</f>
        <v>3.5</v>
      </c>
      <c r="I18" s="26">
        <f>IFERROR(INDEX(MatList[SCRAP], MATCH(Table1[[#This Row],[MATERIAL]], MatList[Description], 0)),0)</f>
        <v>0.24</v>
      </c>
      <c r="J18" s="22" t="s">
        <v>55</v>
      </c>
      <c r="K18" s="23" cm="1">
        <f t="array" ref="K18">_xlfn.IFS(Table1[[#This Row],[UOM]]="BF",(Table1[[#This Row],[QTY]]*Table1[[#This Row],[LENGTH]]*_xlfn.XLOOKUP(Table1[[#This Row],[MATERIAL]],MatList[Description],MatList[NomW])*_xlfn.XLOOKUP(Table1[[#This Row],[MATERIAL]],MatList[Description],MatList[NomT])/144)*(1+Table1[[#This Row],[SCRAP]]),Table1[[#This Row],[UOM]]="SF",(Table1[[#This Row],[QTY]]*Table1[[#This Row],[LENGTH]]*Table1[[#This Row],[WIDTH]]/144)*(1+Table1[[#This Row],[SCRAP]]),Table1[[#This Row],[UOM]]="EA",Table1[[#This Row],[QTY]],NOT(OR(Table1[[#This Row],[UOM]]="BF",Table1[[#This Row],[UOM]]="SF",Table1[[#This Row],[UOM]]="EA")),0)</f>
        <v>81.22</v>
      </c>
      <c r="L18" s="23">
        <f>IFERROR(INDEX(MatList[UNIT PRICE], MATCH(Table1[[#This Row],[MATERIAL]], MatList[Description], 0)),0)</f>
        <v>0.61099999999999999</v>
      </c>
      <c r="M18" s="23">
        <f>Table1[[#This Row],[QTY UOM]]*Table1[[#This Row],[$/UOM]]</f>
        <v>49.625419999999998</v>
      </c>
      <c r="N18" s="1">
        <v>0.35</v>
      </c>
      <c r="O18" s="20"/>
      <c r="P18" s="1"/>
      <c r="Q18" s="1"/>
      <c r="R18" s="1"/>
      <c r="S18" s="1"/>
      <c r="T18" s="1"/>
      <c r="U18" s="1"/>
    </row>
    <row r="19" spans="1:25" ht="15" customHeight="1">
      <c r="A19" s="12"/>
      <c r="B19" s="1" t="s">
        <v>52</v>
      </c>
      <c r="C19" s="1" t="s">
        <v>56</v>
      </c>
      <c r="D19" s="1" t="s">
        <v>57</v>
      </c>
      <c r="E19" s="22">
        <f>ROUNDUP(D13/G19,0)</f>
        <v>11</v>
      </c>
      <c r="F19" s="23">
        <f>C13</f>
        <v>120</v>
      </c>
      <c r="G19" s="23">
        <f>_xlfn.XLOOKUP(Table1[[#This Row],[MATERIAL]],MatList[Description],MatList[ActW])</f>
        <v>9.25</v>
      </c>
      <c r="H19" s="23">
        <f>_xlfn.XLOOKUP(Table1[[#This Row],[MATERIAL]],MatList[Description],MatList[ActT])</f>
        <v>1.5</v>
      </c>
      <c r="I19" s="26">
        <f>IFERROR(INDEX(MatList[SCRAP], MATCH(Table1[[#This Row],[MATERIAL]], MatList[Description], 0)),0)</f>
        <v>0.24</v>
      </c>
      <c r="J19" s="22" t="s">
        <v>55</v>
      </c>
      <c r="K19" s="23" cm="1">
        <f t="array" ref="K19">_xlfn.IFS(Table1[[#This Row],[UOM]]="BF",(Table1[[#This Row],[QTY]]*Table1[[#This Row],[LENGTH]]*_xlfn.XLOOKUP(Table1[[#This Row],[MATERIAL]],MatList[Description],MatList[NomW])*_xlfn.XLOOKUP(Table1[[#This Row],[MATERIAL]],MatList[Description],MatList[NomT])/144)*(1+Table1[[#This Row],[SCRAP]]),Table1[[#This Row],[UOM]]="SF",(Table1[[#This Row],[QTY]]*Table1[[#This Row],[LENGTH]]*Table1[[#This Row],[WIDTH]]/144)*(1+Table1[[#This Row],[SCRAP]]),Table1[[#This Row],[UOM]]="EA",Table1[[#This Row],[QTY]],NOT(OR(Table1[[#This Row],[UOM]]="BF",Table1[[#This Row],[UOM]]="SF",Table1[[#This Row],[UOM]]="EA")),0)</f>
        <v>227.33333333333334</v>
      </c>
      <c r="L19" s="23">
        <f>IFERROR(INDEX(MatList[UNIT PRICE], MATCH(Table1[[#This Row],[MATERIAL]], MatList[Description], 0)),0)</f>
        <v>0.372</v>
      </c>
      <c r="M19" s="23">
        <f>Table1[[#This Row],[QTY UOM]]*Table1[[#This Row],[$/UOM]]</f>
        <v>84.567999999999998</v>
      </c>
      <c r="N19" s="1"/>
      <c r="O19" s="20"/>
      <c r="P19" s="1"/>
      <c r="Q19" s="1"/>
      <c r="R19" s="47"/>
      <c r="S19" s="1"/>
      <c r="T19" s="1"/>
      <c r="U19" s="1"/>
    </row>
    <row r="20" spans="1:25" ht="15" customHeight="1">
      <c r="A20" s="12"/>
      <c r="B20" s="1" t="s">
        <v>52</v>
      </c>
      <c r="C20" s="1" t="s">
        <v>58</v>
      </c>
      <c r="D20" s="1" t="s">
        <v>59</v>
      </c>
      <c r="E20" s="22">
        <v>2</v>
      </c>
      <c r="F20" s="23">
        <f>C14</f>
        <v>122.25</v>
      </c>
      <c r="G20" s="23">
        <f>$E$13+$H$19</f>
        <v>117.5</v>
      </c>
      <c r="H20" s="23">
        <f>_xlfn.XLOOKUP(Table1[[#This Row],[MATERIAL]],MatList[Description],MatList[ActT])</f>
        <v>0.375</v>
      </c>
      <c r="I20" s="42">
        <f>IFERROR(INDEX(MatList[SCRAP], MATCH(Table1[[#This Row],[MATERIAL]], MatList[Description], 0)),0)</f>
        <v>0.2</v>
      </c>
      <c r="J20" s="22" t="s">
        <v>60</v>
      </c>
      <c r="K20" s="23" cm="1">
        <f t="array" ref="K20">_xlfn.IFS(Table1[[#This Row],[UOM]]="BF",(Table1[[#This Row],[QTY]]*Table1[[#This Row],[LENGTH]]*_xlfn.XLOOKUP(Table1[[#This Row],[MATERIAL]],MatList[Description],MatList[NomW])*_xlfn.XLOOKUP(Table1[[#This Row],[MATERIAL]],MatList[Description],MatList[NomT])/144)*(1+Table1[[#This Row],[SCRAP]]),Table1[[#This Row],[UOM]]="SF",(Table1[[#This Row],[QTY]]*Table1[[#This Row],[LENGTH]]*Table1[[#This Row],[WIDTH]]/144)*(1+Table1[[#This Row],[SCRAP]]),Table1[[#This Row],[UOM]]="EA",Table1[[#This Row],[QTY]],NOT(OR(Table1[[#This Row],[UOM]]="BF",Table1[[#This Row],[UOM]]="SF",Table1[[#This Row],[UOM]]="EA")),0)</f>
        <v>239.40625</v>
      </c>
      <c r="L20" s="23">
        <f>IFERROR(INDEX(MatList[UNIT PRICE], MATCH(Table1[[#This Row],[MATERIAL]], MatList[Description], 0)),0)</f>
        <v>0.49</v>
      </c>
      <c r="M20" s="23">
        <f>Table1[[#This Row],[QTY UOM]]*Table1[[#This Row],[$/UOM]]</f>
        <v>117.3090625</v>
      </c>
      <c r="N20" s="1">
        <v>7.0000000000000007E-2</v>
      </c>
      <c r="O20" s="20"/>
      <c r="P20" s="1"/>
      <c r="Q20" s="1"/>
      <c r="R20" s="47"/>
      <c r="S20" s="1"/>
      <c r="T20" s="1"/>
      <c r="U20" s="1"/>
    </row>
    <row r="21" spans="1:25" ht="15" customHeight="1">
      <c r="A21" s="12"/>
      <c r="B21" s="1" t="s">
        <v>52</v>
      </c>
      <c r="C21" s="1" t="s">
        <v>61</v>
      </c>
      <c r="D21" s="1" t="s">
        <v>62</v>
      </c>
      <c r="E21" s="22">
        <v>4</v>
      </c>
      <c r="F21" s="23">
        <f>F20</f>
        <v>122.25</v>
      </c>
      <c r="G21" s="23">
        <f>_xlfn.XLOOKUP(Table1[[#This Row],[MATERIAL]],MatList[Description],MatList[ActW])</f>
        <v>3.5</v>
      </c>
      <c r="H21" s="23">
        <f>_xlfn.XLOOKUP(Table1[[#This Row],[MATERIAL]],MatList[Description],MatList[ActT])</f>
        <v>0.75</v>
      </c>
      <c r="I21" s="42">
        <f>IFERROR(INDEX(MatList[SCRAP], MATCH(Table1[[#This Row],[MATERIAL]], MatList[Description], 0)),0)</f>
        <v>0.1</v>
      </c>
      <c r="J21" s="22" t="s">
        <v>55</v>
      </c>
      <c r="K21" s="23" cm="1">
        <f t="array" ref="K21">_xlfn.IFS(Table1[[#This Row],[UOM]]="BF",(Table1[[#This Row],[QTY]]*Table1[[#This Row],[LENGTH]]*_xlfn.XLOOKUP(Table1[[#This Row],[MATERIAL]],MatList[Description],MatList[NomW])*_xlfn.XLOOKUP(Table1[[#This Row],[MATERIAL]],MatList[Description],MatList[NomT])/144)*(1+Table1[[#This Row],[SCRAP]]),Table1[[#This Row],[UOM]]="SF",(Table1[[#This Row],[QTY]]*Table1[[#This Row],[LENGTH]]*Table1[[#This Row],[WIDTH]]/144)*(1+Table1[[#This Row],[SCRAP]]),Table1[[#This Row],[UOM]]="EA",Table1[[#This Row],[QTY]],NOT(OR(Table1[[#This Row],[UOM]]="BF",Table1[[#This Row],[UOM]]="SF",Table1[[#This Row],[UOM]]="EA")),0)</f>
        <v>14.941666666666668</v>
      </c>
      <c r="L21" s="23">
        <f>IFERROR(INDEX(MatList[UNIT PRICE], MATCH(Table1[[#This Row],[MATERIAL]], MatList[Description], 0)),0)</f>
        <v>0.89500000000000002</v>
      </c>
      <c r="M21" s="23">
        <f>Table1[[#This Row],[QTY UOM]]*Table1[[#This Row],[$/UOM]]</f>
        <v>13.372791666666668</v>
      </c>
      <c r="N21" s="1"/>
      <c r="O21" s="20"/>
      <c r="P21" s="1"/>
      <c r="Q21" s="1"/>
      <c r="R21" s="1"/>
      <c r="S21" s="1"/>
      <c r="T21" s="1"/>
      <c r="U21" s="1"/>
      <c r="Y21" s="48"/>
    </row>
    <row r="22" spans="1:25" ht="15" customHeight="1">
      <c r="A22" s="12"/>
      <c r="B22" s="1" t="s">
        <v>52</v>
      </c>
      <c r="C22" s="1" t="s">
        <v>63</v>
      </c>
      <c r="D22" s="1" t="s">
        <v>62</v>
      </c>
      <c r="E22" s="22">
        <v>4</v>
      </c>
      <c r="F22" s="23">
        <f>G20-(G21*2)</f>
        <v>110.5</v>
      </c>
      <c r="G22" s="23">
        <f>_xlfn.XLOOKUP(Table1[[#This Row],[MATERIAL]],MatList[Description],MatList[ActW])</f>
        <v>3.5</v>
      </c>
      <c r="H22" s="23">
        <f>_xlfn.XLOOKUP(Table1[[#This Row],[MATERIAL]],MatList[Description],MatList[ActT])</f>
        <v>0.75</v>
      </c>
      <c r="I22" s="42">
        <f>IFERROR(INDEX(MatList[SCRAP], MATCH(Table1[[#This Row],[MATERIAL]], MatList[Description], 0)),0)</f>
        <v>0.1</v>
      </c>
      <c r="J22" s="22" t="s">
        <v>55</v>
      </c>
      <c r="K22" s="23" cm="1">
        <f t="array" ref="K22">_xlfn.IFS(Table1[[#This Row],[UOM]]="BF",(Table1[[#This Row],[QTY]]*Table1[[#This Row],[LENGTH]]*_xlfn.XLOOKUP(Table1[[#This Row],[MATERIAL]],MatList[Description],MatList[NomW])*_xlfn.XLOOKUP(Table1[[#This Row],[MATERIAL]],MatList[Description],MatList[NomT])/144)*(1+Table1[[#This Row],[SCRAP]]),Table1[[#This Row],[UOM]]="SF",(Table1[[#This Row],[QTY]]*Table1[[#This Row],[LENGTH]]*Table1[[#This Row],[WIDTH]]/144)*(1+Table1[[#This Row],[SCRAP]]),Table1[[#This Row],[UOM]]="EA",Table1[[#This Row],[QTY]],NOT(OR(Table1[[#This Row],[UOM]]="BF",Table1[[#This Row],[UOM]]="SF",Table1[[#This Row],[UOM]]="EA")),0)</f>
        <v>13.505555555555558</v>
      </c>
      <c r="L22" s="23">
        <f>IFERROR(INDEX(MatList[UNIT PRICE], MATCH(Table1[[#This Row],[MATERIAL]], MatList[Description], 0)),0)</f>
        <v>0.89500000000000002</v>
      </c>
      <c r="M22" s="23">
        <f>Table1[[#This Row],[QTY UOM]]*Table1[[#This Row],[$/UOM]]</f>
        <v>12.087472222222225</v>
      </c>
      <c r="N22" s="1"/>
      <c r="O22" s="20"/>
      <c r="P22" s="1"/>
      <c r="Q22" s="1"/>
      <c r="R22" s="1"/>
      <c r="S22" s="1"/>
      <c r="T22" s="1"/>
      <c r="U22" s="1"/>
    </row>
    <row r="23" spans="1:25" ht="15" customHeight="1">
      <c r="A23" s="12"/>
      <c r="B23" s="1" t="s">
        <v>52</v>
      </c>
      <c r="C23" s="1" t="s">
        <v>64</v>
      </c>
      <c r="D23" s="1" t="s">
        <v>62</v>
      </c>
      <c r="E23" s="22">
        <f>INT(($C$13-3.5)/24)*2</f>
        <v>8</v>
      </c>
      <c r="F23" s="23">
        <f>G20-(G21*2)</f>
        <v>110.5</v>
      </c>
      <c r="G23" s="23">
        <f>_xlfn.XLOOKUP(Table1[[#This Row],[MATERIAL]],MatList[Description],MatList[ActW])</f>
        <v>3.5</v>
      </c>
      <c r="H23" s="23">
        <f>_xlfn.XLOOKUP(Table1[[#This Row],[MATERIAL]],MatList[Description],MatList[ActT])</f>
        <v>0.75</v>
      </c>
      <c r="I23" s="42">
        <f>IFERROR(INDEX(MatList[SCRAP], MATCH(Table1[[#This Row],[MATERIAL]], MatList[Description], 0)),0)</f>
        <v>0.1</v>
      </c>
      <c r="J23" s="22" t="s">
        <v>55</v>
      </c>
      <c r="K23" s="23" cm="1">
        <f t="array" ref="K23">_xlfn.IFS(Table1[[#This Row],[UOM]]="BF",(Table1[[#This Row],[QTY]]*Table1[[#This Row],[LENGTH]]*_xlfn.XLOOKUP(Table1[[#This Row],[MATERIAL]],MatList[Description],MatList[NomW])*_xlfn.XLOOKUP(Table1[[#This Row],[MATERIAL]],MatList[Description],MatList[NomT])/144)*(1+Table1[[#This Row],[SCRAP]]),Table1[[#This Row],[UOM]]="SF",(Table1[[#This Row],[QTY]]*Table1[[#This Row],[LENGTH]]*Table1[[#This Row],[WIDTH]]/144)*(1+Table1[[#This Row],[SCRAP]]),Table1[[#This Row],[UOM]]="EA",Table1[[#This Row],[QTY]],NOT(OR(Table1[[#This Row],[UOM]]="BF",Table1[[#This Row],[UOM]]="SF",Table1[[#This Row],[UOM]]="EA")),0)</f>
        <v>27.011111111111116</v>
      </c>
      <c r="L23" s="23">
        <f>IFERROR(INDEX(MatList[UNIT PRICE], MATCH(Table1[[#This Row],[MATERIAL]], MatList[Description], 0)),0)</f>
        <v>0.89500000000000002</v>
      </c>
      <c r="M23" s="23">
        <f>Table1[[#This Row],[QTY UOM]]*Table1[[#This Row],[$/UOM]]</f>
        <v>24.174944444444449</v>
      </c>
      <c r="N23" s="1"/>
      <c r="O23" s="20"/>
      <c r="P23" s="1"/>
      <c r="Q23" s="1"/>
      <c r="R23" s="1"/>
      <c r="S23" s="1"/>
      <c r="T23" s="1"/>
      <c r="U23" s="1"/>
    </row>
    <row r="24" spans="1:25" ht="15" customHeight="1">
      <c r="A24" s="12"/>
      <c r="B24" s="1" t="s">
        <v>52</v>
      </c>
      <c r="C24" s="1" t="s">
        <v>65</v>
      </c>
      <c r="D24" s="1" t="s">
        <v>59</v>
      </c>
      <c r="E24" s="22">
        <v>2</v>
      </c>
      <c r="F24" s="23">
        <f>$D$13</f>
        <v>96</v>
      </c>
      <c r="G24" s="23">
        <f>$E$13+$H$19+$H$18</f>
        <v>121</v>
      </c>
      <c r="H24" s="23">
        <f>_xlfn.XLOOKUP(Table1[[#This Row],[MATERIAL]],MatList[Description],MatList[ActT])</f>
        <v>0.375</v>
      </c>
      <c r="I24" s="26">
        <f>IFERROR(INDEX(MatList[SCRAP], MATCH(Table1[[#This Row],[MATERIAL]], MatList[Description], 0)),0)</f>
        <v>0.2</v>
      </c>
      <c r="J24" s="22" t="s">
        <v>60</v>
      </c>
      <c r="K24" s="23" cm="1">
        <f t="array" ref="K24">_xlfn.IFS(Table1[[#This Row],[UOM]]="BF",(Table1[[#This Row],[QTY]]*Table1[[#This Row],[LENGTH]]*_xlfn.XLOOKUP(Table1[[#This Row],[MATERIAL]],MatList[Description],MatList[NomW])*_xlfn.XLOOKUP(Table1[[#This Row],[MATERIAL]],MatList[Description],MatList[NomT])/144)*(1+Table1[[#This Row],[SCRAP]]),Table1[[#This Row],[UOM]]="SF",(Table1[[#This Row],[QTY]]*Table1[[#This Row],[LENGTH]]*Table1[[#This Row],[WIDTH]]/144)*(1+Table1[[#This Row],[SCRAP]]),Table1[[#This Row],[UOM]]="EA",Table1[[#This Row],[QTY]],NOT(OR(Table1[[#This Row],[UOM]]="BF",Table1[[#This Row],[UOM]]="SF",Table1[[#This Row],[UOM]]="EA")),0)</f>
        <v>193.6</v>
      </c>
      <c r="L24" s="23">
        <f>IFERROR(INDEX(MatList[UNIT PRICE], MATCH(Table1[[#This Row],[MATERIAL]], MatList[Description], 0)),0)</f>
        <v>0.49</v>
      </c>
      <c r="M24" s="23">
        <f>Table1[[#This Row],[QTY UOM]]*Table1[[#This Row],[$/UOM]]</f>
        <v>94.86399999999999</v>
      </c>
      <c r="N24" s="1">
        <f>N20</f>
        <v>7.0000000000000007E-2</v>
      </c>
      <c r="O24" s="20"/>
      <c r="P24" s="1"/>
      <c r="Q24" s="1"/>
      <c r="R24" s="1"/>
      <c r="S24" s="1"/>
      <c r="T24" s="1"/>
      <c r="U24" s="1"/>
    </row>
    <row r="25" spans="1:25" ht="15" customHeight="1">
      <c r="A25" s="12"/>
      <c r="B25" s="1" t="s">
        <v>52</v>
      </c>
      <c r="C25" s="1" t="s">
        <v>61</v>
      </c>
      <c r="D25" s="1" t="s">
        <v>62</v>
      </c>
      <c r="E25" s="22">
        <v>4</v>
      </c>
      <c r="F25" s="23">
        <f>G24</f>
        <v>121</v>
      </c>
      <c r="G25" s="23">
        <f>_xlfn.XLOOKUP(Table1[[#This Row],[MATERIAL]],MatList[Description],MatList[ActW])</f>
        <v>3.5</v>
      </c>
      <c r="H25" s="23">
        <f>_xlfn.XLOOKUP(Table1[[#This Row],[MATERIAL]],MatList[Description],MatList[ActT])</f>
        <v>0.75</v>
      </c>
      <c r="I25" s="26">
        <f>IFERROR(INDEX(MatList[SCRAP], MATCH(Table1[[#This Row],[MATERIAL]], MatList[Description], 0)),0)</f>
        <v>0.1</v>
      </c>
      <c r="J25" s="22" t="s">
        <v>55</v>
      </c>
      <c r="K25" s="23" cm="1">
        <f t="array" ref="K25">_xlfn.IFS(Table1[[#This Row],[UOM]]="BF",(Table1[[#This Row],[QTY]]*Table1[[#This Row],[LENGTH]]*_xlfn.XLOOKUP(Table1[[#This Row],[MATERIAL]],MatList[Description],MatList[NomW])*_xlfn.XLOOKUP(Table1[[#This Row],[MATERIAL]],MatList[Description],MatList[NomT])/144)*(1+Table1[[#This Row],[SCRAP]]),Table1[[#This Row],[UOM]]="SF",(Table1[[#This Row],[QTY]]*Table1[[#This Row],[LENGTH]]*Table1[[#This Row],[WIDTH]]/144)*(1+Table1[[#This Row],[SCRAP]]),Table1[[#This Row],[UOM]]="EA",Table1[[#This Row],[QTY]],NOT(OR(Table1[[#This Row],[UOM]]="BF",Table1[[#This Row],[UOM]]="SF",Table1[[#This Row],[UOM]]="EA")),0)</f>
        <v>14.78888888888889</v>
      </c>
      <c r="L25" s="23">
        <f>IFERROR(INDEX(MatList[UNIT PRICE], MATCH(Table1[[#This Row],[MATERIAL]], MatList[Description], 0)),0)</f>
        <v>0.89500000000000002</v>
      </c>
      <c r="M25" s="23">
        <f>Table1[[#This Row],[QTY UOM]]*Table1[[#This Row],[$/UOM]]</f>
        <v>13.236055555555556</v>
      </c>
      <c r="N25" s="1"/>
      <c r="O25" s="20"/>
      <c r="P25" s="1"/>
      <c r="Q25" s="1"/>
      <c r="R25" s="1"/>
      <c r="S25" s="1"/>
      <c r="T25" s="1"/>
      <c r="U25" s="1"/>
    </row>
    <row r="26" spans="1:25" ht="15" customHeight="1">
      <c r="A26" s="12"/>
      <c r="B26" s="1" t="s">
        <v>52</v>
      </c>
      <c r="C26" s="1" t="s">
        <v>63</v>
      </c>
      <c r="D26" s="1" t="s">
        <v>62</v>
      </c>
      <c r="E26" s="22">
        <v>4</v>
      </c>
      <c r="F26" s="23">
        <f>F24-(G25*2)</f>
        <v>89</v>
      </c>
      <c r="G26" s="23">
        <f>_xlfn.XLOOKUP(Table1[[#This Row],[MATERIAL]],MatList[Description],MatList[ActW])</f>
        <v>3.5</v>
      </c>
      <c r="H26" s="23">
        <f>_xlfn.XLOOKUP(Table1[[#This Row],[MATERIAL]],MatList[Description],MatList[ActT])</f>
        <v>0.75</v>
      </c>
      <c r="I26" s="26">
        <f>IFERROR(INDEX(MatList[SCRAP], MATCH(Table1[[#This Row],[MATERIAL]], MatList[Description], 0)),0)</f>
        <v>0.1</v>
      </c>
      <c r="J26" s="22" t="s">
        <v>55</v>
      </c>
      <c r="K26" s="23" cm="1">
        <f t="array" ref="K26">_xlfn.IFS(Table1[[#This Row],[UOM]]="BF",(Table1[[#This Row],[QTY]]*Table1[[#This Row],[LENGTH]]*_xlfn.XLOOKUP(Table1[[#This Row],[MATERIAL]],MatList[Description],MatList[NomW])*_xlfn.XLOOKUP(Table1[[#This Row],[MATERIAL]],MatList[Description],MatList[NomT])/144)*(1+Table1[[#This Row],[SCRAP]]),Table1[[#This Row],[UOM]]="SF",(Table1[[#This Row],[QTY]]*Table1[[#This Row],[LENGTH]]*Table1[[#This Row],[WIDTH]]/144)*(1+Table1[[#This Row],[SCRAP]]),Table1[[#This Row],[UOM]]="EA",Table1[[#This Row],[QTY]],NOT(OR(Table1[[#This Row],[UOM]]="BF",Table1[[#This Row],[UOM]]="SF",Table1[[#This Row],[UOM]]="EA")),0)</f>
        <v>10.877777777777778</v>
      </c>
      <c r="L26" s="23">
        <f>IFERROR(INDEX(MatList[UNIT PRICE], MATCH(Table1[[#This Row],[MATERIAL]], MatList[Description], 0)),0)</f>
        <v>0.89500000000000002</v>
      </c>
      <c r="M26" s="23">
        <f>Table1[[#This Row],[QTY UOM]]*Table1[[#This Row],[$/UOM]]</f>
        <v>9.7356111111111119</v>
      </c>
      <c r="N26" s="1"/>
      <c r="O26" s="20"/>
      <c r="P26" s="1"/>
      <c r="Q26" s="1"/>
      <c r="R26" s="1"/>
      <c r="S26" s="1"/>
      <c r="T26" s="1"/>
      <c r="U26" s="1"/>
    </row>
    <row r="27" spans="1:25" ht="15" customHeight="1">
      <c r="A27" s="12"/>
      <c r="B27" s="1" t="s">
        <v>52</v>
      </c>
      <c r="C27" s="1" t="s">
        <v>64</v>
      </c>
      <c r="D27" s="1" t="s">
        <v>62</v>
      </c>
      <c r="E27" s="22">
        <f>INT(($D$13-3.5)/24)*2</f>
        <v>6</v>
      </c>
      <c r="F27" s="23">
        <f>F25-(G26*2)</f>
        <v>114</v>
      </c>
      <c r="G27" s="23">
        <f>_xlfn.XLOOKUP(Table1[[#This Row],[MATERIAL]],MatList[Description],MatList[ActW])</f>
        <v>3.5</v>
      </c>
      <c r="H27" s="23">
        <f>_xlfn.XLOOKUP(Table1[[#This Row],[MATERIAL]],MatList[Description],MatList[ActT])</f>
        <v>0.75</v>
      </c>
      <c r="I27" s="26">
        <f>IFERROR(INDEX(MatList[SCRAP], MATCH(Table1[[#This Row],[MATERIAL]], MatList[Description], 0)),0)</f>
        <v>0.1</v>
      </c>
      <c r="J27" s="22" t="s">
        <v>55</v>
      </c>
      <c r="K27" s="23" cm="1">
        <f t="array" ref="K27">_xlfn.IFS(Table1[[#This Row],[UOM]]="BF",(Table1[[#This Row],[QTY]]*Table1[[#This Row],[LENGTH]]*_xlfn.XLOOKUP(Table1[[#This Row],[MATERIAL]],MatList[Description],MatList[NomW])*_xlfn.XLOOKUP(Table1[[#This Row],[MATERIAL]],MatList[Description],MatList[NomT])/144)*(1+Table1[[#This Row],[SCRAP]]),Table1[[#This Row],[UOM]]="SF",(Table1[[#This Row],[QTY]]*Table1[[#This Row],[LENGTH]]*Table1[[#This Row],[WIDTH]]/144)*(1+Table1[[#This Row],[SCRAP]]),Table1[[#This Row],[UOM]]="EA",Table1[[#This Row],[QTY]],NOT(OR(Table1[[#This Row],[UOM]]="BF",Table1[[#This Row],[UOM]]="SF",Table1[[#This Row],[UOM]]="EA")),0)</f>
        <v>20.900000000000002</v>
      </c>
      <c r="L27" s="23">
        <f>IFERROR(INDEX(MatList[UNIT PRICE], MATCH(Table1[[#This Row],[MATERIAL]], MatList[Description], 0)),0)</f>
        <v>0.89500000000000002</v>
      </c>
      <c r="M27" s="23">
        <f>Table1[[#This Row],[QTY UOM]]*Table1[[#This Row],[$/UOM]]</f>
        <v>18.705500000000001</v>
      </c>
      <c r="N27" s="1"/>
      <c r="O27" s="20"/>
      <c r="P27" s="1"/>
      <c r="Q27" s="1"/>
      <c r="R27" s="1"/>
      <c r="S27" s="1"/>
      <c r="T27" s="1"/>
      <c r="U27" s="1"/>
    </row>
    <row r="28" spans="1:25" ht="15" customHeight="1">
      <c r="A28" s="12"/>
      <c r="B28" s="1" t="s">
        <v>52</v>
      </c>
      <c r="C28" s="1" t="s">
        <v>66</v>
      </c>
      <c r="D28" s="1" t="s">
        <v>59</v>
      </c>
      <c r="E28" s="22">
        <v>1</v>
      </c>
      <c r="F28" s="23">
        <f>C14</f>
        <v>122.25</v>
      </c>
      <c r="G28" s="23">
        <f>D14</f>
        <v>98.25</v>
      </c>
      <c r="H28" s="23">
        <f>_xlfn.XLOOKUP(Table1[[#This Row],[MATERIAL]],MatList[Description],MatList[ActT])</f>
        <v>0.375</v>
      </c>
      <c r="I28" s="26">
        <f>IFERROR(INDEX(MatList[SCRAP], MATCH(Table1[[#This Row],[MATERIAL]], MatList[Description], 0)),0)</f>
        <v>0.2</v>
      </c>
      <c r="J28" s="22" t="s">
        <v>60</v>
      </c>
      <c r="K28" s="23" cm="1">
        <f t="array" ref="K28">_xlfn.IFS(Table1[[#This Row],[UOM]]="BF",(Table1[[#This Row],[QTY]]*Table1[[#This Row],[LENGTH]]*_xlfn.XLOOKUP(Table1[[#This Row],[MATERIAL]],MatList[Description],MatList[NomW])*_xlfn.XLOOKUP(Table1[[#This Row],[MATERIAL]],MatList[Description],MatList[NomT])/144)*(1+Table1[[#This Row],[SCRAP]]),Table1[[#This Row],[UOM]]="SF",(Table1[[#This Row],[QTY]]*Table1[[#This Row],[LENGTH]]*Table1[[#This Row],[WIDTH]]/144)*(1+Table1[[#This Row],[SCRAP]]),Table1[[#This Row],[UOM]]="EA",Table1[[#This Row],[QTY]],NOT(OR(Table1[[#This Row],[UOM]]="BF",Table1[[#This Row],[UOM]]="SF",Table1[[#This Row],[UOM]]="EA")),0)</f>
        <v>100.09218749999999</v>
      </c>
      <c r="L28" s="23">
        <f>IFERROR(INDEX(MatList[UNIT PRICE], MATCH(Table1[[#This Row],[MATERIAL]], MatList[Description], 0)),0)</f>
        <v>0.49</v>
      </c>
      <c r="M28" s="23">
        <f>Table1[[#This Row],[QTY UOM]]*Table1[[#This Row],[$/UOM]]</f>
        <v>49.045171874999994</v>
      </c>
      <c r="N28" s="1">
        <f>N20</f>
        <v>7.0000000000000007E-2</v>
      </c>
      <c r="O28" s="20"/>
      <c r="P28" s="1"/>
      <c r="Q28" s="1"/>
      <c r="R28" s="1"/>
      <c r="S28" s="1"/>
      <c r="T28" s="1"/>
      <c r="U28" s="1"/>
    </row>
    <row r="29" spans="1:25" ht="15" customHeight="1">
      <c r="A29" s="12"/>
      <c r="B29" s="1" t="s">
        <v>52</v>
      </c>
      <c r="C29" s="1" t="s">
        <v>61</v>
      </c>
      <c r="D29" s="1" t="s">
        <v>62</v>
      </c>
      <c r="E29" s="22">
        <v>2</v>
      </c>
      <c r="F29" s="23">
        <f>G28</f>
        <v>98.25</v>
      </c>
      <c r="G29" s="23">
        <f>_xlfn.XLOOKUP(Table1[[#This Row],[MATERIAL]],MatList[Description],MatList[ActW])</f>
        <v>3.5</v>
      </c>
      <c r="H29" s="23">
        <f>_xlfn.XLOOKUP(Table1[[#This Row],[MATERIAL]],MatList[Description],MatList[ActT])</f>
        <v>0.75</v>
      </c>
      <c r="I29" s="26">
        <f>IFERROR(INDEX(MatList[SCRAP], MATCH(Table1[[#This Row],[MATERIAL]], MatList[Description], 0)),0)</f>
        <v>0.1</v>
      </c>
      <c r="J29" s="22" t="s">
        <v>55</v>
      </c>
      <c r="K29" s="23" cm="1">
        <f t="array" ref="K29">_xlfn.IFS(Table1[[#This Row],[UOM]]="BF",(Table1[[#This Row],[QTY]]*Table1[[#This Row],[LENGTH]]*_xlfn.XLOOKUP(Table1[[#This Row],[MATERIAL]],MatList[Description],MatList[NomW])*_xlfn.XLOOKUP(Table1[[#This Row],[MATERIAL]],MatList[Description],MatList[NomT])/144)*(1+Table1[[#This Row],[SCRAP]]),Table1[[#This Row],[UOM]]="SF",(Table1[[#This Row],[QTY]]*Table1[[#This Row],[LENGTH]]*Table1[[#This Row],[WIDTH]]/144)*(1+Table1[[#This Row],[SCRAP]]),Table1[[#This Row],[UOM]]="EA",Table1[[#This Row],[QTY]],NOT(OR(Table1[[#This Row],[UOM]]="BF",Table1[[#This Row],[UOM]]="SF",Table1[[#This Row],[UOM]]="EA")),0)</f>
        <v>6.0041666666666664</v>
      </c>
      <c r="L29" s="23">
        <f>IFERROR(INDEX(MatList[UNIT PRICE], MATCH(Table1[[#This Row],[MATERIAL]], MatList[Description], 0)),0)</f>
        <v>0.89500000000000002</v>
      </c>
      <c r="M29" s="23">
        <f>Table1[[#This Row],[QTY UOM]]*Table1[[#This Row],[$/UOM]]</f>
        <v>5.3737291666666662</v>
      </c>
      <c r="N29" s="1"/>
      <c r="O29" s="20"/>
      <c r="P29" s="1"/>
      <c r="Q29" s="1"/>
      <c r="R29" s="1"/>
      <c r="S29" s="1"/>
      <c r="T29" s="1"/>
      <c r="U29" s="1"/>
    </row>
    <row r="30" spans="1:25" ht="15" customHeight="1">
      <c r="A30" s="12"/>
      <c r="B30" s="1" t="s">
        <v>52</v>
      </c>
      <c r="C30" s="1" t="s">
        <v>63</v>
      </c>
      <c r="D30" s="1" t="s">
        <v>62</v>
      </c>
      <c r="E30" s="22">
        <v>2</v>
      </c>
      <c r="F30" s="23">
        <f>F28-(G29*2)</f>
        <v>115.25</v>
      </c>
      <c r="G30" s="23">
        <f>_xlfn.XLOOKUP(Table1[[#This Row],[MATERIAL]],MatList[Description],MatList[ActW])</f>
        <v>3.5</v>
      </c>
      <c r="H30" s="23">
        <f>_xlfn.XLOOKUP(Table1[[#This Row],[MATERIAL]],MatList[Description],MatList[ActT])</f>
        <v>0.75</v>
      </c>
      <c r="I30" s="26">
        <f>IFERROR(INDEX(MatList[SCRAP], MATCH(Table1[[#This Row],[MATERIAL]], MatList[Description], 0)),0)</f>
        <v>0.1</v>
      </c>
      <c r="J30" s="22" t="s">
        <v>55</v>
      </c>
      <c r="K30" s="23" cm="1">
        <f t="array" ref="K30">_xlfn.IFS(Table1[[#This Row],[UOM]]="BF",(Table1[[#This Row],[QTY]]*Table1[[#This Row],[LENGTH]]*_xlfn.XLOOKUP(Table1[[#This Row],[MATERIAL]],MatList[Description],MatList[NomW])*_xlfn.XLOOKUP(Table1[[#This Row],[MATERIAL]],MatList[Description],MatList[NomT])/144)*(1+Table1[[#This Row],[SCRAP]]),Table1[[#This Row],[UOM]]="SF",(Table1[[#This Row],[QTY]]*Table1[[#This Row],[LENGTH]]*Table1[[#This Row],[WIDTH]]/144)*(1+Table1[[#This Row],[SCRAP]]),Table1[[#This Row],[UOM]]="EA",Table1[[#This Row],[QTY]],NOT(OR(Table1[[#This Row],[UOM]]="BF",Table1[[#This Row],[UOM]]="SF",Table1[[#This Row],[UOM]]="EA")),0)</f>
        <v>7.0430555555555561</v>
      </c>
      <c r="L30" s="23">
        <f>IFERROR(INDEX(MatList[UNIT PRICE], MATCH(Table1[[#This Row],[MATERIAL]], MatList[Description], 0)),0)</f>
        <v>0.89500000000000002</v>
      </c>
      <c r="M30" s="23">
        <f>Table1[[#This Row],[QTY UOM]]*Table1[[#This Row],[$/UOM]]</f>
        <v>6.3035347222222224</v>
      </c>
      <c r="N30" s="1"/>
      <c r="O30" s="20"/>
      <c r="P30" s="1"/>
      <c r="Q30" s="1"/>
      <c r="R30" s="1"/>
      <c r="S30" s="1"/>
      <c r="T30" s="1"/>
      <c r="U30" s="1"/>
    </row>
    <row r="31" spans="1:25" ht="15" customHeight="1">
      <c r="A31" s="12"/>
      <c r="B31" s="1" t="s">
        <v>52</v>
      </c>
      <c r="C31" s="1" t="s">
        <v>64</v>
      </c>
      <c r="D31" s="1" t="s">
        <v>62</v>
      </c>
      <c r="E31" s="22">
        <f>ROUNDUP(($C$13-2*G29)/24,0)</f>
        <v>5</v>
      </c>
      <c r="F31" s="23">
        <f>F29-(G30*2)</f>
        <v>91.25</v>
      </c>
      <c r="G31" s="23">
        <f>_xlfn.XLOOKUP(Table1[[#This Row],[MATERIAL]],MatList[Description],MatList[ActW])</f>
        <v>3.5</v>
      </c>
      <c r="H31" s="23">
        <f>_xlfn.XLOOKUP(Table1[[#This Row],[MATERIAL]],MatList[Description],MatList[ActT])</f>
        <v>0.75</v>
      </c>
      <c r="I31" s="26">
        <f>IFERROR(INDEX(MatList[SCRAP], MATCH(Table1[[#This Row],[MATERIAL]], MatList[Description], 0)),0)</f>
        <v>0.1</v>
      </c>
      <c r="J31" s="22" t="s">
        <v>55</v>
      </c>
      <c r="K31" s="23" cm="1">
        <f t="array" ref="K31">_xlfn.IFS(Table1[[#This Row],[UOM]]="BF",(Table1[[#This Row],[QTY]]*Table1[[#This Row],[LENGTH]]*_xlfn.XLOOKUP(Table1[[#This Row],[MATERIAL]],MatList[Description],MatList[NomW])*_xlfn.XLOOKUP(Table1[[#This Row],[MATERIAL]],MatList[Description],MatList[NomT])/144)*(1+Table1[[#This Row],[SCRAP]]),Table1[[#This Row],[UOM]]="SF",(Table1[[#This Row],[QTY]]*Table1[[#This Row],[LENGTH]]*Table1[[#This Row],[WIDTH]]/144)*(1+Table1[[#This Row],[SCRAP]]),Table1[[#This Row],[UOM]]="EA",Table1[[#This Row],[QTY]],NOT(OR(Table1[[#This Row],[UOM]]="BF",Table1[[#This Row],[UOM]]="SF",Table1[[#This Row],[UOM]]="EA")),0)</f>
        <v>13.940972222222223</v>
      </c>
      <c r="L31" s="23">
        <f>IFERROR(INDEX(MatList[UNIT PRICE], MATCH(Table1[[#This Row],[MATERIAL]], MatList[Description], 0)),0)</f>
        <v>0.89500000000000002</v>
      </c>
      <c r="M31" s="23">
        <f>Table1[[#This Row],[QTY UOM]]*Table1[[#This Row],[$/UOM]]</f>
        <v>12.477170138888891</v>
      </c>
      <c r="N31" s="1"/>
      <c r="O31" s="20"/>
      <c r="P31" s="1"/>
      <c r="Q31" s="1"/>
      <c r="R31" s="1"/>
      <c r="S31" s="1"/>
      <c r="T31" s="1"/>
      <c r="U31" s="1"/>
    </row>
    <row r="32" spans="1:25" ht="15" customHeight="1">
      <c r="A32" s="12"/>
      <c r="B32" s="1" t="s">
        <v>52</v>
      </c>
      <c r="C32" s="1" t="s">
        <v>67</v>
      </c>
      <c r="D32" s="1" t="s">
        <v>68</v>
      </c>
      <c r="E32" s="22">
        <f>2*(ROUNDUP($C$14/15,0)+ROUNDUP($D$14/15,0))</f>
        <v>32</v>
      </c>
      <c r="F32" s="23"/>
      <c r="G32" s="23"/>
      <c r="H32" s="23"/>
      <c r="I32" s="26">
        <f>IFERROR(INDEX(MatList[SCRAP], MATCH(Table1[[#This Row],[MATERIAL]], MatList[Description], 0)),0)</f>
        <v>0</v>
      </c>
      <c r="J32" s="22" t="s">
        <v>69</v>
      </c>
      <c r="K32" s="23" cm="1">
        <f t="array" ref="K32">_xlfn.IFS(Table1[[#This Row],[UOM]]="BF",(Table1[[#This Row],[QTY]]*Table1[[#This Row],[LENGTH]]*_xlfn.XLOOKUP(Table1[[#This Row],[MATERIAL]],MatList[Description],MatList[NomW])*_xlfn.XLOOKUP(Table1[[#This Row],[MATERIAL]],MatList[Description],MatList[NomT])/144)*(1+Table1[[#This Row],[SCRAP]]),Table1[[#This Row],[UOM]]="SF",(Table1[[#This Row],[QTY]]*Table1[[#This Row],[LENGTH]]*Table1[[#This Row],[WIDTH]]/144)*(1+Table1[[#This Row],[SCRAP]]),Table1[[#This Row],[UOM]]="EA",Table1[[#This Row],[QTY]],NOT(OR(Table1[[#This Row],[UOM]]="BF",Table1[[#This Row],[UOM]]="SF",Table1[[#This Row],[UOM]]="EA")),0)</f>
        <v>32</v>
      </c>
      <c r="L32" s="23">
        <f>IFERROR(INDEX(MatList[UNIT PRICE], MATCH(Table1[[#This Row],[MATERIAL]], MatList[Description], 0)),0)</f>
        <v>0.11600000000000001</v>
      </c>
      <c r="M32" s="23">
        <f>Table1[[#This Row],[QTY UOM]]*Table1[[#This Row],[$/UOM]]</f>
        <v>3.7120000000000002</v>
      </c>
      <c r="N32" s="1">
        <v>0.01</v>
      </c>
      <c r="O32" s="20"/>
      <c r="P32" s="1"/>
      <c r="Q32" s="1"/>
      <c r="R32" s="1"/>
      <c r="S32" s="44"/>
      <c r="T32" s="1"/>
      <c r="U32" s="1"/>
    </row>
    <row r="33" spans="1:21" ht="15" customHeight="1">
      <c r="A33" s="12"/>
      <c r="B33" s="1" t="s">
        <v>52</v>
      </c>
      <c r="C33" s="1" t="s">
        <v>67</v>
      </c>
      <c r="D33" s="1" t="s">
        <v>70</v>
      </c>
      <c r="E33" s="22">
        <f>2*(ROUNDUP($C$14/15,0)+ROUNDUP($D$14/15,0))</f>
        <v>32</v>
      </c>
      <c r="F33" s="23"/>
      <c r="G33" s="23"/>
      <c r="H33" s="23"/>
      <c r="I33" s="26">
        <f>IFERROR(INDEX(MatList[SCRAP], MATCH(Table1[[#This Row],[MATERIAL]], MatList[Description], 0)),0)</f>
        <v>0</v>
      </c>
      <c r="J33" s="22" t="s">
        <v>69</v>
      </c>
      <c r="K33" s="23" cm="1">
        <f t="array" ref="K33">_xlfn.IFS(Table1[[#This Row],[UOM]]="BF",(Table1[[#This Row],[QTY]]*Table1[[#This Row],[LENGTH]]*_xlfn.XLOOKUP(Table1[[#This Row],[MATERIAL]],MatList[Description],MatList[NomW])*_xlfn.XLOOKUP(Table1[[#This Row],[MATERIAL]],MatList[Description],MatList[NomT])/144)*(1+Table1[[#This Row],[SCRAP]]),Table1[[#This Row],[UOM]]="SF",(Table1[[#This Row],[QTY]]*Table1[[#This Row],[LENGTH]]*Table1[[#This Row],[WIDTH]]/144)*(1+Table1[[#This Row],[SCRAP]]),Table1[[#This Row],[UOM]]="EA",Table1[[#This Row],[QTY]],NOT(OR(Table1[[#This Row],[UOM]]="BF",Table1[[#This Row],[UOM]]="SF",Table1[[#This Row],[UOM]]="EA")),0)</f>
        <v>32</v>
      </c>
      <c r="L33" s="23">
        <f>IFERROR(INDEX(MatList[UNIT PRICE], MATCH(Table1[[#This Row],[MATERIAL]], MatList[Description], 0)),0)</f>
        <v>1.6E-2</v>
      </c>
      <c r="M33" s="23">
        <f>Table1[[#This Row],[QTY UOM]]*Table1[[#This Row],[$/UOM]]</f>
        <v>0.51200000000000001</v>
      </c>
      <c r="N33" s="1"/>
      <c r="O33" s="20"/>
      <c r="P33" s="1"/>
      <c r="Q33" s="1"/>
      <c r="R33" s="1"/>
      <c r="S33" s="1"/>
      <c r="T33" s="1"/>
      <c r="U33" s="1"/>
    </row>
    <row r="34" spans="1:21" ht="15" customHeight="1">
      <c r="A34" s="12"/>
      <c r="B34" s="1" t="s">
        <v>71</v>
      </c>
      <c r="C34" s="1" t="s">
        <v>72</v>
      </c>
      <c r="D34" s="1" t="s">
        <v>73</v>
      </c>
      <c r="E34" s="22">
        <v>2</v>
      </c>
      <c r="F34" s="23">
        <f>$C$13-6</f>
        <v>114</v>
      </c>
      <c r="G34" s="23">
        <f>$D$13-6</f>
        <v>90</v>
      </c>
      <c r="H34" s="23">
        <f>_xlfn.XLOOKUP(Table1[[#This Row],[MATERIAL]],MatList[Description],MatList[ActT])</f>
        <v>0.75</v>
      </c>
      <c r="I34" s="26">
        <f>IFERROR(INDEX(MatList[SCRAP], MATCH(Table1[[#This Row],[MATERIAL]], MatList[Description], 0)),0)</f>
        <v>0.2</v>
      </c>
      <c r="J34" s="22" t="s">
        <v>60</v>
      </c>
      <c r="K34" s="23" cm="1">
        <f t="array" ref="K34">_xlfn.IFS(Table1[[#This Row],[UOM]]="BF",(Table1[[#This Row],[QTY]]*Table1[[#This Row],[LENGTH]]*_xlfn.XLOOKUP(Table1[[#This Row],[MATERIAL]],MatList[Description],MatList[NomW])*_xlfn.XLOOKUP(Table1[[#This Row],[MATERIAL]],MatList[Description],MatList[NomT])/144)*(1+Table1[[#This Row],[SCRAP]]),Table1[[#This Row],[UOM]]="SF",(Table1[[#This Row],[QTY]]*Table1[[#This Row],[LENGTH]]*Table1[[#This Row],[WIDTH]]/144)*(1+Table1[[#This Row],[SCRAP]]),Table1[[#This Row],[UOM]]="EA",Table1[[#This Row],[QTY]],NOT(OR(Table1[[#This Row],[UOM]]="BF",Table1[[#This Row],[UOM]]="SF",Table1[[#This Row],[UOM]]="EA")),0)</f>
        <v>171</v>
      </c>
      <c r="L34" s="23">
        <f>IFERROR(INDEX(MatList[UNIT PRICE], MATCH(Table1[[#This Row],[MATERIAL]], MatList[Description], 0)),0)</f>
        <v>0.90900000000000003</v>
      </c>
      <c r="M34" s="23">
        <f>Table1[[#This Row],[QTY UOM]]*Table1[[#This Row],[$/UOM]]</f>
        <v>155.43899999999999</v>
      </c>
      <c r="N34" s="1">
        <v>0.25</v>
      </c>
      <c r="O34" s="20"/>
      <c r="P34" s="1"/>
      <c r="Q34" s="1"/>
      <c r="R34" s="1"/>
      <c r="S34" s="1"/>
      <c r="T34" s="1"/>
      <c r="U34" s="1"/>
    </row>
    <row r="35" spans="1:21" ht="15" customHeight="1">
      <c r="A35" s="12"/>
      <c r="B35" s="1" t="s">
        <v>71</v>
      </c>
      <c r="C35" s="1" t="s">
        <v>74</v>
      </c>
      <c r="D35" s="1" t="s">
        <v>75</v>
      </c>
      <c r="E35" s="22">
        <v>3</v>
      </c>
      <c r="F35" s="23">
        <f>ROUNDUP($F$34/5,0)</f>
        <v>23</v>
      </c>
      <c r="G35" s="23">
        <f>G34</f>
        <v>90</v>
      </c>
      <c r="H35" s="23">
        <f>_xlfn.XLOOKUP(Table1[[#This Row],[MATERIAL]],MatList[Description],MatList[ActT])</f>
        <v>3</v>
      </c>
      <c r="I35" s="26">
        <f>IFERROR(INDEX(MatList[SCRAP], MATCH(Table1[[#This Row],[MATERIAL]], MatList[Description], 0)),0)</f>
        <v>0.14000000000000001</v>
      </c>
      <c r="J35" s="22" t="s">
        <v>55</v>
      </c>
      <c r="K35" s="23" cm="1">
        <f t="array" ref="K35">_xlfn.IFS(Table1[[#This Row],[UOM]]="BF",(Table1[[#This Row],[QTY]]*Table1[[#This Row],[LENGTH]]*_xlfn.XLOOKUP(Table1[[#This Row],[MATERIAL]],MatList[Description],MatList[NomW])*_xlfn.XLOOKUP(Table1[[#This Row],[MATERIAL]],MatList[Description],MatList[NomT])/144)*(1+Table1[[#This Row],[SCRAP]]),Table1[[#This Row],[UOM]]="SF",(Table1[[#This Row],[QTY]]*Table1[[#This Row],[LENGTH]]*Table1[[#This Row],[WIDTH]]/144)*(1+Table1[[#This Row],[SCRAP]]),Table1[[#This Row],[UOM]]="EA",Table1[[#This Row],[QTY]],NOT(OR(Table1[[#This Row],[UOM]]="BF",Table1[[#This Row],[UOM]]="SF",Table1[[#This Row],[UOM]]="EA")),0)</f>
        <v>0</v>
      </c>
      <c r="L35" s="23">
        <f>IFERROR(INDEX(MatList[UNIT PRICE], MATCH(Table1[[#This Row],[MATERIAL]], MatList[Description], 0)),0)</f>
        <v>0.67600000000000005</v>
      </c>
      <c r="M35" s="23">
        <f>Table1[[#This Row],[QTY UOM]]*Table1[[#This Row],[$/UOM]]</f>
        <v>0</v>
      </c>
      <c r="N35" s="1"/>
      <c r="O35" s="20"/>
      <c r="P35" s="1"/>
      <c r="Q35" s="1"/>
      <c r="R35" s="1"/>
      <c r="S35" s="1"/>
      <c r="T35" s="1"/>
      <c r="U35" s="1"/>
    </row>
    <row r="36" spans="1:21" ht="15" customHeight="1">
      <c r="A36" s="12"/>
      <c r="B36" s="1" t="s">
        <v>71</v>
      </c>
      <c r="C36" s="1" t="s">
        <v>76</v>
      </c>
      <c r="D36" s="1" t="s">
        <v>77</v>
      </c>
      <c r="E36" s="22">
        <f>ROUNDUP(F34*G34*H34/1728*84.8/16,0)</f>
        <v>24</v>
      </c>
      <c r="F36" s="23"/>
      <c r="G36" s="23"/>
      <c r="H36" s="23"/>
      <c r="I36" s="26">
        <f>IFERROR(INDEX(MatList[SCRAP], MATCH(Table1[[#This Row],[MATERIAL]], MatList[Description], 0)),0)</f>
        <v>0</v>
      </c>
      <c r="J36" s="22" t="s">
        <v>69</v>
      </c>
      <c r="K36" s="23" cm="1">
        <f t="array" ref="K36">_xlfn.IFS(Table1[[#This Row],[UOM]]="BF",(Table1[[#This Row],[QTY]]*Table1[[#This Row],[LENGTH]]*_xlfn.XLOOKUP(Table1[[#This Row],[MATERIAL]],MatList[Description],MatList[NomW])*_xlfn.XLOOKUP(Table1[[#This Row],[MATERIAL]],MatList[Description],MatList[NomT])/144)*(1+Table1[[#This Row],[SCRAP]]),Table1[[#This Row],[UOM]]="SF",(Table1[[#This Row],[QTY]]*Table1[[#This Row],[LENGTH]]*Table1[[#This Row],[WIDTH]]/144)*(1+Table1[[#This Row],[SCRAP]]),Table1[[#This Row],[UOM]]="EA",Table1[[#This Row],[QTY]],NOT(OR(Table1[[#This Row],[UOM]]="BF",Table1[[#This Row],[UOM]]="SF",Table1[[#This Row],[UOM]]="EA")),0)</f>
        <v>24</v>
      </c>
      <c r="L36" s="23">
        <f>IFERROR(INDEX(MatList[UNIT PRICE], MATCH(Table1[[#This Row],[MATERIAL]], MatList[Description], 0)),0)</f>
        <v>1.004</v>
      </c>
      <c r="M36" s="23">
        <f>Table1[[#This Row],[QTY UOM]]*Table1[[#This Row],[$/UOM]]</f>
        <v>24.096</v>
      </c>
      <c r="N36" s="33"/>
      <c r="O36" s="20"/>
      <c r="P36" s="1"/>
      <c r="Q36" s="1"/>
      <c r="R36" s="1"/>
      <c r="S36" s="1"/>
      <c r="T36" s="1"/>
      <c r="U36" s="1"/>
    </row>
    <row r="37" spans="1:21" ht="15" customHeight="1">
      <c r="A37" s="12"/>
      <c r="B37" s="1" t="s">
        <v>78</v>
      </c>
      <c r="C37" s="1" t="s">
        <v>79</v>
      </c>
      <c r="D37" s="1" t="s">
        <v>80</v>
      </c>
      <c r="E37" s="22">
        <v>2</v>
      </c>
      <c r="F37" s="23">
        <f>F34+12</f>
        <v>126</v>
      </c>
      <c r="G37" s="23">
        <f>G34+12</f>
        <v>102</v>
      </c>
      <c r="H37" s="23"/>
      <c r="I37" s="26">
        <f>IFERROR(INDEX(MatList[SCRAP], MATCH(Table1[[#This Row],[MATERIAL]], MatList[Description], 0)),0)</f>
        <v>0.2</v>
      </c>
      <c r="J37" s="22" t="s">
        <v>60</v>
      </c>
      <c r="K37" s="23" cm="1">
        <f t="array" ref="K37">_xlfn.IFS(Table1[[#This Row],[UOM]]="BF",(Table1[[#This Row],[QTY]]*Table1[[#This Row],[LENGTH]]*_xlfn.XLOOKUP(Table1[[#This Row],[MATERIAL]],MatList[Description],MatList[NomW])*_xlfn.XLOOKUP(Table1[[#This Row],[MATERIAL]],MatList[Description],MatList[NomT])/144)*(1+Table1[[#This Row],[SCRAP]]),Table1[[#This Row],[UOM]]="SF",(Table1[[#This Row],[QTY]]*Table1[[#This Row],[LENGTH]]*Table1[[#This Row],[WIDTH]]/144)*(1+Table1[[#This Row],[SCRAP]]),Table1[[#This Row],[UOM]]="EA",Table1[[#This Row],[QTY]],NOT(OR(Table1[[#This Row],[UOM]]="BF",Table1[[#This Row],[UOM]]="SF",Table1[[#This Row],[UOM]]="EA")),0)</f>
        <v>214.2</v>
      </c>
      <c r="L37" s="23">
        <f>IFERROR(INDEX(MatList[UNIT PRICE], MATCH(Table1[[#This Row],[MATERIAL]], MatList[Description], 0)),0)</f>
        <v>0.20599999999999999</v>
      </c>
      <c r="M37" s="23">
        <f>Table1[[#This Row],[QTY UOM]]*Table1[[#This Row],[$/UOM]]</f>
        <v>44.125199999999992</v>
      </c>
      <c r="N37" s="1">
        <v>0.03</v>
      </c>
      <c r="O37" s="20"/>
      <c r="P37" s="1"/>
      <c r="Q37" s="1"/>
      <c r="R37" s="1"/>
      <c r="S37" s="1"/>
      <c r="T37" s="1"/>
      <c r="U37" s="1"/>
    </row>
    <row r="38" spans="1:21" ht="15" customHeight="1">
      <c r="A38" s="12"/>
      <c r="B38" s="1" t="s">
        <v>78</v>
      </c>
      <c r="C38" s="1" t="s">
        <v>81</v>
      </c>
      <c r="D38" s="1" t="s">
        <v>80</v>
      </c>
      <c r="E38" s="22">
        <v>1</v>
      </c>
      <c r="F38" s="23">
        <f>(SUM(C14:D14)*2)+2</f>
        <v>443</v>
      </c>
      <c r="G38" s="23">
        <f>E14+2</f>
        <v>124.125</v>
      </c>
      <c r="H38" s="23"/>
      <c r="I38" s="26">
        <f>IFERROR(INDEX(MatList[SCRAP], MATCH(Table1[[#This Row],[MATERIAL]], MatList[Description], 0)),0)</f>
        <v>0.2</v>
      </c>
      <c r="J38" s="22" t="s">
        <v>60</v>
      </c>
      <c r="K38" s="23" cm="1">
        <f t="array" ref="K38">_xlfn.IFS(Table1[[#This Row],[UOM]]="BF",(Table1[[#This Row],[QTY]]*Table1[[#This Row],[LENGTH]]*_xlfn.XLOOKUP(Table1[[#This Row],[MATERIAL]],MatList[Description],MatList[NomW])*_xlfn.XLOOKUP(Table1[[#This Row],[MATERIAL]],MatList[Description],MatList[NomT])/144)*(1+Table1[[#This Row],[SCRAP]]),Table1[[#This Row],[UOM]]="SF",(Table1[[#This Row],[QTY]]*Table1[[#This Row],[LENGTH]]*Table1[[#This Row],[WIDTH]]/144)*(1+Table1[[#This Row],[SCRAP]]),Table1[[#This Row],[UOM]]="EA",Table1[[#This Row],[QTY]],NOT(OR(Table1[[#This Row],[UOM]]="BF",Table1[[#This Row],[UOM]]="SF",Table1[[#This Row],[UOM]]="EA")),0)</f>
        <v>458.22812499999998</v>
      </c>
      <c r="L38" s="23">
        <f>IFERROR(INDEX(MatList[UNIT PRICE], MATCH(Table1[[#This Row],[MATERIAL]], MatList[Description], 0)),0)</f>
        <v>0.20599999999999999</v>
      </c>
      <c r="M38" s="23">
        <f>Table1[[#This Row],[QTY UOM]]*Table1[[#This Row],[$/UOM]]</f>
        <v>94.394993749999983</v>
      </c>
      <c r="N38" s="1"/>
      <c r="O38" s="20"/>
      <c r="P38" s="1"/>
      <c r="Q38" s="1"/>
      <c r="R38" s="1"/>
      <c r="S38" s="1"/>
      <c r="T38" s="1"/>
      <c r="U38" s="1"/>
    </row>
    <row r="39" spans="1:21" ht="15" customHeight="1">
      <c r="A39" s="12"/>
      <c r="B39" s="1" t="s">
        <v>78</v>
      </c>
      <c r="C39" s="1" t="s">
        <v>76</v>
      </c>
      <c r="D39" s="1" t="s">
        <v>77</v>
      </c>
      <c r="E39" s="22">
        <f>ROUNDUP(2*(C14*E14+D14*E14+C14*D14)*0.002/16,0)</f>
        <v>10</v>
      </c>
      <c r="F39" s="23"/>
      <c r="G39" s="23"/>
      <c r="H39" s="23"/>
      <c r="I39" s="26">
        <f>IFERROR(INDEX(MatList[SCRAP], MATCH(Table1[[#This Row],[MATERIAL]], MatList[Description], 0)),0)</f>
        <v>0</v>
      </c>
      <c r="J39" s="22" t="s">
        <v>69</v>
      </c>
      <c r="K39" s="23" cm="1">
        <f t="array" ref="K39">_xlfn.IFS(Table1[[#This Row],[UOM]]="BF",(Table1[[#This Row],[QTY]]*Table1[[#This Row],[LENGTH]]*_xlfn.XLOOKUP(Table1[[#This Row],[MATERIAL]],MatList[Description],MatList[NomW])*_xlfn.XLOOKUP(Table1[[#This Row],[MATERIAL]],MatList[Description],MatList[NomT])/144)*(1+Table1[[#This Row],[SCRAP]]),Table1[[#This Row],[UOM]]="SF",(Table1[[#This Row],[QTY]]*Table1[[#This Row],[LENGTH]]*Table1[[#This Row],[WIDTH]]/144)*(1+Table1[[#This Row],[SCRAP]]),Table1[[#This Row],[UOM]]="EA",Table1[[#This Row],[QTY]],NOT(OR(Table1[[#This Row],[UOM]]="BF",Table1[[#This Row],[UOM]]="SF",Table1[[#This Row],[UOM]]="EA")),0)</f>
        <v>10</v>
      </c>
      <c r="L39" s="23">
        <f>IFERROR(INDEX(MatList[UNIT PRICE], MATCH(Table1[[#This Row],[MATERIAL]], MatList[Description], 0)),0)</f>
        <v>1.004</v>
      </c>
      <c r="M39" s="23">
        <f>Table1[[#This Row],[QTY UOM]]*Table1[[#This Row],[$/UOM]]</f>
        <v>10.039999999999999</v>
      </c>
      <c r="N39" s="1"/>
      <c r="O39" s="20"/>
      <c r="P39" s="1"/>
      <c r="Q39" s="1"/>
      <c r="R39" s="1"/>
      <c r="S39" s="1"/>
      <c r="T39" s="1"/>
      <c r="U39" s="1"/>
    </row>
    <row r="40" spans="1:21" ht="15" customHeight="1">
      <c r="A40" s="12"/>
      <c r="B40" s="1" t="s">
        <v>78</v>
      </c>
      <c r="C40" s="1" t="s">
        <v>79</v>
      </c>
      <c r="D40" s="1" t="s">
        <v>82</v>
      </c>
      <c r="E40" s="22">
        <v>2</v>
      </c>
      <c r="F40" s="23">
        <f>$C$13</f>
        <v>120</v>
      </c>
      <c r="G40" s="23">
        <f>$D$13</f>
        <v>96</v>
      </c>
      <c r="H40" s="23"/>
      <c r="I40" s="26">
        <f>IFERROR(INDEX(MatList[SCRAP], MATCH(Table1[[#This Row],[MATERIAL]], MatList[Description], 0)),0)</f>
        <v>0.2</v>
      </c>
      <c r="J40" s="22" t="s">
        <v>60</v>
      </c>
      <c r="K40" s="23" cm="1">
        <f t="array" ref="K40">_xlfn.IFS(Table1[[#This Row],[UOM]]="BF",(Table1[[#This Row],[QTY]]*Table1[[#This Row],[LENGTH]]*_xlfn.XLOOKUP(Table1[[#This Row],[MATERIAL]],MatList[Description],MatList[NomW])*_xlfn.XLOOKUP(Table1[[#This Row],[MATERIAL]],MatList[Description],MatList[NomT])/144)*(1+Table1[[#This Row],[SCRAP]]),Table1[[#This Row],[UOM]]="SF",(Table1[[#This Row],[QTY]]*Table1[[#This Row],[LENGTH]]*Table1[[#This Row],[WIDTH]]/144)*(1+Table1[[#This Row],[SCRAP]]),Table1[[#This Row],[UOM]]="EA",Table1[[#This Row],[QTY]],NOT(OR(Table1[[#This Row],[UOM]]="BF",Table1[[#This Row],[UOM]]="SF",Table1[[#This Row],[UOM]]="EA")),0)</f>
        <v>192</v>
      </c>
      <c r="L40" s="23">
        <f>IFERROR(INDEX(MatList[UNIT PRICE], MATCH(Table1[[#This Row],[MATERIAL]], MatList[Description], 0)),0)</f>
        <v>4.7E-2</v>
      </c>
      <c r="M40" s="23">
        <f>Table1[[#This Row],[QTY UOM]]*Table1[[#This Row],[$/UOM]]</f>
        <v>9.0240000000000009</v>
      </c>
      <c r="N40" s="33"/>
      <c r="O40" s="20"/>
      <c r="P40" s="1"/>
      <c r="Q40" s="1"/>
      <c r="R40" s="1"/>
      <c r="S40" s="1"/>
      <c r="T40" s="1"/>
      <c r="U40" s="1"/>
    </row>
    <row r="41" spans="1:21" ht="15" customHeight="1">
      <c r="A41" s="12"/>
      <c r="B41" s="1" t="s">
        <v>83</v>
      </c>
      <c r="C41" s="1" t="s">
        <v>84</v>
      </c>
      <c r="D41" s="1" t="s">
        <v>85</v>
      </c>
      <c r="E41" s="22">
        <v>2</v>
      </c>
      <c r="F41" s="23">
        <f>G34</f>
        <v>90</v>
      </c>
      <c r="G41" s="23">
        <f>_xlfn.XLOOKUP(Table1[[#This Row],[MATERIAL]],MatList[Description],MatList[ActW])</f>
        <v>5.5</v>
      </c>
      <c r="H41" s="23">
        <f>_xlfn.XLOOKUP(Table1[[#This Row],[MATERIAL]],MatList[Description],MatList[ActT])</f>
        <v>1.5</v>
      </c>
      <c r="I41" s="26">
        <f>IFERROR(INDEX(MatList[SCRAP], MATCH(Table1[[#This Row],[MATERIAL]], MatList[Description], 0)),0)</f>
        <v>0.24</v>
      </c>
      <c r="J41" s="22" t="s">
        <v>55</v>
      </c>
      <c r="K41" s="23" cm="1">
        <f t="array" ref="K41">_xlfn.IFS(Table1[[#This Row],[UOM]]="BF",(Table1[[#This Row],[QTY]]*Table1[[#This Row],[LENGTH]]*_xlfn.XLOOKUP(Table1[[#This Row],[MATERIAL]],MatList[Description],MatList[NomW])*_xlfn.XLOOKUP(Table1[[#This Row],[MATERIAL]],MatList[Description],MatList[NomT])/144)*(1+Table1[[#This Row],[SCRAP]]),Table1[[#This Row],[UOM]]="SF",(Table1[[#This Row],[QTY]]*Table1[[#This Row],[LENGTH]]*Table1[[#This Row],[WIDTH]]/144)*(1+Table1[[#This Row],[SCRAP]]),Table1[[#This Row],[UOM]]="EA",Table1[[#This Row],[QTY]],NOT(OR(Table1[[#This Row],[UOM]]="BF",Table1[[#This Row],[UOM]]="SF",Table1[[#This Row],[UOM]]="EA")),0)</f>
        <v>18.600000000000001</v>
      </c>
      <c r="L41" s="23">
        <f>IFERROR(INDEX(MatList[UNIT PRICE], MATCH(Table1[[#This Row],[MATERIAL]], MatList[Description], 0)),0)</f>
        <v>0.379</v>
      </c>
      <c r="M41" s="40">
        <f>Table1[[#This Row],[QTY UOM]]*Table1[[#This Row],[$/UOM]]</f>
        <v>7.0494000000000003</v>
      </c>
      <c r="N41" s="33">
        <v>0.01</v>
      </c>
      <c r="O41" s="20"/>
      <c r="P41" s="1"/>
      <c r="Q41" s="1"/>
      <c r="R41" s="1"/>
      <c r="S41" s="1"/>
      <c r="T41" s="1"/>
      <c r="U41" s="1"/>
    </row>
    <row r="42" spans="1:21" ht="15" customHeight="1">
      <c r="A42" s="12"/>
      <c r="B42" s="1" t="s">
        <v>83</v>
      </c>
      <c r="C42" s="1" t="s">
        <v>84</v>
      </c>
      <c r="D42" s="1" t="s">
        <v>85</v>
      </c>
      <c r="E42" s="22">
        <v>4</v>
      </c>
      <c r="F42" s="23">
        <v>12</v>
      </c>
      <c r="G42" s="23">
        <f>_xlfn.XLOOKUP(Table1[[#This Row],[MATERIAL]],MatList[Description],MatList[ActW])</f>
        <v>5.5</v>
      </c>
      <c r="H42" s="23">
        <f>_xlfn.XLOOKUP(Table1[[#This Row],[MATERIAL]],MatList[Description],MatList[ActT])</f>
        <v>1.5</v>
      </c>
      <c r="I42" s="26">
        <f>IFERROR(INDEX(MatList[SCRAP], MATCH(Table1[[#This Row],[MATERIAL]], MatList[Description], 0)),0)</f>
        <v>0.24</v>
      </c>
      <c r="J42" s="22" t="s">
        <v>55</v>
      </c>
      <c r="K42" s="23" cm="1">
        <f t="array" ref="K42">_xlfn.IFS(Table1[[#This Row],[UOM]]="BF",(Table1[[#This Row],[QTY]]*Table1[[#This Row],[LENGTH]]*_xlfn.XLOOKUP(Table1[[#This Row],[MATERIAL]],MatList[Description],MatList[NomW])*_xlfn.XLOOKUP(Table1[[#This Row],[MATERIAL]],MatList[Description],MatList[NomT])/144)*(1+Table1[[#This Row],[SCRAP]]),Table1[[#This Row],[UOM]]="SF",(Table1[[#This Row],[QTY]]*Table1[[#This Row],[LENGTH]]*Table1[[#This Row],[WIDTH]]/144)*(1+Table1[[#This Row],[SCRAP]]),Table1[[#This Row],[UOM]]="EA",Table1[[#This Row],[QTY]],NOT(OR(Table1[[#This Row],[UOM]]="BF",Table1[[#This Row],[UOM]]="SF",Table1[[#This Row],[UOM]]="EA")),0)</f>
        <v>4.96</v>
      </c>
      <c r="L42" s="40">
        <f>IFERROR(INDEX(MatList[UNIT PRICE], MATCH(Table1[[#This Row],[MATERIAL]], MatList[Description], 0)),0)</f>
        <v>0.379</v>
      </c>
      <c r="M42" s="40">
        <f>Table1[[#This Row],[QTY UOM]]*Table1[[#This Row],[$/UOM]]</f>
        <v>1.87984</v>
      </c>
      <c r="N42" s="33"/>
      <c r="O42" s="20"/>
      <c r="P42" s="1"/>
      <c r="Q42" s="1"/>
      <c r="R42" s="1"/>
      <c r="S42" s="1"/>
      <c r="T42" s="1"/>
      <c r="U42" s="1"/>
    </row>
    <row r="43" spans="1:21" ht="15" customHeight="1">
      <c r="A43" s="12"/>
      <c r="B43" s="1" t="s">
        <v>83</v>
      </c>
      <c r="C43" s="1" t="s">
        <v>84</v>
      </c>
      <c r="D43" s="1" t="s">
        <v>54</v>
      </c>
      <c r="E43" s="22">
        <v>2</v>
      </c>
      <c r="F43" s="23">
        <f>F41-2*H41</f>
        <v>87</v>
      </c>
      <c r="G43" s="23">
        <f>_xlfn.XLOOKUP(Table1[[#This Row],[MATERIAL]],MatList[Description],MatList[ActW])</f>
        <v>3.5</v>
      </c>
      <c r="H43" s="23">
        <f>_xlfn.XLOOKUP(Table1[[#This Row],[MATERIAL]],MatList[Description],MatList[ActT])</f>
        <v>3.5</v>
      </c>
      <c r="I43" s="26">
        <f>IFERROR(INDEX(MatList[SCRAP], MATCH(Table1[[#This Row],[MATERIAL]], MatList[Description], 0)),0)</f>
        <v>0.24</v>
      </c>
      <c r="J43" s="22" t="s">
        <v>55</v>
      </c>
      <c r="K43" s="23" cm="1">
        <f t="array" ref="K43">_xlfn.IFS(Table1[[#This Row],[UOM]]="BF",(Table1[[#This Row],[QTY]]*Table1[[#This Row],[LENGTH]]*_xlfn.XLOOKUP(Table1[[#This Row],[MATERIAL]],MatList[Description],MatList[NomW])*_xlfn.XLOOKUP(Table1[[#This Row],[MATERIAL]],MatList[Description],MatList[NomT])/144)*(1+Table1[[#This Row],[SCRAP]]),Table1[[#This Row],[UOM]]="SF",(Table1[[#This Row],[QTY]]*Table1[[#This Row],[LENGTH]]*Table1[[#This Row],[WIDTH]]/144)*(1+Table1[[#This Row],[SCRAP]]),Table1[[#This Row],[UOM]]="EA",Table1[[#This Row],[QTY]],NOT(OR(Table1[[#This Row],[UOM]]="BF",Table1[[#This Row],[UOM]]="SF",Table1[[#This Row],[UOM]]="EA")),0)</f>
        <v>23.973333333333333</v>
      </c>
      <c r="L43" s="40">
        <f>IFERROR(INDEX(MatList[UNIT PRICE], MATCH(Table1[[#This Row],[MATERIAL]], MatList[Description], 0)),0)</f>
        <v>0.61099999999999999</v>
      </c>
      <c r="M43" s="40">
        <f>Table1[[#This Row],[QTY UOM]]*Table1[[#This Row],[$/UOM]]</f>
        <v>14.647706666666666</v>
      </c>
      <c r="N43" s="33"/>
      <c r="O43" s="20"/>
      <c r="P43" s="1"/>
      <c r="Q43" s="1"/>
      <c r="R43" s="1"/>
      <c r="S43" s="1"/>
      <c r="T43" s="1"/>
      <c r="U43" s="1"/>
    </row>
    <row r="44" spans="1:21" ht="15" customHeight="1">
      <c r="A44" s="12"/>
      <c r="B44" s="1" t="s">
        <v>83</v>
      </c>
      <c r="C44" s="1" t="s">
        <v>76</v>
      </c>
      <c r="D44" s="1" t="s">
        <v>77</v>
      </c>
      <c r="E44" s="22">
        <f>ROUNDUP((PRODUCT(E34/2,F34,G34,H34)+PRODUCT(E41,F41,G41,H41)+PRODUCT(E42,F42,G42,H42)+PRODUCT(E43,F43,G43,H43))/1728*84.8/16,0)</f>
        <v>36</v>
      </c>
      <c r="F44" s="23"/>
      <c r="G44" s="23"/>
      <c r="H44" s="23"/>
      <c r="I44" s="26">
        <f>IFERROR(INDEX(MatList[SCRAP], MATCH(Table1[[#This Row],[MATERIAL]], MatList[Description], 0)),0)</f>
        <v>0</v>
      </c>
      <c r="J44" s="22" t="s">
        <v>69</v>
      </c>
      <c r="K44" s="23" cm="1">
        <f t="array" ref="K44">_xlfn.IFS(Table1[[#This Row],[UOM]]="BF",(Table1[[#This Row],[QTY]]*Table1[[#This Row],[LENGTH]]*_xlfn.XLOOKUP(Table1[[#This Row],[MATERIAL]],MatList[Description],MatList[NomW])*_xlfn.XLOOKUP(Table1[[#This Row],[MATERIAL]],MatList[Description],MatList[NomT])/144)*(1+Table1[[#This Row],[SCRAP]]),Table1[[#This Row],[UOM]]="SF",(Table1[[#This Row],[QTY]]*Table1[[#This Row],[LENGTH]]*Table1[[#This Row],[WIDTH]]/144)*(1+Table1[[#This Row],[SCRAP]]),Table1[[#This Row],[UOM]]="EA",Table1[[#This Row],[QTY]],NOT(OR(Table1[[#This Row],[UOM]]="BF",Table1[[#This Row],[UOM]]="SF",Table1[[#This Row],[UOM]]="EA")),0)</f>
        <v>36</v>
      </c>
      <c r="L44" s="40">
        <f>IFERROR(INDEX(MatList[UNIT PRICE], MATCH(Table1[[#This Row],[MATERIAL]], MatList[Description], 0)),0)</f>
        <v>1.004</v>
      </c>
      <c r="M44" s="40">
        <f>Table1[[#This Row],[QTY UOM]]*Table1[[#This Row],[$/UOM]]</f>
        <v>36.143999999999998</v>
      </c>
      <c r="N44" s="33"/>
      <c r="O44" s="20"/>
      <c r="P44" s="1"/>
      <c r="Q44" s="1"/>
      <c r="R44" s="1"/>
      <c r="S44" s="1"/>
      <c r="T44" s="1"/>
      <c r="U44" s="1"/>
    </row>
    <row r="45" spans="1:21" ht="15" customHeight="1">
      <c r="A45" s="12"/>
      <c r="B45" s="1"/>
      <c r="C45" s="1"/>
      <c r="D45" s="1"/>
      <c r="E45" s="22"/>
      <c r="F45" s="23"/>
      <c r="G45" s="23"/>
      <c r="H45" s="23"/>
      <c r="I45" s="32"/>
      <c r="J45" s="22"/>
      <c r="K45" s="23"/>
      <c r="L45" s="40"/>
      <c r="M45" s="40"/>
      <c r="N45" s="33"/>
      <c r="O45" s="20"/>
      <c r="P45" s="1"/>
      <c r="Q45" s="1"/>
      <c r="R45" s="1"/>
      <c r="S45" s="1"/>
      <c r="T45" s="1"/>
      <c r="U45" s="1"/>
    </row>
    <row r="46" spans="1:21" ht="15" customHeight="1">
      <c r="A46" s="12"/>
      <c r="B46" s="58" t="s">
        <v>86</v>
      </c>
      <c r="C46" s="59"/>
      <c r="D46" s="59"/>
      <c r="E46" s="59"/>
      <c r="F46" s="59"/>
      <c r="G46" s="59"/>
      <c r="H46" s="59"/>
      <c r="I46" s="59"/>
      <c r="J46" s="59"/>
      <c r="K46" s="59"/>
      <c r="L46" s="59"/>
      <c r="M46" s="60"/>
      <c r="N46" s="1"/>
      <c r="O46" s="20"/>
      <c r="P46" s="1"/>
      <c r="Q46" s="1"/>
      <c r="R46" s="1"/>
      <c r="S46" s="1"/>
      <c r="T46" s="1"/>
      <c r="U46" s="1"/>
    </row>
    <row r="47" spans="1:21" ht="15" customHeight="1">
      <c r="A47" s="12"/>
      <c r="B47" s="24" t="s">
        <v>39</v>
      </c>
      <c r="C47" s="24" t="s">
        <v>40</v>
      </c>
      <c r="D47" s="24" t="s">
        <v>41</v>
      </c>
      <c r="E47" s="25" t="s">
        <v>42</v>
      </c>
      <c r="F47" s="25" t="s">
        <v>43</v>
      </c>
      <c r="G47" s="25" t="s">
        <v>44</v>
      </c>
      <c r="H47" s="25" t="s">
        <v>45</v>
      </c>
      <c r="I47" s="25" t="s">
        <v>46</v>
      </c>
      <c r="J47" s="25" t="s">
        <v>47</v>
      </c>
      <c r="K47" s="25" t="s">
        <v>48</v>
      </c>
      <c r="L47" s="25" t="s">
        <v>49</v>
      </c>
      <c r="M47" s="25" t="s">
        <v>50</v>
      </c>
      <c r="N47" s="1"/>
      <c r="O47" s="20"/>
      <c r="P47" s="1"/>
      <c r="Q47" s="1"/>
      <c r="R47" s="1"/>
      <c r="S47" s="1"/>
      <c r="T47" s="1"/>
      <c r="U47" s="1"/>
    </row>
    <row r="48" spans="1:21" ht="15" customHeight="1">
      <c r="A48" s="12"/>
      <c r="B48" s="1"/>
      <c r="C48" s="1"/>
      <c r="D48" s="1"/>
      <c r="E48" s="22"/>
      <c r="F48" s="23"/>
      <c r="G48" s="23"/>
      <c r="H48" s="23"/>
      <c r="I48" s="26"/>
      <c r="J48" s="22"/>
      <c r="K48" s="23"/>
      <c r="L48" s="23"/>
      <c r="M48" s="23"/>
      <c r="N48" s="1"/>
      <c r="O48" s="20"/>
      <c r="P48" s="1"/>
      <c r="Q48" s="1"/>
      <c r="R48" s="1"/>
      <c r="S48" s="1"/>
      <c r="T48" s="1"/>
      <c r="U48" s="1"/>
    </row>
    <row r="49" spans="1:21" ht="15" customHeight="1">
      <c r="A49" s="12"/>
      <c r="B49" s="1"/>
      <c r="C49" s="1"/>
      <c r="D49" s="1"/>
      <c r="E49" s="22"/>
      <c r="F49" s="23"/>
      <c r="G49" s="23"/>
      <c r="H49" s="23"/>
      <c r="I49" s="26"/>
      <c r="J49" s="22"/>
      <c r="K49" s="23"/>
      <c r="L49" s="23"/>
      <c r="M49" s="23"/>
      <c r="N49" s="1"/>
      <c r="O49" s="20"/>
      <c r="P49" s="1"/>
      <c r="Q49" s="1"/>
      <c r="R49" s="1"/>
      <c r="S49" s="1"/>
      <c r="T49" s="1"/>
      <c r="U49" s="1"/>
    </row>
    <row r="50" spans="1:21" ht="15" customHeight="1">
      <c r="A50" s="12"/>
      <c r="B50" s="1"/>
      <c r="C50" s="1"/>
      <c r="D50" s="1"/>
      <c r="E50" s="22"/>
      <c r="F50" s="23"/>
      <c r="G50" s="23"/>
      <c r="H50" s="23"/>
      <c r="I50" s="26"/>
      <c r="J50" s="22"/>
      <c r="K50" s="23"/>
      <c r="L50" s="23"/>
      <c r="M50" s="23"/>
      <c r="N50" s="1"/>
      <c r="O50" s="20"/>
      <c r="P50" s="1"/>
      <c r="Q50" s="1"/>
      <c r="R50" s="1"/>
      <c r="S50" s="1"/>
      <c r="T50" s="1"/>
      <c r="U50" s="1"/>
    </row>
    <row r="51" spans="1:21" ht="15" customHeight="1">
      <c r="A51" s="12"/>
      <c r="B51" s="1"/>
      <c r="C51" s="1"/>
      <c r="D51" s="1"/>
      <c r="E51" s="22"/>
      <c r="F51" s="23"/>
      <c r="G51" s="23"/>
      <c r="H51" s="23"/>
      <c r="I51" s="26"/>
      <c r="J51" s="22"/>
      <c r="K51" s="23"/>
      <c r="L51" s="23"/>
      <c r="M51" s="23"/>
      <c r="N51" s="1"/>
      <c r="O51" s="20"/>
      <c r="P51" s="1"/>
      <c r="Q51" s="1"/>
      <c r="R51" s="1"/>
      <c r="S51" s="1"/>
      <c r="T51" s="1"/>
      <c r="U51" s="1"/>
    </row>
    <row r="52" spans="1:21" ht="15" customHeight="1">
      <c r="A52" s="12"/>
      <c r="B52" s="1"/>
      <c r="C52" s="1"/>
      <c r="D52" s="1"/>
      <c r="E52" s="22"/>
      <c r="F52" s="23"/>
      <c r="G52" s="23"/>
      <c r="H52" s="23" t="str">
        <f>IF(ISBLANK(Table2[[#This Row],[QTY]]),"",IFERROR(VLOOKUP($D52,MatList[],5,FALSE),0))</f>
        <v/>
      </c>
      <c r="I52" s="26" t="str">
        <f>IF(ISBLANK(Table2[[#This Row],[QTY]]),"",IFERROR(INDEX(MatList[SCRAP], MATCH(Table2[[#This Row],[MATERIAL]], MatList[Description], 0)),0))</f>
        <v/>
      </c>
      <c r="J52" s="22"/>
      <c r="K52" s="23" t="str">
        <f>IF(Table2[[#This Row],[UOM]]="EA",Table2[[#This Row],[QTY]],IF(Table2[[#This Row],[UOM]]="BF",(Table2[[#This Row],[QTY]]*Table2[[#This Row],[LENGTH]]*Table2[[#This Row],[WIDTH]]*Table2[[#This Row],[THICKNESS]]/144)*(1+Table2[[#This Row],[SCRAP]]),IF(Table2[[#This Row],[UOM]]="SF",(Table2[[#This Row],[QTY]]*Table2[[#This Row],[LENGTH]]*Table2[[#This Row],[WIDTH]]/144)*(1+Table2[[#This Row],[SCRAP]]),IF(Table2[[#This Row],[UOM]]="","","WRONG UOM"))))</f>
        <v/>
      </c>
      <c r="L52" s="23" t="str">
        <f>IFERROR(IF(INDEX(MatList[UNIT PRICE], MATCH(Table2[[#This Row],[MATERIAL]], MatList[Description], 0))=0,"",INDEX(MatList[UNIT PRICE], MATCH(Table2[[#This Row],[MATERIAL]], MatList[Description], 0))),"")</f>
        <v/>
      </c>
      <c r="M52" s="23" t="str">
        <f>IFERROR(Table2[[#This Row],[QTY UOM]]*Table2[[#This Row],[$/UOM]],"")</f>
        <v/>
      </c>
      <c r="N52" s="1"/>
      <c r="O52" s="20"/>
      <c r="P52" s="1"/>
      <c r="Q52" s="1"/>
      <c r="R52" s="1"/>
      <c r="S52" s="1"/>
      <c r="T52" s="1"/>
      <c r="U52" s="1"/>
    </row>
    <row r="53" spans="1:21" ht="15" customHeight="1">
      <c r="A53" s="12"/>
      <c r="B53" s="1"/>
      <c r="C53" s="1"/>
      <c r="D53" s="1"/>
      <c r="E53" s="22"/>
      <c r="F53" s="23"/>
      <c r="G53" s="23"/>
      <c r="H53" s="23" t="str">
        <f>IF(ISBLANK(Table2[[#This Row],[QTY]]),"",IFERROR(VLOOKUP($D53,MatList[],5,FALSE),0))</f>
        <v/>
      </c>
      <c r="I53" s="26" t="str">
        <f>IF(ISBLANK(Table2[[#This Row],[QTY]]),"",IFERROR(INDEX(MatList[SCRAP], MATCH(Table2[[#This Row],[MATERIAL]], MatList[Description], 0)),0))</f>
        <v/>
      </c>
      <c r="J53" s="22"/>
      <c r="K53" s="23" t="str">
        <f>IF(Table2[[#This Row],[UOM]]="EA",Table2[[#This Row],[QTY]],IF(Table2[[#This Row],[UOM]]="BF",(Table2[[#This Row],[QTY]]*Table2[[#This Row],[LENGTH]]*Table2[[#This Row],[WIDTH]]*Table2[[#This Row],[THICKNESS]]/144)*(1+Table2[[#This Row],[SCRAP]]),IF(Table2[[#This Row],[UOM]]="SF",(Table2[[#This Row],[QTY]]*Table2[[#This Row],[LENGTH]]*Table2[[#This Row],[WIDTH]]/144)*(1+Table2[[#This Row],[SCRAP]]),IF(Table2[[#This Row],[UOM]]="","","WRONG UOM"))))</f>
        <v/>
      </c>
      <c r="L53" s="23" t="str">
        <f>IFERROR(IF(INDEX(MatList[UNIT PRICE], MATCH(Table2[[#This Row],[MATERIAL]], MatList[Description], 0))=0,"",INDEX(MatList[UNIT PRICE], MATCH(Table2[[#This Row],[MATERIAL]], MatList[Description], 0))),"")</f>
        <v/>
      </c>
      <c r="M53" s="23" t="str">
        <f>IFERROR(Table2[[#This Row],[QTY UOM]]*Table2[[#This Row],[$/UOM]],"")</f>
        <v/>
      </c>
      <c r="N53" s="1"/>
      <c r="O53" s="20"/>
      <c r="P53" s="1"/>
      <c r="Q53" s="1"/>
      <c r="R53" s="1"/>
      <c r="S53" s="1"/>
      <c r="T53" s="1"/>
      <c r="U53" s="1"/>
    </row>
    <row r="54" spans="1:21" ht="15" customHeight="1">
      <c r="A54" s="12"/>
      <c r="B54" s="1"/>
      <c r="C54" s="1"/>
      <c r="D54" s="1"/>
      <c r="E54" s="22"/>
      <c r="F54" s="23"/>
      <c r="G54" s="23"/>
      <c r="H54" s="23" t="str">
        <f>IF(ISBLANK(Table2[[#This Row],[QTY]]),"",IFERROR(VLOOKUP($D54,MatList[],5,FALSE),0))</f>
        <v/>
      </c>
      <c r="I54" s="32" t="str">
        <f>IF(ISBLANK(Table2[[#This Row],[QTY]]),"",IFERROR(INDEX(MatList[SCRAP], MATCH(Table2[[#This Row],[MATERIAL]], MatList[Description], 0)),0))</f>
        <v/>
      </c>
      <c r="J54" s="22"/>
      <c r="K54" s="23" t="str">
        <f>IF(Table2[[#This Row],[UOM]]="EA",Table2[[#This Row],[QTY]],IF(Table2[[#This Row],[UOM]]="BF",(Table2[[#This Row],[QTY]]*Table2[[#This Row],[LENGTH]]*Table2[[#This Row],[WIDTH]]*Table2[[#This Row],[THICKNESS]]/144)*(1+Table2[[#This Row],[SCRAP]]),IF(Table2[[#This Row],[UOM]]="SF",(Table2[[#This Row],[QTY]]*Table2[[#This Row],[LENGTH]]*Table2[[#This Row],[WIDTH]]/144)*(1+Table2[[#This Row],[SCRAP]]),IF(Table2[[#This Row],[UOM]]="","","WRONG UOM"))))</f>
        <v/>
      </c>
      <c r="L54" s="23" t="str">
        <f>IFERROR(IF(INDEX(MatList[UNIT PRICE], MATCH(Table2[[#This Row],[MATERIAL]], MatList[Description], 0))=0,"",INDEX(MatList[UNIT PRICE], MATCH(Table2[[#This Row],[MATERIAL]], MatList[Description], 0))),"")</f>
        <v/>
      </c>
      <c r="M54" s="23" t="str">
        <f>IFERROR(Table2[[#This Row],[QTY UOM]]*Table2[[#This Row],[$/UOM]],"")</f>
        <v/>
      </c>
      <c r="N54" s="1"/>
      <c r="O54" s="20"/>
      <c r="P54" s="1"/>
      <c r="Q54" s="1"/>
      <c r="R54" s="1"/>
      <c r="S54" s="1"/>
      <c r="T54" s="1"/>
      <c r="U54" s="1"/>
    </row>
    <row r="55" spans="1:21" ht="15" customHeight="1">
      <c r="A55" s="12"/>
      <c r="B55" s="1"/>
      <c r="C55" s="1"/>
      <c r="D55" s="1"/>
      <c r="E55" s="22"/>
      <c r="F55" s="23"/>
      <c r="G55" s="23"/>
      <c r="H55" s="23" t="str">
        <f>IF(ISBLANK(Table2[[#This Row],[QTY]]),"",IFERROR(VLOOKUP($D55,MatList[],5,FALSE),0))</f>
        <v/>
      </c>
      <c r="I55" s="32" t="str">
        <f>IF(ISBLANK(Table2[[#This Row],[QTY]]),"",IFERROR(INDEX(MatList[SCRAP], MATCH(Table2[[#This Row],[MATERIAL]], MatList[Description], 0)),0))</f>
        <v/>
      </c>
      <c r="J55" s="22"/>
      <c r="K55" s="23" t="str">
        <f>IF(Table2[[#This Row],[UOM]]="EA",Table2[[#This Row],[QTY]],IF(Table2[[#This Row],[UOM]]="BF",(Table2[[#This Row],[QTY]]*Table2[[#This Row],[LENGTH]]*Table2[[#This Row],[WIDTH]]*Table2[[#This Row],[THICKNESS]]/144)*(1+Table2[[#This Row],[SCRAP]]),IF(Table2[[#This Row],[UOM]]="SF",(Table2[[#This Row],[QTY]]*Table2[[#This Row],[LENGTH]]*Table2[[#This Row],[WIDTH]]/144)*(1+Table2[[#This Row],[SCRAP]]),IF(Table2[[#This Row],[UOM]]="","","WRONG UOM"))))</f>
        <v/>
      </c>
      <c r="L55" s="23" t="str">
        <f>IFERROR(IF(INDEX(MatList[UNIT PRICE], MATCH(Table2[[#This Row],[MATERIAL]], MatList[Description], 0))=0,"",INDEX(MatList[UNIT PRICE], MATCH(Table2[[#This Row],[MATERIAL]], MatList[Description], 0))),"")</f>
        <v/>
      </c>
      <c r="M55" s="23" t="str">
        <f>IFERROR(Table2[[#This Row],[QTY UOM]]*Table2[[#This Row],[$/UOM]],"")</f>
        <v/>
      </c>
      <c r="N55" s="1"/>
      <c r="O55" s="20"/>
      <c r="P55" s="1"/>
      <c r="Q55" s="1"/>
      <c r="R55" s="1"/>
      <c r="S55" s="1"/>
      <c r="T55" s="1"/>
      <c r="U55" s="1"/>
    </row>
    <row r="56" spans="1:21" ht="15" customHeight="1">
      <c r="A56" s="12"/>
      <c r="B56" s="1"/>
      <c r="C56" s="1"/>
      <c r="D56" s="1"/>
      <c r="E56" s="22"/>
      <c r="F56" s="23"/>
      <c r="G56" s="23"/>
      <c r="H56" s="23" t="str">
        <f>IF(ISBLANK(Table2[[#This Row],[QTY]]),"",IFERROR(VLOOKUP($D56,MatList[],5,FALSE),0))</f>
        <v/>
      </c>
      <c r="I56" s="32" t="str">
        <f>IF(ISBLANK(Table2[[#This Row],[QTY]]),"",IFERROR(INDEX(MatList[SCRAP], MATCH(Table2[[#This Row],[MATERIAL]], MatList[Description], 0)),0))</f>
        <v/>
      </c>
      <c r="J56" s="22"/>
      <c r="K56" s="23" t="str">
        <f>IF(Table2[[#This Row],[UOM]]="EA",Table2[[#This Row],[QTY]],IF(Table2[[#This Row],[UOM]]="BF",(Table2[[#This Row],[QTY]]*Table2[[#This Row],[LENGTH]]*Table2[[#This Row],[WIDTH]]*Table2[[#This Row],[THICKNESS]]/144)*(1+Table2[[#This Row],[SCRAP]]),IF(Table2[[#This Row],[UOM]]="SF",(Table2[[#This Row],[QTY]]*Table2[[#This Row],[LENGTH]]*Table2[[#This Row],[WIDTH]]/144)*(1+Table2[[#This Row],[SCRAP]]),IF(Table2[[#This Row],[UOM]]="","","WRONG UOM"))))</f>
        <v/>
      </c>
      <c r="L56" s="23" t="str">
        <f>IFERROR(IF(INDEX(MatList[UNIT PRICE], MATCH(Table2[[#This Row],[MATERIAL]], MatList[Description], 0))=0,"",INDEX(MatList[UNIT PRICE], MATCH(Table2[[#This Row],[MATERIAL]], MatList[Description], 0))),"")</f>
        <v/>
      </c>
      <c r="M56" s="23" t="str">
        <f>IFERROR(Table2[[#This Row],[QTY UOM]]*Table2[[#This Row],[$/UOM]],"")</f>
        <v/>
      </c>
      <c r="N56" s="1"/>
      <c r="O56" s="20"/>
      <c r="P56" s="1"/>
      <c r="Q56" s="1"/>
      <c r="R56" s="1"/>
      <c r="S56" s="1"/>
      <c r="T56" s="1"/>
      <c r="U56" s="1"/>
    </row>
    <row r="57" spans="1:21" ht="15" customHeight="1">
      <c r="A57" s="15"/>
      <c r="B57" s="16"/>
      <c r="C57" s="16"/>
      <c r="D57" s="16"/>
      <c r="E57" s="16"/>
      <c r="F57" s="16"/>
      <c r="G57" s="16"/>
      <c r="H57" s="16"/>
      <c r="I57" s="31"/>
      <c r="J57" s="16"/>
      <c r="K57" s="16"/>
      <c r="L57" s="16"/>
      <c r="M57" s="16"/>
      <c r="N57" s="16"/>
      <c r="O57" s="17"/>
      <c r="P57" s="1"/>
      <c r="Q57" s="1"/>
      <c r="R57" s="1"/>
      <c r="S57" s="1"/>
      <c r="T57" s="1"/>
      <c r="U57" s="1"/>
    </row>
    <row r="58" spans="1:21" ht="15" customHeight="1">
      <c r="A58" s="1"/>
      <c r="B58" s="1"/>
      <c r="C58" s="1"/>
      <c r="D58" s="1"/>
      <c r="E58" s="1"/>
      <c r="F58" s="1"/>
      <c r="G58" s="1"/>
      <c r="H58" s="1"/>
      <c r="I58" s="1"/>
      <c r="J58" s="1"/>
      <c r="K58" s="1"/>
      <c r="L58" s="1"/>
      <c r="M58" s="1"/>
      <c r="N58" s="1"/>
      <c r="O58" s="1"/>
      <c r="P58" s="1"/>
      <c r="Q58" s="1"/>
      <c r="R58" s="1"/>
      <c r="S58" s="1"/>
      <c r="T58" s="1"/>
      <c r="U58" s="1"/>
    </row>
    <row r="59" spans="1:21" ht="15" customHeight="1">
      <c r="A59" s="1"/>
      <c r="B59" s="1"/>
      <c r="C59" s="1"/>
      <c r="D59" s="1"/>
      <c r="E59" s="1"/>
      <c r="F59" s="1"/>
      <c r="G59" s="1"/>
      <c r="H59" s="1"/>
      <c r="I59" s="1"/>
      <c r="J59" s="1"/>
      <c r="K59" s="1"/>
      <c r="L59" s="1"/>
      <c r="M59" s="1"/>
      <c r="N59" s="1"/>
      <c r="O59" s="1"/>
      <c r="P59" s="1"/>
      <c r="Q59" s="1"/>
      <c r="R59" s="1"/>
      <c r="S59" s="1"/>
      <c r="T59" s="1"/>
      <c r="U59" s="1"/>
    </row>
  </sheetData>
  <dataConsolidate/>
  <mergeCells count="9">
    <mergeCell ref="E3:I5"/>
    <mergeCell ref="C8:F8"/>
    <mergeCell ref="C9:F9"/>
    <mergeCell ref="C10:F10"/>
    <mergeCell ref="B46:M46"/>
    <mergeCell ref="B16:M16"/>
    <mergeCell ref="K13:M14"/>
    <mergeCell ref="M11:M12"/>
    <mergeCell ref="K11:L12"/>
  </mergeCells>
  <phoneticPr fontId="24" type="noConversion"/>
  <conditionalFormatting sqref="E48:E56 L48:L56">
    <cfRule type="expression" dxfId="35" priority="3">
      <formula>$J48="EA"</formula>
    </cfRule>
  </conditionalFormatting>
  <conditionalFormatting sqref="E48:G56 L48:L56">
    <cfRule type="expression" dxfId="34" priority="1">
      <formula>$J48="SF"</formula>
    </cfRule>
  </conditionalFormatting>
  <conditionalFormatting sqref="E48:I56 L48:L56">
    <cfRule type="expression" dxfId="33" priority="2">
      <formula>$J48="BF"</formula>
    </cfRule>
  </conditionalFormatting>
  <pageMargins left="0.7" right="0.7" top="0.75" bottom="0.75" header="0.3" footer="0.3"/>
  <pageSetup orientation="portrait" r:id="rId1"/>
  <ignoredErrors>
    <ignoredError sqref="G20 G24 G28" formula="1"/>
  </ignoredErrors>
  <drawing r:id="rId2"/>
  <tableParts count="2">
    <tablePart r:id="rId3"/>
    <tablePart r:id="rId4"/>
  </tableParts>
  <extLst>
    <ext xmlns:x14="http://schemas.microsoft.com/office/spreadsheetml/2009/9/main" uri="{A8765BA9-456A-4dab-B4F3-ACF838C121DE}">
      <x14:slicerList>
        <x14:slicer r:id="rId5"/>
      </x14:slicerList>
    </ext>
    <ext xmlns:x15="http://schemas.microsoft.com/office/spreadsheetml/2010/11/main" uri="{3A4CF648-6AED-40f4-86FF-DC5316D8AED3}">
      <x14:slicerList xmlns:x14="http://schemas.microsoft.com/office/spreadsheetml/2009/9/main">
        <x14:slicer r:id="rId6"/>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972D0D-89A0-4AF7-8770-2E420219E4E4}">
  <dimension ref="A1:P21"/>
  <sheetViews>
    <sheetView topLeftCell="G1" zoomScale="160" zoomScaleNormal="160" workbookViewId="0">
      <selection activeCell="O7" sqref="O7"/>
    </sheetView>
  </sheetViews>
  <sheetFormatPr defaultRowHeight="15"/>
  <cols>
    <col min="1" max="1" width="13.140625" bestFit="1" customWidth="1"/>
    <col min="2" max="2" width="16.28515625" bestFit="1" customWidth="1"/>
    <col min="3" max="3" width="8.5703125" bestFit="1" customWidth="1"/>
    <col min="4" max="4" width="7.140625" bestFit="1" customWidth="1"/>
    <col min="5" max="7" width="6" customWidth="1"/>
    <col min="8" max="15" width="18.85546875" customWidth="1"/>
    <col min="16" max="16" width="19.28515625" customWidth="1"/>
  </cols>
  <sheetData>
    <row r="1" spans="1:16">
      <c r="H1" s="27" t="s">
        <v>87</v>
      </c>
    </row>
    <row r="2" spans="1:16">
      <c r="A2" s="7" t="s">
        <v>88</v>
      </c>
      <c r="B2" s="7" t="s">
        <v>89</v>
      </c>
      <c r="H2" t="s">
        <v>20</v>
      </c>
      <c r="I2" t="s">
        <v>90</v>
      </c>
      <c r="J2" t="s">
        <v>91</v>
      </c>
      <c r="K2" t="s">
        <v>92</v>
      </c>
      <c r="L2" t="s">
        <v>93</v>
      </c>
      <c r="M2" t="s">
        <v>94</v>
      </c>
      <c r="N2" t="s">
        <v>46</v>
      </c>
      <c r="O2" t="s">
        <v>95</v>
      </c>
      <c r="P2" t="s">
        <v>96</v>
      </c>
    </row>
    <row r="3" spans="1:16">
      <c r="A3" s="7" t="s">
        <v>97</v>
      </c>
      <c r="B3" t="s">
        <v>98</v>
      </c>
      <c r="H3" t="s">
        <v>62</v>
      </c>
      <c r="I3" t="s">
        <v>99</v>
      </c>
      <c r="J3">
        <v>1</v>
      </c>
      <c r="K3">
        <v>4</v>
      </c>
      <c r="L3">
        <v>0.75</v>
      </c>
      <c r="M3">
        <v>3.5</v>
      </c>
      <c r="N3" s="46">
        <v>0.1</v>
      </c>
      <c r="O3" s="41">
        <v>0.89500000000000002</v>
      </c>
    </row>
    <row r="4" spans="1:16">
      <c r="A4" s="8">
        <v>0</v>
      </c>
      <c r="B4">
        <v>6.99</v>
      </c>
      <c r="H4" t="s">
        <v>100</v>
      </c>
      <c r="I4" t="s">
        <v>101</v>
      </c>
      <c r="J4">
        <v>2</v>
      </c>
      <c r="K4">
        <v>4</v>
      </c>
      <c r="L4">
        <v>1.5</v>
      </c>
      <c r="M4">
        <v>3.5</v>
      </c>
      <c r="N4" s="46">
        <v>0.24</v>
      </c>
      <c r="O4" s="41">
        <v>0.49399999999999999</v>
      </c>
    </row>
    <row r="5" spans="1:16">
      <c r="A5" s="8">
        <v>11</v>
      </c>
      <c r="B5">
        <v>6.99</v>
      </c>
      <c r="H5" t="s">
        <v>85</v>
      </c>
      <c r="I5" t="s">
        <v>102</v>
      </c>
      <c r="J5">
        <v>2</v>
      </c>
      <c r="K5">
        <v>6</v>
      </c>
      <c r="L5">
        <v>1.5</v>
      </c>
      <c r="M5">
        <v>5.5</v>
      </c>
      <c r="N5" s="46">
        <v>0.24</v>
      </c>
      <c r="O5" s="41">
        <v>0.379</v>
      </c>
    </row>
    <row r="6" spans="1:16">
      <c r="A6" s="8">
        <v>26</v>
      </c>
      <c r="B6">
        <v>4.8899999999999997</v>
      </c>
      <c r="H6" t="s">
        <v>57</v>
      </c>
      <c r="I6" t="s">
        <v>103</v>
      </c>
      <c r="J6">
        <v>2</v>
      </c>
      <c r="K6">
        <v>10</v>
      </c>
      <c r="L6">
        <v>1.5</v>
      </c>
      <c r="M6">
        <v>9.25</v>
      </c>
      <c r="N6" s="46">
        <v>0.24</v>
      </c>
      <c r="O6" s="41">
        <v>0.372</v>
      </c>
    </row>
    <row r="7" spans="1:16">
      <c r="A7" s="8">
        <v>51</v>
      </c>
      <c r="B7">
        <v>3.43</v>
      </c>
      <c r="H7" t="s">
        <v>54</v>
      </c>
      <c r="I7" t="s">
        <v>104</v>
      </c>
      <c r="J7">
        <v>4</v>
      </c>
      <c r="K7">
        <v>4</v>
      </c>
      <c r="L7">
        <v>3.5</v>
      </c>
      <c r="M7">
        <v>3.5</v>
      </c>
      <c r="N7" s="46">
        <v>0.24</v>
      </c>
      <c r="O7" s="41">
        <v>0.61099999999999999</v>
      </c>
    </row>
    <row r="8" spans="1:16">
      <c r="A8" s="8">
        <v>76</v>
      </c>
      <c r="B8">
        <v>2.92</v>
      </c>
      <c r="H8" t="s">
        <v>105</v>
      </c>
      <c r="I8" t="s">
        <v>106</v>
      </c>
      <c r="J8">
        <v>0.25</v>
      </c>
      <c r="L8">
        <v>0.25</v>
      </c>
      <c r="N8" s="46">
        <v>0.2</v>
      </c>
      <c r="O8" s="41">
        <v>0.35</v>
      </c>
    </row>
    <row r="9" spans="1:16">
      <c r="A9" s="8">
        <v>101</v>
      </c>
      <c r="B9">
        <v>2.48</v>
      </c>
      <c r="H9" t="s">
        <v>59</v>
      </c>
      <c r="I9" t="s">
        <v>107</v>
      </c>
      <c r="J9">
        <v>0.375</v>
      </c>
      <c r="L9">
        <v>0.375</v>
      </c>
      <c r="N9" s="46">
        <v>0.2</v>
      </c>
      <c r="O9" s="41">
        <v>0.49</v>
      </c>
    </row>
    <row r="10" spans="1:16">
      <c r="A10" s="8">
        <v>126</v>
      </c>
      <c r="B10">
        <v>2.12</v>
      </c>
      <c r="H10" t="s">
        <v>108</v>
      </c>
      <c r="I10" t="s">
        <v>109</v>
      </c>
      <c r="J10">
        <v>0.5</v>
      </c>
      <c r="L10">
        <v>0.5</v>
      </c>
      <c r="N10" s="46">
        <v>0.2</v>
      </c>
      <c r="O10" s="41">
        <v>0.68200000000000005</v>
      </c>
    </row>
    <row r="11" spans="1:16">
      <c r="A11" s="8">
        <v>151</v>
      </c>
      <c r="B11">
        <v>1.78</v>
      </c>
      <c r="H11" t="s">
        <v>73</v>
      </c>
      <c r="I11" t="s">
        <v>110</v>
      </c>
      <c r="J11">
        <v>0.75</v>
      </c>
      <c r="L11">
        <v>0.75</v>
      </c>
      <c r="N11" s="46">
        <v>0.2</v>
      </c>
      <c r="O11" s="41">
        <v>0.90900000000000003</v>
      </c>
    </row>
    <row r="12" spans="1:16">
      <c r="A12" s="8">
        <v>201</v>
      </c>
      <c r="B12">
        <v>1.52</v>
      </c>
      <c r="H12" t="s">
        <v>111</v>
      </c>
      <c r="I12" t="s">
        <v>112</v>
      </c>
      <c r="J12">
        <v>2</v>
      </c>
      <c r="L12">
        <v>2</v>
      </c>
      <c r="N12" s="46">
        <v>0.14000000000000001</v>
      </c>
      <c r="O12" s="41">
        <v>0.68799999999999994</v>
      </c>
    </row>
    <row r="13" spans="1:16">
      <c r="A13" s="8">
        <v>251</v>
      </c>
      <c r="B13">
        <v>1.29</v>
      </c>
      <c r="H13" t="s">
        <v>75</v>
      </c>
      <c r="I13" t="s">
        <v>113</v>
      </c>
      <c r="J13">
        <v>3</v>
      </c>
      <c r="L13">
        <v>3</v>
      </c>
      <c r="N13" s="46">
        <v>0.14000000000000001</v>
      </c>
      <c r="O13" s="41">
        <v>0.67600000000000005</v>
      </c>
    </row>
    <row r="14" spans="1:16">
      <c r="A14" s="8">
        <v>301</v>
      </c>
      <c r="B14">
        <v>1.1599999999999999</v>
      </c>
      <c r="H14" t="s">
        <v>80</v>
      </c>
      <c r="I14" t="s">
        <v>114</v>
      </c>
      <c r="N14" s="46">
        <v>0.2</v>
      </c>
      <c r="O14" s="41">
        <f>ROUND(0.2061,3)</f>
        <v>0.20599999999999999</v>
      </c>
    </row>
    <row r="15" spans="1:16">
      <c r="A15" s="8">
        <v>401</v>
      </c>
      <c r="B15">
        <v>1.06</v>
      </c>
      <c r="H15" t="s">
        <v>77</v>
      </c>
      <c r="I15" t="s">
        <v>115</v>
      </c>
      <c r="N15" s="46">
        <v>0</v>
      </c>
      <c r="O15" s="41">
        <v>1.004</v>
      </c>
    </row>
    <row r="16" spans="1:16">
      <c r="A16" s="8">
        <v>601</v>
      </c>
      <c r="B16">
        <v>0.9</v>
      </c>
      <c r="H16" t="s">
        <v>82</v>
      </c>
      <c r="I16" t="s">
        <v>116</v>
      </c>
      <c r="N16" s="46">
        <v>0.2</v>
      </c>
      <c r="O16" s="41">
        <v>4.7E-2</v>
      </c>
    </row>
    <row r="17" spans="1:15">
      <c r="A17" s="8">
        <v>801</v>
      </c>
      <c r="B17">
        <v>0.81</v>
      </c>
      <c r="H17" t="s">
        <v>68</v>
      </c>
      <c r="I17" t="s">
        <v>117</v>
      </c>
      <c r="N17" s="46">
        <v>0</v>
      </c>
      <c r="O17" s="41">
        <v>0.11600000000000001</v>
      </c>
    </row>
    <row r="18" spans="1:15">
      <c r="A18" s="8">
        <v>1001</v>
      </c>
      <c r="B18">
        <v>0.72</v>
      </c>
      <c r="H18" t="s">
        <v>70</v>
      </c>
      <c r="I18" t="s">
        <v>118</v>
      </c>
      <c r="N18" s="46">
        <v>0</v>
      </c>
      <c r="O18" s="41">
        <v>1.6E-2</v>
      </c>
    </row>
    <row r="19" spans="1:15">
      <c r="A19" s="8">
        <v>1501</v>
      </c>
      <c r="B19">
        <v>0.66</v>
      </c>
      <c r="H19" t="s">
        <v>119</v>
      </c>
      <c r="I19" t="s">
        <v>120</v>
      </c>
      <c r="N19" s="46">
        <v>0</v>
      </c>
      <c r="O19" s="41">
        <v>0.29299999999999998</v>
      </c>
    </row>
    <row r="20" spans="1:15">
      <c r="H20" t="s">
        <v>121</v>
      </c>
      <c r="I20" t="s">
        <v>122</v>
      </c>
      <c r="N20" s="46"/>
      <c r="O20" s="41">
        <v>25</v>
      </c>
    </row>
    <row r="21" spans="1:15">
      <c r="N21" s="46"/>
      <c r="O21" s="41"/>
    </row>
  </sheetData>
  <pageMargins left="0.7" right="0.7" top="0.75" bottom="0.75" header="0.3" footer="0.3"/>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SyracuseOfficeCustomData>{"createMode":"plain_doc","forceRefresh":"0"}</SyracuseOfficeCustomData>
</file>

<file path=customXml/itemProps1.xml><?xml version="1.0" encoding="utf-8"?>
<ds:datastoreItem xmlns:ds="http://schemas.openxmlformats.org/officeDocument/2006/customXml" ds:itemID="{72AFB15D-E85A-49D1-B7A5-4BA7D8EA0901}"/>
</file>

<file path=docMetadata/LabelInfo.xml><?xml version="1.0" encoding="utf-8"?>
<clbl:labelList xmlns:clbl="http://schemas.microsoft.com/office/2020/mipLabelMetadata">
  <clbl:label id="{229db7cb-c3c6-4c1a-9106-e7b878bf398d}" enabled="0" method="" siteId="{229db7cb-c3c6-4c1a-9106-e7b878bf398d}" removed="1"/>
</clbl:labelLis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Tom Selven</dc:creator>
  <cp:keywords/>
  <dc:description/>
  <cp:lastModifiedBy/>
  <cp:revision/>
  <dcterms:created xsi:type="dcterms:W3CDTF">2024-03-13T16:49:52Z</dcterms:created>
  <dcterms:modified xsi:type="dcterms:W3CDTF">2024-06-14T17:41:10Z</dcterms:modified>
  <cp:category/>
  <cp:contentStatus/>
</cp:coreProperties>
</file>