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Excel - Module 1 Challenge\"/>
    </mc:Choice>
  </mc:AlternateContent>
  <xr:revisionPtr revIDLastSave="0" documentId="13_ncr:1_{3347F770-1926-4BF4-971C-7A8317352268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Crowdfunding" sheetId="1" r:id="rId1"/>
    <sheet name="category statistics" sheetId="4" r:id="rId2"/>
    <sheet name="sub category statistics" sheetId="5" r:id="rId3"/>
    <sheet name="outcomes from launch dates" sheetId="6" r:id="rId4"/>
    <sheet name="Success,fail.canceled metrics" sheetId="7" r:id="rId5"/>
    <sheet name="Mean, Median, Mode" sheetId="11" r:id="rId6"/>
    <sheet name="Pivot chart experiment only" sheetId="10" r:id="rId7"/>
  </sheets>
  <definedNames>
    <definedName name="_xlnm._FilterDatabase" localSheetId="0" hidden="1">Crowdfunding!$A$1:$T$1001</definedName>
    <definedName name="_xlchart.v1.0" hidden="1">'Mean, Median, Mode'!$A$1</definedName>
    <definedName name="_xlchart.v1.1" hidden="1">'Mean, Median, Mode'!$A$2:$A$1048141</definedName>
    <definedName name="_xlchart.v1.2" hidden="1">'Mean, Median, Mode'!$B$1</definedName>
    <definedName name="_xlchart.v1.3" hidden="1">'Mean, Median, Mode'!$B$2:$B$1048141</definedName>
    <definedName name="_xlchart.v1.4" hidden="1">'Mean, Median, Mode'!$D$1</definedName>
    <definedName name="_xlchart.v1.5" hidden="1">'Mean, Median, Mode'!$D$2:$D$1048141</definedName>
    <definedName name="_xlchart.v1.6" hidden="1">'Mean, Median, Mode'!$E$1</definedName>
    <definedName name="_xlchart.v1.7" hidden="1">'Mean, Median, Mode'!$E$2:$E$1048141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7" l="1"/>
  <c r="G13" i="7"/>
  <c r="E13" i="7"/>
  <c r="E2" i="7"/>
  <c r="D13" i="7"/>
  <c r="C13" i="7"/>
  <c r="B13" i="7"/>
  <c r="B12" i="7"/>
  <c r="L3" i="11"/>
  <c r="L2" i="11"/>
  <c r="K3" i="11"/>
  <c r="K2" i="11"/>
  <c r="J3" i="11"/>
  <c r="J2" i="11"/>
  <c r="I2" i="11"/>
  <c r="I3" i="11"/>
  <c r="H3" i="11"/>
  <c r="H2" i="11"/>
  <c r="D12" i="7"/>
  <c r="C12" i="7"/>
  <c r="B11" i="7"/>
  <c r="D11" i="7"/>
  <c r="C11" i="7"/>
  <c r="B10" i="7"/>
  <c r="D10" i="7"/>
  <c r="C10" i="7"/>
  <c r="B9" i="7"/>
  <c r="D9" i="7"/>
  <c r="C9" i="7"/>
  <c r="B8" i="7"/>
  <c r="D8" i="7"/>
  <c r="C8" i="7"/>
  <c r="B7" i="7"/>
  <c r="D4" i="7"/>
  <c r="C4" i="7"/>
  <c r="C6" i="7"/>
  <c r="D6" i="7"/>
  <c r="D7" i="7"/>
  <c r="C7" i="7"/>
  <c r="B6" i="7"/>
  <c r="B5" i="7"/>
  <c r="D5" i="7"/>
  <c r="C5" i="7"/>
  <c r="B4" i="7"/>
  <c r="B3" i="7"/>
  <c r="D3" i="7"/>
  <c r="C3" i="7"/>
  <c r="B2" i="7"/>
  <c r="D2" i="7"/>
  <c r="C2" i="7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7" l="1"/>
  <c r="E3" i="7"/>
  <c r="G12" i="7"/>
  <c r="E7" i="7"/>
  <c r="F4" i="7"/>
  <c r="G3" i="7"/>
  <c r="F8" i="7"/>
  <c r="F10" i="7"/>
  <c r="E11" i="7"/>
  <c r="F2" i="7"/>
  <c r="F5" i="7"/>
  <c r="G6" i="7"/>
  <c r="G2" i="7"/>
  <c r="G5" i="7"/>
  <c r="F6" i="7"/>
  <c r="E6" i="7"/>
  <c r="G8" i="7"/>
  <c r="E8" i="7"/>
  <c r="E9" i="7"/>
  <c r="G10" i="7"/>
  <c r="E10" i="7"/>
  <c r="E12" i="7"/>
  <c r="F7" i="7"/>
  <c r="F9" i="7"/>
  <c r="F11" i="7"/>
  <c r="F12" i="7"/>
  <c r="G4" i="7"/>
  <c r="E4" i="7"/>
  <c r="E5" i="7"/>
  <c r="G7" i="7"/>
  <c r="G9" i="7"/>
  <c r="G11" i="7"/>
</calcChain>
</file>

<file path=xl/sharedStrings.xml><?xml version="1.0" encoding="utf-8"?>
<sst xmlns="http://schemas.openxmlformats.org/spreadsheetml/2006/main" count="7077" uniqueCount="2112">
  <si>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</si>
  <si>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</si>
  <si>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</si>
  <si>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</si>
  <si>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</si>
  <si>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</si>
  <si>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</si>
  <si>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</si>
  <si>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</si>
  <si>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</si>
  <si>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</si>
  <si>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</si>
  <si>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</si>
  <si>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</si>
  <si>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</si>
  <si>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</si>
  <si>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</si>
  <si>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</si>
  <si>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</si>
  <si>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</si>
  <si>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</si>
  <si>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</si>
  <si>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</si>
  <si>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</si>
  <si>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</si>
  <si>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</si>
  <si>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</si>
  <si>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</si>
  <si>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</si>
  <si>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</si>
  <si>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</si>
  <si>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</si>
  <si>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</si>
  <si>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</si>
  <si>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</si>
  <si>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</si>
  <si>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</si>
  <si>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</si>
  <si>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</si>
  <si>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</si>
  <si>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</si>
  <si>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</si>
  <si>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</si>
  <si>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</si>
  <si>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</si>
  <si>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</si>
  <si>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</si>
  <si>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</si>
  <si>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</si>
  <si>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</si>
  <si>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</si>
  <si>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</si>
  <si>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</si>
  <si>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</si>
  <si>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</si>
  <si>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</si>
  <si>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</si>
  <si>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</si>
  <si>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</si>
  <si>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</si>
  <si>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</si>
  <si>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</si>
  <si>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</si>
  <si>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</si>
  <si>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</si>
  <si>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</si>
  <si>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</si>
  <si>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</si>
  <si>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</si>
  <si>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</si>
  <si>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</si>
  <si>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</si>
  <si>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</si>
  <si>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</si>
  <si>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</si>
  <si>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</si>
  <si>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</si>
  <si>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</si>
  <si>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</si>
  <si>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</si>
  <si>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</si>
  <si>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</si>
  <si>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</si>
  <si>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</si>
  <si>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</si>
  <si>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</si>
  <si>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</si>
  <si>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</si>
  <si>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</si>
  <si>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</si>
  <si>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</si>
  <si>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</si>
  <si>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</si>
  <si>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</si>
  <si>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</si>
  <si>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</si>
  <si>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</si>
  <si>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</si>
  <si>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</si>
  <si>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</si>
  <si>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</si>
  <si>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</si>
  <si>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</si>
  <si>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</si>
  <si>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</si>
  <si>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</si>
  <si>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</si>
  <si>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</si>
  <si>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</si>
  <si>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</si>
  <si>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</si>
  <si>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</si>
  <si>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</si>
  <si>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</si>
  <si>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</si>
  <si>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</si>
  <si>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</si>
  <si>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</si>
  <si>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</si>
  <si>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</si>
  <si>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</si>
  <si>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</si>
  <si>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</si>
  <si>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</si>
  <si>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</si>
  <si>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</si>
  <si>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</si>
  <si>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</si>
  <si>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</si>
  <si>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</si>
  <si>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</si>
  <si>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</si>
  <si>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</si>
  <si>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</si>
  <si>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</si>
  <si>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</si>
  <si>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</si>
  <si>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</si>
  <si>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</si>
  <si>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</si>
  <si>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</si>
  <si>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</si>
  <si>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</si>
  <si>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</si>
  <si>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</si>
  <si>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</si>
  <si>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</si>
  <si>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</si>
  <si>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</si>
  <si>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</si>
  <si>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</si>
  <si>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</si>
  <si>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</si>
  <si>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</si>
  <si>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</si>
  <si>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</si>
  <si>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</si>
  <si>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</si>
  <si>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</si>
  <si>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</si>
  <si>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</si>
  <si>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</si>
  <si>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</si>
  <si>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</si>
  <si>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</si>
  <si>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</si>
  <si>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</si>
  <si>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</si>
  <si>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</si>
  <si>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</si>
  <si>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</si>
  <si>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</si>
  <si>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</si>
  <si>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</si>
  <si>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</si>
  <si>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</si>
  <si>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</si>
  <si>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</si>
  <si>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</si>
  <si>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</si>
  <si>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</si>
  <si>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</si>
  <si>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</si>
  <si>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</si>
  <si>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</si>
  <si>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</si>
  <si>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</si>
  <si>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</si>
  <si>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</si>
  <si>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</si>
  <si>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</si>
  <si>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</si>
  <si>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</si>
  <si>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</si>
  <si>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</si>
  <si>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</si>
  <si>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</si>
  <si>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</si>
  <si>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</si>
  <si>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</si>
  <si>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</si>
  <si>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</si>
  <si>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</si>
  <si>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</si>
  <si>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</si>
  <si>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</si>
  <si>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</si>
  <si>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</si>
  <si>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</si>
  <si>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</si>
  <si>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</si>
  <si>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</si>
  <si>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</si>
  <si>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</si>
  <si>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</si>
  <si>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</si>
  <si>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</si>
  <si>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</si>
  <si>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</si>
  <si>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</si>
  <si>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</si>
  <si>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</si>
  <si>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</si>
  <si>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</si>
  <si>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</si>
  <si>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</si>
  <si>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</si>
  <si>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</si>
  <si>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</si>
  <si>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</si>
  <si>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</si>
  <si>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</si>
  <si>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</si>
  <si>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</si>
  <si>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</si>
  <si>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</si>
  <si>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</si>
  <si>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</si>
  <si>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</si>
  <si>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</si>
  <si>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</si>
  <si>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</si>
  <si>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</si>
  <si>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</si>
  <si>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</si>
  <si>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</si>
  <si>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</si>
  <si>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</si>
  <si>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</si>
  <si>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</si>
  <si>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</si>
  <si>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</si>
  <si>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</si>
  <si>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</si>
  <si>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</si>
  <si>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</si>
  <si>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</si>
  <si>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</si>
  <si>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</si>
  <si>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</si>
  <si>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</si>
  <si>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</si>
  <si>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</si>
  <si>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</si>
  <si>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</si>
  <si>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</si>
  <si>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</si>
  <si>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</si>
  <si>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</si>
  <si>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</si>
  <si>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</si>
  <si>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</si>
  <si>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</si>
  <si>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</si>
  <si>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</si>
  <si>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</si>
  <si>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</si>
  <si>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</si>
  <si>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</si>
  <si>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</si>
  <si>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</si>
  <si>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</si>
  <si>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</si>
  <si>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</si>
  <si>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</si>
  <si>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</si>
  <si>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</si>
  <si>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</si>
  <si>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</si>
  <si>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</si>
  <si>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</si>
  <si>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</si>
  <si>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</si>
  <si>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</si>
  <si>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</si>
  <si>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</si>
  <si>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</si>
  <si>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</si>
  <si>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</si>
  <si>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</si>
  <si>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</si>
  <si>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</si>
  <si>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</si>
  <si>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</si>
  <si>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</si>
  <si>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</si>
  <si>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</si>
  <si>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</si>
  <si>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</si>
  <si>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</si>
  <si>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</si>
  <si>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</si>
  <si>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</si>
  <si>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</si>
  <si>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</si>
  <si>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</si>
  <si>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</si>
  <si>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</si>
  <si>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</si>
  <si>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</si>
  <si>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</si>
  <si>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</si>
  <si>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</si>
  <si>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</si>
  <si>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</si>
  <si>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</si>
  <si>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</si>
  <si>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</si>
  <si>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</si>
  <si>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</si>
  <si>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</si>
  <si>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</si>
  <si>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</si>
  <si>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</si>
  <si>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</si>
  <si>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</si>
  <si>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</si>
  <si>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</si>
  <si>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</si>
  <si>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</si>
  <si>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</si>
  <si>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</si>
  <si>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</si>
  <si>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</si>
  <si>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</si>
  <si>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</si>
  <si>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</si>
  <si>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</si>
  <si>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</si>
  <si>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</si>
  <si>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</si>
  <si>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</si>
  <si>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</si>
  <si>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</si>
  <si>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</si>
  <si>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</si>
  <si>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</si>
  <si>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</si>
  <si>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</si>
  <si>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</si>
  <si>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</si>
  <si>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</si>
  <si>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</si>
  <si>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</si>
  <si>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</si>
  <si>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</si>
  <si>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</si>
  <si>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</si>
  <si>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</si>
  <si>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</si>
  <si>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</si>
  <si>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</si>
  <si>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</si>
  <si>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</si>
  <si>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</si>
  <si>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</si>
  <si>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</si>
  <si>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</si>
  <si>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</si>
  <si>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</si>
  <si>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</si>
  <si>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</si>
  <si>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</si>
  <si>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</si>
  <si>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</si>
  <si>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</si>
  <si>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</si>
  <si>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</si>
  <si>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</si>
  <si>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</si>
  <si>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</si>
  <si>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</si>
  <si>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</si>
  <si>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</si>
  <si>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</si>
  <si>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</si>
  <si>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</si>
  <si>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</si>
  <si>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</si>
  <si>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</si>
  <si>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</si>
  <si>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</si>
  <si>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</si>
  <si>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</si>
  <si>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</si>
  <si>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</si>
  <si>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</si>
  <si>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</si>
  <si>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</si>
  <si>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</si>
  <si>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</si>
  <si>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</si>
  <si>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</si>
  <si>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</si>
  <si>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</si>
  <si>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</si>
  <si>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</si>
  <si>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</si>
  <si>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</si>
  <si>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</si>
  <si>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</si>
  <si>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</si>
  <si>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</si>
  <si>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</si>
  <si>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</si>
  <si>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</si>
  <si>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</si>
  <si>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</si>
  <si>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</si>
  <si>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</si>
  <si>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</si>
  <si>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</si>
  <si>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</si>
  <si>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</si>
  <si>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</si>
  <si>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</si>
  <si>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</si>
  <si>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</si>
  <si>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</si>
  <si>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</si>
  <si>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</si>
  <si>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</si>
  <si>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</si>
  <si>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</si>
  <si>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</si>
  <si>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</si>
  <si>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</si>
  <si>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</si>
  <si>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</si>
  <si>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</si>
  <si>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</si>
  <si>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</si>
  <si>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</si>
  <si>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</si>
  <si>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</si>
  <si>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</si>
  <si>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</si>
  <si>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</si>
  <si>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</si>
  <si>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</si>
  <si>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</si>
  <si>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</si>
  <si>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</si>
  <si>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</si>
  <si>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</si>
  <si>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</si>
  <si>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</si>
  <si>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</si>
  <si>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</si>
  <si>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</si>
  <si>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</si>
  <si>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</si>
  <si>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</si>
  <si>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</si>
  <si>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</si>
  <si>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</si>
  <si>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</si>
  <si>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</si>
  <si>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</si>
  <si>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</si>
  <si>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</si>
  <si>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</si>
  <si>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</si>
  <si>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</si>
  <si>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</si>
  <si>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</si>
  <si>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</si>
  <si>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</si>
  <si>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</si>
  <si>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</si>
  <si>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</si>
  <si>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</si>
  <si>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</si>
  <si>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</si>
  <si>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</si>
  <si>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</si>
  <si>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</si>
  <si>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</si>
  <si>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</si>
  <si>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</si>
  <si>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</si>
  <si>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</si>
  <si>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</si>
  <si>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</si>
  <si>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</si>
  <si>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</si>
  <si>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</si>
  <si>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</si>
  <si>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</si>
  <si>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</si>
  <si>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</si>
  <si>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</si>
  <si>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</si>
  <si>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</si>
  <si>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</si>
  <si>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</si>
  <si>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</si>
  <si>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</si>
  <si>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</si>
  <si>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</si>
  <si>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</si>
  <si>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</si>
  <si>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</si>
  <si>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</si>
  <si>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</si>
  <si>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</si>
  <si>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</si>
  <si>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</si>
  <si>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</si>
  <si>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</si>
  <si>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</si>
  <si>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</si>
  <si>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</si>
  <si>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</si>
  <si>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</si>
  <si>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</si>
  <si>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</si>
  <si>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</si>
  <si>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</si>
  <si>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</si>
  <si>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</si>
  <si>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</si>
  <si>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</si>
  <si>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</si>
  <si>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</si>
  <si>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</si>
  <si>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</si>
  <si>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</si>
  <si>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</si>
  <si>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</si>
  <si>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</si>
  <si>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</si>
  <si>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</si>
  <si>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</si>
  <si>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</si>
  <si>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</si>
  <si>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</si>
  <si>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</si>
  <si>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</si>
  <si>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</si>
  <si>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</si>
  <si>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</si>
  <si>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</si>
  <si>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</si>
  <si>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</si>
  <si>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</si>
  <si>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</si>
  <si>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</si>
  <si>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</si>
  <si>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</si>
  <si>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</si>
  <si>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</si>
  <si>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</si>
  <si>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</si>
  <si>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</si>
  <si>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</si>
  <si>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</si>
  <si>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</si>
  <si>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</si>
  <si>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</si>
  <si>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</si>
  <si>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</si>
  <si>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</si>
  <si>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</si>
  <si>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</si>
  <si>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</si>
  <si>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</si>
  <si>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</si>
  <si>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</si>
  <si>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</si>
  <si>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</si>
  <si>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</si>
  <si>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</si>
  <si>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</si>
  <si>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</si>
  <si>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</si>
  <si>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</si>
  <si>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</si>
  <si>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</si>
  <si>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</si>
  <si>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</si>
  <si>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</si>
  <si>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</si>
  <si>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</si>
  <si>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</si>
  <si>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</si>
  <si>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</si>
  <si>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</si>
  <si>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</si>
  <si>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</si>
  <si>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</si>
  <si>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</si>
  <si>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</si>
  <si>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</si>
  <si>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</si>
  <si>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</si>
  <si>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</si>
  <si>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</si>
  <si>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</si>
  <si>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</si>
  <si>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</si>
  <si>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</si>
  <si>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</si>
  <si>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</si>
  <si>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</si>
  <si>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</si>
  <si>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</si>
  <si>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</si>
  <si>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</si>
  <si>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</si>
  <si>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</si>
  <si>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</si>
  <si>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</si>
  <si>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</si>
  <si>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</si>
  <si>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</si>
  <si>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</si>
  <si>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</si>
  <si>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</si>
  <si>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</si>
  <si>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</si>
  <si>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</si>
  <si>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</si>
  <si>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</si>
  <si>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</si>
  <si>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</si>
  <si>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</si>
  <si>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</si>
  <si>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</si>
  <si>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</si>
  <si>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</si>
  <si>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</si>
  <si>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</si>
  <si>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</si>
  <si>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</si>
  <si>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</si>
  <si>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</si>
  <si>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</si>
  <si>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</si>
  <si>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</si>
  <si>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</si>
  <si>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</si>
  <si>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</si>
  <si>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</si>
  <si>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</si>
  <si>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</si>
  <si>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</si>
  <si>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</si>
  <si>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</si>
  <si>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</si>
  <si>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</si>
  <si>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</si>
  <si>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</si>
  <si>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</si>
  <si>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</si>
  <si>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</si>
  <si>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</si>
  <si>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</si>
  <si>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</si>
  <si>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</si>
  <si>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</si>
  <si>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</si>
  <si>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</si>
  <si>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</si>
  <si>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</si>
  <si>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</si>
  <si>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</si>
  <si>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</si>
  <si>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</si>
  <si>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</si>
  <si>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</si>
  <si>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</si>
  <si>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</si>
  <si>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</si>
  <si>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</si>
  <si>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</si>
  <si>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</si>
  <si>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</si>
  <si>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</si>
  <si>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</si>
  <si>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</si>
  <si>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</si>
  <si>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</si>
  <si>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</si>
  <si>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</si>
  <si>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</si>
  <si>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</si>
  <si>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</si>
  <si>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</si>
  <si>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</si>
  <si>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</si>
  <si>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</si>
  <si>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</si>
  <si>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</si>
  <si>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</si>
  <si>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</si>
  <si>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</si>
  <si>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</si>
  <si>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</si>
  <si>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</si>
  <si>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</si>
  <si>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</si>
  <si>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</si>
  <si>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</si>
  <si>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</si>
  <si>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</si>
  <si>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</si>
  <si>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</si>
  <si>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</si>
  <si>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</si>
  <si>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</si>
  <si>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</si>
  <si>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</si>
  <si>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</si>
  <si>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</si>
  <si>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</si>
  <si>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</si>
  <si>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</si>
  <si>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</si>
  <si>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</si>
  <si>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</si>
  <si>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</si>
  <si>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</si>
  <si>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</si>
  <si>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</si>
  <si>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</si>
  <si>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</si>
  <si>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</si>
  <si>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</si>
  <si>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</si>
  <si>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</si>
  <si>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</si>
  <si>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</si>
  <si>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</si>
  <si>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</si>
  <si>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</si>
  <si>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</si>
  <si>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</si>
  <si>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</si>
  <si>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</si>
  <si>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</si>
  <si>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</si>
  <si>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</si>
  <si>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</si>
  <si>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</si>
  <si>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</si>
  <si>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</si>
  <si>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</si>
  <si>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</si>
  <si>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</si>
  <si>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</si>
  <si>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</si>
  <si>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</si>
  <si>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</si>
  <si>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</si>
  <si>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</si>
  <si>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</si>
  <si>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</si>
  <si>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</si>
  <si>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</si>
  <si>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</si>
  <si>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</si>
  <si>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</si>
  <si>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</si>
  <si>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</si>
  <si>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</si>
  <si>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</si>
  <si>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</si>
  <si>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</si>
  <si>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</si>
  <si>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</si>
  <si>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</si>
  <si>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</si>
  <si>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</si>
  <si>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</si>
  <si>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</si>
  <si>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</si>
  <si>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</si>
  <si>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</si>
  <si>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</si>
  <si>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</si>
  <si>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</si>
  <si>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</si>
  <si>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</si>
  <si>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</si>
  <si>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</si>
  <si>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</si>
  <si>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</si>
  <si>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</si>
  <si>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</si>
  <si>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</si>
  <si>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</si>
  <si>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</si>
  <si>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</si>
  <si>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</si>
  <si>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</si>
  <si>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</si>
  <si>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</si>
  <si>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</si>
  <si>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</si>
  <si>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</si>
  <si>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</si>
  <si>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</si>
  <si>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</si>
  <si>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</si>
  <si>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</si>
  <si>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</si>
  <si>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</si>
  <si>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</si>
  <si>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</si>
  <si>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</si>
  <si>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</si>
  <si>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</si>
  <si>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</si>
  <si>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</si>
  <si>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</si>
  <si>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</si>
  <si>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</si>
  <si>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</si>
  <si>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</si>
  <si>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</si>
  <si>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</si>
  <si>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</si>
  <si>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</si>
  <si>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</si>
  <si>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</si>
  <si>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</si>
  <si>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</si>
  <si>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</si>
  <si>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</si>
  <si>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</si>
  <si>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</si>
  <si>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</si>
  <si>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</si>
  <si>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</si>
  <si>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</si>
  <si>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</si>
  <si>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</si>
  <si>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</si>
  <si>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</si>
  <si>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</si>
  <si>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</si>
  <si>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</si>
  <si>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</si>
  <si>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</si>
  <si>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</si>
  <si>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</si>
  <si>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</si>
  <si>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</si>
  <si>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</si>
  <si>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</si>
  <si>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</si>
  <si>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</si>
  <si>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</si>
  <si>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</si>
  <si>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</si>
  <si>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</si>
  <si>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</si>
  <si>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</si>
  <si>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</si>
  <si>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</si>
  <si>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</si>
  <si>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</si>
  <si>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</si>
  <si>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</si>
  <si>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</si>
  <si>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</si>
  <si>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</si>
  <si>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</si>
  <si>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</si>
  <si>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</si>
  <si>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</si>
  <si>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</si>
  <si>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</si>
  <si>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</si>
  <si>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</si>
  <si>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</si>
  <si>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</si>
  <si>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</si>
  <si>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</si>
  <si>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</si>
  <si>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</si>
  <si>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</si>
  <si>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</si>
  <si>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</si>
  <si>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</si>
  <si>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</si>
  <si>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</si>
  <si>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</si>
  <si>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</si>
  <si>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</si>
  <si>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</si>
  <si>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</si>
  <si>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</si>
  <si>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</si>
  <si>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</si>
  <si>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</si>
  <si>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</si>
  <si>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</si>
  <si>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</si>
  <si>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</si>
  <si>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</si>
  <si>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</si>
  <si>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</si>
  <si>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</si>
  <si>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</si>
  <si>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</si>
  <si>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</si>
  <si>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</si>
  <si>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</si>
  <si>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</si>
  <si>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</si>
  <si>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</si>
  <si>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</si>
  <si>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</si>
  <si>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</si>
  <si>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</si>
  <si>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</si>
  <si>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</si>
  <si>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</si>
  <si>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</si>
  <si>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</si>
  <si>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</si>
  <si>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</si>
  <si>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</si>
  <si>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</si>
  <si>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</si>
  <si>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</si>
  <si>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</si>
  <si>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</si>
  <si>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</si>
  <si>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</si>
  <si>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</si>
  <si>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</si>
  <si>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</si>
  <si>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</si>
  <si>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</si>
  <si>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</si>
  <si>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</si>
  <si>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</si>
  <si>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</si>
  <si>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</si>
  <si>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</si>
  <si>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</si>
  <si>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</si>
  <si>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</si>
  <si>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</si>
  <si>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</si>
  <si>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</si>
  <si>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</si>
  <si>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</si>
  <si>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</si>
  <si>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</si>
  <si>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</si>
  <si>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</si>
  <si>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</si>
  <si>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</si>
  <si>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</si>
  <si>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</si>
  <si>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</si>
  <si>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</si>
  <si>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</si>
  <si>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</si>
  <si>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</si>
  <si>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</si>
  <si>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</si>
  <si>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</si>
  <si>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</si>
  <si>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</si>
  <si>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</si>
  <si>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</si>
  <si>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</si>
  <si>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</si>
  <si>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</si>
  <si>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</si>
  <si>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</si>
  <si>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</si>
  <si>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</si>
  <si>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</si>
  <si>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</si>
  <si>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</si>
  <si>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</si>
  <si>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</si>
  <si>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</si>
  <si>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</si>
  <si>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</si>
  <si>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</si>
  <si>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</si>
  <si>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</si>
  <si>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</si>
  <si>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</si>
  <si>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</si>
  <si>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</si>
  <si>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</si>
  <si>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</si>
  <si>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</si>
  <si>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</si>
  <si>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</si>
  <si>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</si>
  <si>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</si>
  <si>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</si>
  <si>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</si>
  <si>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</si>
  <si>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</si>
  <si>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</si>
  <si>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</si>
  <si>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</si>
  <si>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</si>
  <si>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</si>
  <si>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</si>
  <si>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</si>
  <si>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</si>
  <si>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</si>
  <si>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</si>
  <si>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</si>
  <si>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</si>
  <si>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</si>
  <si>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</si>
  <si>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</si>
  <si>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</si>
  <si>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</si>
  <si>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</si>
  <si>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</si>
  <si>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</si>
  <si>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</si>
  <si>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</si>
  <si>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</si>
  <si>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</si>
  <si>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</si>
  <si>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</si>
  <si>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</si>
  <si>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</si>
  <si>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</si>
  <si>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</si>
  <si>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</si>
  <si>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</si>
  <si>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</si>
  <si>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</si>
  <si>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</si>
  <si>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</si>
  <si>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</si>
  <si>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</si>
  <si>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</si>
  <si>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</si>
  <si>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</si>
  <si>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</si>
  <si>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</si>
  <si>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</si>
  <si>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</si>
  <si>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</si>
  <si>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</si>
  <si>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</si>
  <si>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</si>
  <si>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</si>
  <si>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</si>
  <si>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</si>
  <si>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</si>
  <si>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</si>
  <si>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</si>
  <si>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</si>
  <si>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</si>
  <si>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</si>
  <si>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</si>
  <si>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</si>
  <si>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</si>
  <si>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</si>
  <si>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</si>
  <si>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</si>
  <si>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</si>
  <si>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</si>
  <si>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</si>
  <si>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</si>
  <si>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</si>
  <si>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</si>
  <si>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</si>
  <si>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</si>
  <si>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</si>
  <si>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</si>
  <si>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</si>
  <si>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</si>
  <si>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</si>
  <si>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</si>
  <si>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</si>
  <si>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</si>
  <si>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</si>
  <si>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</si>
  <si>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</si>
  <si>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</si>
  <si>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</si>
  <si>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</si>
  <si>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</si>
  <si>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</si>
  <si>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</si>
  <si>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</si>
  <si>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</si>
  <si>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</si>
  <si>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</si>
  <si>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</si>
  <si>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</si>
  <si>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</si>
  <si>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</si>
  <si>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</si>
  <si>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</si>
  <si>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</si>
  <si>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</si>
  <si>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</si>
  <si>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</si>
  <si>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</si>
  <si>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</si>
  <si>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</si>
  <si>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</si>
  <si>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</si>
  <si>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</si>
  <si>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</si>
  <si>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</si>
  <si>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</si>
  <si>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</si>
  <si>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</si>
  <si>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</si>
  <si>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</si>
  <si>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</si>
  <si>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</si>
  <si>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</si>
  <si>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</si>
  <si>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</si>
  <si>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</si>
  <si>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</si>
  <si>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</si>
  <si>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</si>
  <si>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</si>
  <si>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</si>
  <si>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</si>
  <si>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</si>
  <si>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</si>
  <si>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</si>
  <si>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</si>
  <si>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</si>
  <si>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</si>
  <si>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</si>
  <si>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</si>
  <si>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</si>
  <si>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</si>
  <si>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</si>
  <si>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</si>
  <si>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</si>
  <si>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</si>
  <si>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</si>
  <si>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</si>
  <si>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</si>
  <si>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</si>
  <si>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</si>
  <si>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</si>
  <si>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</si>
  <si>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</si>
  <si>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</si>
  <si>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</si>
  <si>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</si>
  <si>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</si>
  <si>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</si>
  <si>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</si>
  <si>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</si>
  <si>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</si>
  <si>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</si>
  <si>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</si>
  <si>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</si>
  <si>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</si>
  <si>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</si>
  <si>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</si>
  <si>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</si>
  <si>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</si>
  <si>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</si>
  <si>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</si>
  <si>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</si>
  <si>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</si>
  <si>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</si>
  <si>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</si>
  <si>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</si>
  <si>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</si>
  <si>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</si>
  <si>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</si>
  <si>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</si>
  <si>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</si>
  <si>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</si>
  <si>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</si>
  <si>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</si>
  <si>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</si>
  <si>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</si>
  <si>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</si>
  <si>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</si>
  <si>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</si>
  <si>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</si>
  <si>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</si>
  <si>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</si>
  <si>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</si>
  <si>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</si>
  <si>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</si>
  <si>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</si>
  <si>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</si>
  <si>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</si>
  <si>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</si>
  <si>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</si>
  <si>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</si>
  <si>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</si>
  <si>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</si>
  <si>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</si>
  <si>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</si>
  <si>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</si>
  <si>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</si>
  <si>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</si>
  <si>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</si>
  <si>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</si>
  <si>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</si>
  <si>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</si>
  <si>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</si>
  <si>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</si>
  <si>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</si>
  <si>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</si>
  <si>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</si>
  <si>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</si>
  <si>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</si>
  <si>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</si>
  <si>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</si>
  <si>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</si>
  <si>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</si>
  <si>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</si>
  <si>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</si>
  <si>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</si>
  <si>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</si>
  <si>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</si>
  <si>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</si>
  <si>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</si>
  <si>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</si>
  <si>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</si>
  <si>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</si>
  <si>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</si>
  <si>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</si>
  <si>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</si>
  <si>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</si>
  <si>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</si>
  <si>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</si>
  <si>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</si>
  <si>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</si>
  <si>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</si>
  <si>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</si>
  <si>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</si>
  <si>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</si>
  <si>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</si>
  <si>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</si>
  <si>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</si>
  <si>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</si>
  <si>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</si>
  <si>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</si>
  <si>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</si>
  <si>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</si>
  <si>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</si>
  <si>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</si>
  <si>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</si>
  <si>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</si>
  <si>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</si>
  <si>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</si>
  <si>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</si>
  <si>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</si>
  <si>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</si>
  <si>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</si>
  <si>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</si>
  <si>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</si>
  <si>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</si>
  <si>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</si>
  <si>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</si>
  <si>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</si>
  <si>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</si>
  <si>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</si>
  <si>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</si>
  <si>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</si>
  <si>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</si>
  <si>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</si>
  <si>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</si>
  <si>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</si>
  <si>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</si>
  <si>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</si>
  <si>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</si>
  <si>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</si>
  <si>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</si>
  <si>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</si>
  <si>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</si>
  <si>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</si>
  <si>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</si>
  <si>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</si>
  <si>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</si>
  <si>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</si>
  <si>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</si>
  <si>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</si>
  <si>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</si>
  <si>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</si>
  <si>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</si>
  <si>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</si>
  <si>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</si>
  <si>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</si>
  <si>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</si>
  <si>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</si>
  <si>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</si>
  <si>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</si>
  <si>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</si>
  <si>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</si>
  <si>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</si>
  <si>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</si>
  <si>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</si>
  <si>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</si>
  <si>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</si>
  <si>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</si>
  <si>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</si>
  <si>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</si>
  <si>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</si>
  <si>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</si>
  <si>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</si>
  <si>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</si>
  <si>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</si>
  <si>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</si>
  <si>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</si>
  <si>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</si>
  <si>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</si>
  <si>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</si>
  <si>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</si>
  <si>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</si>
  <si>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</si>
  <si>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</si>
  <si>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</si>
  <si>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</si>
  <si>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</si>
  <si>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</si>
  <si>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</si>
  <si>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</si>
  <si>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</si>
  <si>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</si>
  <si>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</si>
  <si>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</si>
  <si>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</si>
  <si>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</si>
  <si>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</si>
  <si>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</si>
  <si>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</si>
  <si>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</si>
  <si>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</si>
  <si>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</si>
  <si>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</si>
  <si>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</si>
  <si>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</si>
  <si>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</si>
  <si>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</si>
  <si>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</si>
  <si>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</si>
  <si>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</si>
  <si>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</si>
  <si>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</si>
  <si>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</si>
  <si>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</si>
  <si>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</si>
  <si>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</si>
  <si>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</si>
  <si>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</si>
  <si>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</si>
  <si>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</si>
  <si>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</si>
  <si>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</si>
  <si>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</si>
  <si>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</si>
  <si>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</si>
  <si>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</si>
  <si>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</si>
  <si>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</si>
  <si>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</si>
  <si>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</si>
  <si>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</si>
  <si>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</si>
  <si>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</si>
  <si>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</si>
  <si>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</si>
  <si>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</si>
  <si>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</si>
  <si>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</si>
  <si>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</si>
  <si>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</si>
  <si>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</si>
  <si>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</si>
  <si>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</si>
  <si>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</si>
  <si>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</si>
  <si>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</si>
  <si>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</si>
  <si>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</si>
  <si>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</si>
  <si>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</si>
  <si>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</si>
  <si>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</si>
  <si>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</si>
  <si>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</si>
  <si>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</si>
  <si>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</si>
  <si>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</si>
  <si>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</si>
  <si>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</si>
  <si>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</si>
  <si>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</si>
  <si>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</si>
  <si>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</si>
  <si>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</si>
  <si>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</si>
  <si>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</si>
  <si>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</si>
  <si>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</si>
  <si>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</si>
  <si>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</si>
  <si>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</si>
  <si>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</si>
  <si>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</si>
  <si>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</si>
  <si>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</si>
  <si>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</si>
  <si>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</si>
  <si>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</si>
  <si>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</si>
  <si>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</si>
  <si>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</si>
  <si>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</si>
  <si>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</si>
  <si>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</si>
  <si>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</si>
  <si>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</si>
  <si>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</si>
  <si>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</si>
  <si>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</si>
  <si>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</si>
  <si>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</si>
  <si>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</si>
  <si>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</si>
  <si>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</si>
  <si>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</si>
  <si>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</si>
  <si>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</si>
  <si>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</si>
  <si>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</si>
  <si>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</si>
  <si>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</si>
  <si>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</si>
  <si>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</si>
  <si>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</si>
  <si>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</si>
  <si>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</si>
  <si>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</si>
  <si>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</si>
  <si>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</si>
  <si>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</si>
  <si>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</si>
  <si>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</si>
  <si>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</si>
  <si>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</si>
  <si>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</si>
  <si>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</si>
  <si>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</si>
  <si>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</si>
  <si>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</si>
  <si>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</si>
  <si>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</si>
  <si>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</si>
  <si>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</si>
  <si>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</si>
  <si>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</si>
  <si>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</si>
  <si>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</si>
  <si>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</si>
  <si>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</si>
  <si>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</si>
  <si>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</si>
  <si>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</si>
  <si>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</si>
  <si>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</si>
  <si>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</si>
  <si>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</si>
  <si>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</si>
  <si>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</si>
  <si>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</si>
  <si>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</si>
  <si>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</si>
  <si>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</si>
  <si>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</si>
  <si>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</si>
  <si>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</si>
  <si>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</si>
  <si>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</si>
  <si>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</si>
  <si>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</si>
  <si>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</si>
  <si>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</si>
  <si>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</si>
  <si>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</si>
  <si>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</si>
  <si>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</si>
  <si>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</si>
  <si>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</si>
  <si>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</si>
  <si>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</si>
  <si>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</si>
  <si>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</si>
  <si>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</si>
  <si>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</si>
  <si>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</si>
  <si>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</si>
  <si>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</si>
  <si>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</si>
  <si>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</si>
  <si>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</si>
  <si>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</si>
  <si>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</si>
  <si>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</si>
  <si>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</si>
  <si>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</si>
  <si>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</si>
  <si>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</si>
  <si>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</si>
  <si>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</si>
  <si>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</si>
  <si>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</si>
  <si>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</si>
  <si>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</si>
  <si>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</si>
  <si>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</si>
  <si>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</si>
  <si>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</si>
  <si>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</si>
  <si>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</si>
  <si>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</si>
  <si>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</si>
  <si>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</si>
  <si>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</si>
  <si>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</si>
  <si>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</si>
  <si>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</si>
  <si>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</si>
  <si>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</si>
  <si>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</si>
  <si>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</si>
  <si>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</si>
  <si>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</si>
  <si>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</si>
  <si>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</si>
  <si>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</si>
  <si>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</si>
  <si>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</si>
  <si>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</si>
  <si>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</si>
  <si>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</si>
  <si>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</si>
  <si>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</si>
  <si>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</si>
  <si>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</si>
  <si>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</si>
  <si>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</si>
  <si>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</si>
  <si>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</si>
  <si>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</si>
  <si>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</si>
  <si>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</si>
  <si>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</si>
  <si>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</si>
  <si>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</si>
  <si>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</si>
  <si>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</si>
  <si>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</si>
  <si>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</si>
  <si>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</si>
  <si>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</si>
  <si>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</si>
  <si>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</si>
  <si>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</si>
  <si>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</si>
  <si>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</si>
  <si>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</si>
  <si>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</si>
  <si>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</si>
  <si>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</si>
  <si>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</si>
  <si>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</si>
  <si>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</si>
  <si>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</si>
  <si>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</si>
  <si>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</si>
  <si>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</si>
  <si>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</si>
  <si>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</si>
  <si>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</si>
  <si>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</si>
  <si>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</si>
  <si>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</si>
  <si>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</si>
  <si>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</si>
  <si>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</si>
  <si>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</si>
  <si>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</si>
  <si>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</si>
  <si>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</si>
  <si>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</si>
  <si>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</si>
  <si>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</si>
  <si>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</si>
  <si>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</si>
  <si>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</si>
  <si>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</si>
  <si>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</si>
  <si>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</si>
  <si>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</si>
  <si>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</si>
  <si>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</si>
  <si>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</si>
  <si>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</si>
  <si>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</si>
  <si>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</si>
  <si>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</si>
  <si>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</si>
  <si>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</si>
  <si>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</si>
  <si>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</si>
  <si>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</si>
  <si>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</si>
  <si>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</si>
  <si>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</si>
  <si>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</si>
  <si>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</si>
  <si>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</si>
  <si>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</si>
  <si>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</si>
  <si>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</si>
  <si>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</si>
  <si>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</si>
  <si>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</si>
  <si>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</si>
  <si>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</si>
  <si>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</si>
  <si>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</si>
  <si>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</si>
  <si>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</si>
  <si>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</si>
  <si>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</si>
  <si>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</si>
  <si>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</si>
  <si>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</si>
  <si>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</si>
  <si>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</si>
  <si>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</si>
  <si>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</si>
  <si>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</si>
  <si>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</si>
  <si>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</si>
  <si>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</si>
  <si>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</si>
  <si>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</si>
  <si>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</si>
  <si>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</si>
  <si>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</si>
  <si>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</si>
  <si>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</si>
  <si>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</si>
  <si>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</si>
  <si>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</si>
  <si>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</si>
  <si>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</si>
  <si>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</si>
  <si>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</si>
  <si>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</si>
  <si>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</si>
  <si>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</si>
  <si>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</si>
  <si>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</si>
  <si>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</si>
  <si>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</si>
  <si>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</si>
  <si>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</si>
  <si>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</si>
  <si>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</si>
  <si>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</si>
  <si>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</si>
  <si>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</si>
  <si>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</si>
  <si>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</si>
  <si>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</si>
  <si>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</si>
  <si>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</si>
  <si>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</si>
  <si>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</si>
  <si>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</si>
  <si>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</si>
  <si>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</si>
  <si>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</si>
  <si>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</si>
  <si>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</si>
  <si>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</si>
  <si>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</si>
  <si>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</si>
  <si>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</si>
  <si>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</si>
  <si>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</si>
  <si>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</si>
  <si>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</si>
  <si>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</si>
  <si>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</si>
  <si>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</si>
  <si>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</si>
  <si>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</si>
  <si>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</si>
  <si>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</si>
  <si>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</si>
  <si>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</si>
  <si>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</si>
  <si>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</si>
  <si>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</si>
  <si>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</si>
  <si>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</si>
  <si>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</si>
  <si>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</si>
  <si>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</si>
  <si>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</si>
  <si>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</si>
  <si>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</si>
  <si>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</si>
  <si>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</si>
  <si>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</si>
  <si>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</si>
  <si>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</si>
  <si>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</si>
  <si>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</si>
  <si>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</si>
  <si>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</si>
  <si>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</si>
  <si>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</si>
  <si>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</si>
  <si>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</si>
  <si>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</si>
  <si>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</si>
  <si>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</si>
  <si>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</si>
  <si>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</si>
  <si>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</si>
  <si>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</si>
  <si>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</si>
  <si>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</si>
  <si>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</si>
  <si>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</si>
  <si>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</si>
  <si>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</si>
  <si>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</si>
  <si>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</si>
  <si>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</si>
  <si>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</si>
  <si>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</si>
  <si>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</si>
  <si>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</si>
  <si>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</si>
  <si>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</si>
  <si>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</si>
  <si>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</si>
  <si>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</si>
  <si>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</si>
  <si>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</si>
  <si>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</si>
  <si>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</si>
  <si>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</si>
  <si>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</si>
  <si>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</si>
  <si>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</si>
  <si>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</si>
  <si>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</si>
  <si>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</si>
  <si>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</si>
  <si>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</si>
  <si>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</si>
  <si>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</si>
  <si>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</si>
  <si>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</si>
  <si>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</si>
  <si>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</si>
  <si>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</si>
  <si>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</si>
  <si>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</si>
  <si>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</si>
  <si>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</si>
  <si>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</si>
  <si>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</si>
  <si>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</si>
  <si>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</si>
  <si>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</si>
  <si>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</si>
  <si>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</si>
  <si>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</si>
  <si>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</si>
  <si>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</si>
  <si>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</si>
  <si>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</si>
  <si>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</si>
  <si>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</si>
  <si>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</si>
  <si>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</si>
  <si>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</si>
  <si>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</si>
  <si>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</si>
  <si>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</si>
  <si>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</si>
  <si>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</si>
  <si>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</si>
  <si>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</si>
  <si>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</si>
  <si>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</si>
  <si>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</si>
  <si>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</si>
  <si>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</si>
  <si>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</si>
  <si>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</si>
  <si>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</si>
  <si>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</si>
  <si>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</si>
  <si>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</si>
  <si>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</si>
  <si>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</si>
  <si>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</si>
  <si>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</si>
  <si>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</si>
  <si>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</si>
  <si>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</si>
  <si>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</si>
  <si>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</si>
  <si>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</si>
  <si>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</si>
  <si>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</si>
  <si>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</si>
  <si>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</si>
  <si>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</si>
  <si>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</si>
  <si>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</si>
  <si>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</si>
  <si>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</si>
  <si>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</si>
  <si>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</si>
  <si>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</si>
  <si>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</si>
  <si>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</si>
  <si>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</si>
  <si>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</si>
  <si>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</si>
  <si>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</si>
  <si>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</si>
  <si>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</si>
  <si>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</si>
  <si>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</si>
  <si>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</si>
  <si>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</si>
  <si>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</si>
  <si>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</si>
  <si>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</si>
  <si>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</si>
  <si>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</si>
  <si>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</si>
  <si>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</si>
  <si>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</si>
  <si>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</si>
  <si>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</si>
  <si>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</si>
  <si>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</si>
  <si>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</si>
  <si>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</si>
  <si>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</si>
  <si>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</si>
  <si>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</si>
  <si>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</si>
  <si>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</si>
  <si>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</si>
  <si>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</si>
  <si>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</si>
  <si>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</si>
  <si>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</si>
  <si>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</si>
  <si>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</si>
  <si>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</si>
  <si>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</si>
  <si>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</si>
  <si>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</si>
  <si>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</si>
  <si>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</si>
  <si>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</si>
  <si>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</si>
  <si>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</si>
  <si>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</si>
  <si>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</si>
  <si>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</si>
  <si>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</si>
  <si>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</si>
  <si>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</si>
  <si>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</si>
  <si>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</si>
  <si>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</si>
  <si>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</si>
  <si>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</si>
  <si>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</si>
  <si>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</si>
  <si>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</si>
  <si>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</si>
  <si>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</si>
  <si>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</si>
  <si>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</si>
  <si>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</si>
  <si>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</si>
  <si>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</si>
  <si>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</si>
  <si>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</si>
  <si>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</si>
  <si>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</si>
  <si>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</si>
  <si>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</si>
  <si>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</si>
  <si>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</si>
  <si>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</si>
  <si>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</si>
  <si>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</si>
  <si>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</si>
  <si>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</si>
  <si>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</si>
  <si>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</si>
  <si>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</si>
  <si>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</si>
  <si>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</si>
  <si>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</si>
  <si>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</si>
  <si>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</si>
  <si>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</si>
  <si>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</si>
  <si>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</si>
  <si>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</si>
  <si>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</si>
  <si>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</si>
  <si>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</si>
  <si>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</si>
  <si>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</si>
  <si>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</si>
  <si>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</si>
  <si>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</si>
  <si>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</si>
  <si>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</si>
  <si>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</si>
  <si>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</si>
  <si>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</si>
  <si>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</si>
  <si>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</si>
  <si>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</si>
  <si>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</si>
  <si>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</si>
  <si>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</si>
  <si>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</si>
  <si>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</si>
  <si>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</si>
  <si>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</si>
  <si>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</si>
  <si>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</si>
  <si>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</si>
  <si>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</si>
  <si>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</si>
  <si>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</si>
  <si>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</si>
  <si>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</si>
  <si>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</si>
  <si>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</si>
  <si>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</si>
  <si>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</si>
  <si>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</si>
  <si>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</si>
  <si>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</si>
  <si>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</si>
  <si>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</si>
  <si>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</si>
  <si>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</si>
  <si>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</si>
  <si>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</si>
  <si>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</si>
  <si>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</si>
  <si>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</si>
  <si>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</si>
  <si>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</si>
  <si>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</si>
  <si>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</si>
  <si>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</si>
  <si>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</si>
  <si>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</si>
  <si>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</si>
  <si>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</si>
  <si>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</si>
  <si>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</si>
  <si>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</si>
  <si>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</si>
  <si>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</si>
  <si>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</si>
  <si>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</si>
  <si>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</si>
  <si>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</si>
  <si>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</si>
  <si>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</si>
  <si>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</si>
  <si>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</si>
  <si>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</si>
  <si>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</si>
  <si>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</si>
  <si>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</si>
  <si>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</si>
  <si>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</si>
  <si>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</si>
  <si>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Outcomes</t>
  </si>
  <si>
    <t>Parent Category</t>
  </si>
  <si>
    <t>Sub category</t>
  </si>
  <si>
    <t>avg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</si>
  <si>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</si>
  <si>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</si>
  <si>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</si>
  <si>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</si>
  <si>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</si>
  <si>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</si>
  <si>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</si>
  <si>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</si>
  <si>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</si>
  <si>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</si>
  <si>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</si>
  <si>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</si>
  <si>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</si>
  <si>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</si>
  <si>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</si>
  <si>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</si>
  <si>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</si>
  <si>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</si>
  <si>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</si>
  <si>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</si>
  <si>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</si>
  <si>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</si>
  <si>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</si>
  <si>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</si>
  <si>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</si>
  <si>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</si>
  <si>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</si>
  <si>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</si>
  <si>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</si>
  <si>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</si>
  <si>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</si>
  <si>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</si>
  <si>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</si>
  <si>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</si>
  <si>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</si>
  <si>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</si>
  <si>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</si>
  <si>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</si>
  <si>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</si>
  <si>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</si>
  <si>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</si>
  <si>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</si>
  <si>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</si>
  <si>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</si>
  <si>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</si>
  <si>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</si>
  <si>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</si>
  <si>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</si>
  <si>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</si>
  <si>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</si>
  <si>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</si>
  <si>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</si>
  <si>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</si>
  <si>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</si>
  <si>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Succesful</t>
  </si>
  <si>
    <t>Number of Failed</t>
  </si>
  <si>
    <t>Number of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</si>
  <si>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</si>
  <si>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</si>
  <si>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</si>
  <si>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</si>
  <si>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</si>
  <si>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</si>
  <si>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</si>
  <si>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</si>
  <si>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</si>
  <si>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</si>
  <si>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</si>
  <si>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</si>
  <si>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</si>
  <si>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</si>
  <si>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(Multiple Items)</t>
  </si>
  <si>
    <t>Median</t>
  </si>
  <si>
    <t>Mean</t>
  </si>
  <si>
    <t>Mode</t>
  </si>
  <si>
    <t>Standard Deviation</t>
  </si>
  <si>
    <t>Variance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</si>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</sst>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[module1-excel-challenge.xlsx]category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B-48A6-9371-772DF1CE192A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B-48A6-9371-772DF1CE192A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B-48A6-9371-772DF1CE192A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B-48A6-9371-772DF1CE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2553056"/>
        <c:axId val="612553384"/>
      </c:barChart>
      <c:catAx>
        <c:axId val="6125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3384"/>
        <c:crosses val="autoZero"/>
        <c:auto val="1"/>
        <c:lblAlgn val="ctr"/>
        <c:lblOffset val="100"/>
        <c:noMultiLvlLbl val="0"/>
      </c:catAx>
      <c:valAx>
        <c:axId val="6125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[module1-excel-challenge.xlsx]sub 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EF4-BDF1-3AD15D25927F}"/>
            </c:ext>
          </c:extLst>
        </c:ser>
        <c:ser>
          <c:idx val="1"/>
          <c:order val="1"/>
          <c:tx>
            <c:strRef>
              <c:f>'sub 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1-4EF4-BDF1-3AD15D25927F}"/>
            </c:ext>
          </c:extLst>
        </c:ser>
        <c:ser>
          <c:idx val="2"/>
          <c:order val="2"/>
          <c:tx>
            <c:strRef>
              <c:f>'sub 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1-4EF4-BDF1-3AD15D25927F}"/>
            </c:ext>
          </c:extLst>
        </c:ser>
        <c:ser>
          <c:idx val="3"/>
          <c:order val="3"/>
          <c:tx>
            <c:strRef>
              <c:f>'sub 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1-4EF4-BDF1-3AD15D25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7859968"/>
        <c:axId val="617856688"/>
      </c:barChart>
      <c:catAx>
        <c:axId val="6178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6688"/>
        <c:crosses val="autoZero"/>
        <c:auto val="1"/>
        <c:lblAlgn val="ctr"/>
        <c:lblOffset val="100"/>
        <c:noMultiLvlLbl val="0"/>
      </c:catAx>
      <c:valAx>
        <c:axId val="6178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[module1-excel-challenge.xlsx]outcomes from launch dates!PivotTable4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from launch dates'!$B$3:$B$4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from launch 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from launch dates'!$B$5:$B$17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7-44A9-AD36-482E00C71CBA}"/>
            </c:ext>
          </c:extLst>
        </c:ser>
        <c:ser>
          <c:idx val="1"/>
          <c:order val="1"/>
          <c:tx>
            <c:strRef>
              <c:f>'outcomes from launch dates'!$C$3:$C$4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from launch 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from launch dates'!$C$5:$C$17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7-44A9-AD36-482E00C71CBA}"/>
            </c:ext>
          </c:extLst>
        </c:ser>
        <c:ser>
          <c:idx val="2"/>
          <c:order val="2"/>
          <c:tx>
            <c:strRef>
              <c:f>'outcomes from launch dates'!$D$3:$D$4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from launch 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from launch dates'!$D$5:$D$17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7-44A9-AD36-482E00C71CBA}"/>
            </c:ext>
          </c:extLst>
        </c:ser>
        <c:ser>
          <c:idx val="3"/>
          <c:order val="3"/>
          <c:tx>
            <c:strRef>
              <c:f>'outcomes from launch dates'!$E$3:$E$4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from launch dates'!$A$5:$A$17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from launch dates'!$E$5:$E$17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7-44A9-AD36-482E00C7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06320"/>
        <c:axId val="700308288"/>
      </c:lineChart>
      <c:catAx>
        <c:axId val="7003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8288"/>
        <c:crosses val="autoZero"/>
        <c:auto val="1"/>
        <c:lblAlgn val="ctr"/>
        <c:lblOffset val="100"/>
        <c:noMultiLvlLbl val="0"/>
      </c:catAx>
      <c:valAx>
        <c:axId val="700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[module1-excel-challenge.xlsx]Pivot chart experiment only!PivotTable7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experiment only'!$B$3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experiment only'!$A$4:$A$7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'Pivot chart experiment only'!$B$4:$B$7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B-47EE-9BDA-7A93E925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15248"/>
        <c:axId val="622613280"/>
      </c:barChart>
      <c:catAx>
        <c:axId val="6226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13280"/>
        <c:crosses val="autoZero"/>
        <c:auto val="1"/>
        <c:lblAlgn val="ctr"/>
        <c:lblOffset val="100"/>
        <c:noMultiLvlLbl val="0"/>
      </c:catAx>
      <c:valAx>
        <c:axId val="622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D742C38B-5DCC-41B9-AD70-DB05B2C193EB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05F96D-6AB0-49C4-9F51-FE0574855D2D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4B5C8D-DCE0-4BCB-935C-A28BC9E56E7B}">
          <cx:tx>
            <cx:txData>
              <cx:f>_xlchart.v1.4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E48D9-2DF9-45E4-B6E5-BF16BC8BAE0C}">
          <cx:tx>
            <cx:txData>
              <cx:f>_xlchart.v1.6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76200</xdr:rowOff>
    </xdr:from>
    <xdr:to>
      <xdr:col>15</xdr:col>
      <xdr:colOff>19050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06BC2-F5C9-C0E9-1A6B-4B8F82A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161925</xdr:rowOff>
    </xdr:from>
    <xdr:to>
      <xdr:col>14</xdr:col>
      <xdr:colOff>352425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54BAE-3734-0531-E136-72646D1D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142875</xdr:rowOff>
    </xdr:from>
    <xdr:to>
      <xdr:col>14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DD253-EC72-5456-D124-1E012492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10</xdr:row>
      <xdr:rowOff>85725</xdr:rowOff>
    </xdr:from>
    <xdr:to>
      <xdr:col>13</xdr:col>
      <xdr:colOff>128587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39C4B1-3836-47A2-60B5-B3C339871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2" y="2085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19</xdr:row>
      <xdr:rowOff>76200</xdr:rowOff>
    </xdr:from>
    <xdr:to>
      <xdr:col>12</xdr:col>
      <xdr:colOff>161925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8587F-CA0D-52BC-2D39-195F21DE6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kPad" refreshedDate="44915.03906087963" createdVersion="8" refreshedVersion="8" minRefreshableVersion="3" recordCount="1000" xr:uid="{EEAEE1D1-F24D-4175-9D1D-F922A9B4CE8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x v="1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x v="2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x v="3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x v="4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x v="5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x v="6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x v="7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x v="8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x v="9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x v="10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x v="11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x v="12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x v="13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x v="14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x v="15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x v="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x v="17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x v="14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x v="18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x v="19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x v="20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x v="2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x v="2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x v="2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x v="2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x v="11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x v="2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x v="26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x v="27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x v="28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x v="29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x v="30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x v="3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x v="32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x v="33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x v="34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x v="35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x v="36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x v="37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x v="38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x v="39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x v="40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x v="41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x v="42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x v="11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x v="43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x v="44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x v="45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x v="46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x v="47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x v="48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x v="4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x v="35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x v="5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x v="51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x v="52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x v="53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x v="5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x v="5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x v="5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x v="56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x v="57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x v="58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x v="5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x v="60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x v="6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x v="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x v="63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x v="6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x v="65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x v="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x v="67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x v="68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x v="69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x v="32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x v="70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x v="15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x v="7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x v="72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x v="73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x v="74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x v="75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x v="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x v="77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x v="2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x v="7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x v="79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x v="80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x v="81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x v="82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x v="11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x v="83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x v="84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x v="85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x v="2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x v="86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x v="8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x v="49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x v="88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x v="89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x v="90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x v="91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x v="92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x v="9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x v="9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x v="95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x v="41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x v="9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x v="3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x v="97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x v="98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x v="9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x v="100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x v="101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x v="30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x v="102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x v="5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x v="103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x v="53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x v="104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x v="105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x v="106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x v="107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x v="10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x v="10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x v="110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x v="37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x v="111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x v="112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x v="113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x v="11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x v="115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x v="116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x v="5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x v="117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x v="1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x v="11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x v="119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x v="6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x v="120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x v="12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x v="122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x v="123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x v="124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x v="125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x v="126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x v="19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x v="127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x v="128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x v="89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x v="106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x v="129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x v="56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x v="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x v="130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x v="131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x v="132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x v="133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x v="134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x v="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x v="70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x v="33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x v="81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x v="134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x v="69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x v="135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x v="13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x v="137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x v="13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x v="112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x v="13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x v="140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x v="141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x v="142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x v="143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x v="144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x v="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x v="11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x v="145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x v="14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x v="79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x v="147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x v="4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x v="148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x v="149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x v="150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x v="12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x v="150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x v="6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x v="4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x v="7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x v="8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x v="151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x v="152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x v="153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x v="154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x v="155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x v="156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x v="157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x v="47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x v="158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x v="82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x v="159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x v="112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x v="160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x v="110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x v="161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x v="114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x v="6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x v="14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x v="162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x v="163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x v="164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x v="165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x v="166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x v="11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x v="61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x v="24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x v="2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x v="167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x v="168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x v="1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x v="170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x v="171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x v="172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x v="17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x v="38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x v="98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x v="17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x v="175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x v="176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x v="177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x v="17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x v="17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x v="180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x v="139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x v="17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x v="181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x v="59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x v="182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x v="121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x v="21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x v="183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x v="184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x v="185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x v="18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x v="187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x v="188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x v="189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x v="112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x v="157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x v="190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x v="12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x v="191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x v="98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x v="192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x v="193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x v="194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x v="19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x v="17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x v="137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x v="196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x v="197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x v="198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x v="15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x v="176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x v="19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x v="200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x v="81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x v="201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x v="89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x v="85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x v="135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x v="150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x v="20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x v="203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x v="204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x v="18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x v="177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x v="2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x v="48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x v="66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x v="107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x v="140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x v="2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x v="126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x v="207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x v="59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x v="208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x v="15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x v="2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x v="156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x v="210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x v="211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x v="212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x v="213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x v="170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x v="52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x v="37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x v="214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x v="21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x v="150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x v="140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x v="21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x v="217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x v="167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x v="77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x v="131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x v="144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x v="8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x v="218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x v="29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x v="219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x v="220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x v="49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x v="14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x v="10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x v="210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x v="110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x v="156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x v="170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x v="221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x v="6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x v="22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x v="223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x v="151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x v="110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x v="159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x v="192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x v="191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x v="40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x v="2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x v="65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x v="225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x v="22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x v="203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x v="15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x v="227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x v="25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x v="170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x v="228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x v="14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x v="157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x v="180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x v="97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x v="49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x v="229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x v="149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x v="132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x v="214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x v="21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x v="230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x v="23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x v="65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x v="3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x v="232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x v="191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x v="58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x v="233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x v="234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x v="5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x v="235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x v="109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x v="23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x v="237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x v="238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x v="107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x v="239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x v="189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x v="17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x v="240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x v="241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x v="242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x v="24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x v="213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x v="244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x v="156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x v="245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x v="246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x v="109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x v="247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x v="10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x v="74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x v="248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x v="193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x v="249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x v="110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x v="139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x v="69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x v="225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x v="250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x v="251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x v="252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x v="253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x v="254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x v="221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x v="5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x v="255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x v="106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x v="47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x v="256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x v="246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x v="257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x v="258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x v="5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x v="259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x v="260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x v="77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x v="151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x v="212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x v="26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x v="261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x v="79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x v="228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x v="139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x v="262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x v="213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x v="263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x v="152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x v="21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x v="106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x v="264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x v="139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x v="24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x v="265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x v="26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x v="2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x v="151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x v="223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x v="240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x v="267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x v="140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x v="157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x v="126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x v="268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x v="269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x v="152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x v="227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x v="270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x v="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x v="92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x v="271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x v="230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x v="272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x v="273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x v="274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x v="6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x v="275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x v="276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x v="166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x v="152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x v="154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x v="277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x v="262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x v="103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x v="278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x v="201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x v="279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x v="5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x v="248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x v="280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x v="1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x v="66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x v="281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x v="28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x v="2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x v="283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x v="20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x v="247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x v="217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x v="284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x v="110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x v="5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x v="28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x v="226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x v="28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x v="157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x v="60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x v="287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x v="114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x v="288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x v="210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x v="132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x v="172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x v="137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x v="24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x v="227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x v="128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x v="121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x v="267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x v="289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x v="6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x v="290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x v="291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x v="292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x v="89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x v="49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x v="6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x v="11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x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x v="72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x v="293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x v="294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x v="48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x v="245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x v="8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x v="246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x v="19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x v="117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x v="295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x v="6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x v="296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x v="110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x v="297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x v="277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x v="29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x v="19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x v="250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x v="121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x v="161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x v="193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x v="150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x v="299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x v="300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x v="300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x v="301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x v="134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x v="25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x v="139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x v="48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x v="119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x v="302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x v="17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x v="97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x v="303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x v="33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x v="268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x v="76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x v="3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x v="10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x v="6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x v="112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x v="210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x v="239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x v="12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x v="222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x v="305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x v="306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x v="307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x v="166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x v="3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x v="168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x v="262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x v="16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x v="308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x v="309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x v="271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x v="135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x v="114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x v="310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x v="311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x v="24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x v="169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x v="300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x v="312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x v="262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x v="105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x v="4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x v="125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x v="3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x v="170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x v="157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x v="19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x v="314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x v="154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x v="130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x v="107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x v="126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x v="114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x v="315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x v="10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x v="9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x v="316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x v="98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x v="31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x v="318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x v="304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x v="82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x v="130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x v="274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x v="319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x v="24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x v="113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x v="250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x v="320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x v="134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x v="321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x v="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x v="166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x v="214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x v="322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x v="21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x v="98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x v="177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x v="225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x v="282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x v="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x v="307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x v="98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182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x v="245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x v="296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x v="5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x v="113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x v="32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x v="46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x v="324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x v="18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x v="325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x v="194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x v="326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x v="112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x v="10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x v="327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x v="176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x v="328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x v="329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x v="163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x v="130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x v="15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x v="29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x v="298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x v="140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x v="8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x v="226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x v="130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x v="82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x v="139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x v="27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x v="126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x v="98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x v="9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x v="133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x v="11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x v="56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x v="12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x v="20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x v="15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x v="11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x v="47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x v="102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x v="26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x v="330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x v="331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x v="33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180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x v="167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x v="111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x v="15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x v="274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x v="157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x v="5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x v="176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x v="3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x v="309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x v="106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x v="272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x v="8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x v="95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x v="25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x v="69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x v="27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x v="262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x v="49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x v="152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x v="46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x v="300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x v="334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x v="33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x v="203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x v="257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x v="33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x v="145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x v="336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x v="240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x v="2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x v="337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x v="338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x v="114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x v="54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x v="339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x v="223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x v="10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x v="300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x v="159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x v="3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x v="340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x v="341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x v="300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x v="112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x v="342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x v="157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x v="343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x v="152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x v="168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x v="21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x v="17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x v="344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x v="339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x v="345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x v="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x v="346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x v="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x v="347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x v="6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x v="34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x v="349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x v="134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x v="340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x v="232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x v="166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x v="34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x v="35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x v="159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x v="275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x v="12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x v="351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x v="334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x v="41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x v="352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x v="5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x v="48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x v="353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x v="284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x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x v="3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x v="123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x v="47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x v="84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x v="286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x v="35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x v="35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x v="24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x v="357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x v="286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x v="39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x v="252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x v="230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x v="34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x v="89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x v="358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x v="4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x v="359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x v="7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x v="221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x v="360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x v="361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x v="362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x v="240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x v="49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x v="363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x v="36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x v="2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x v="365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x v="366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x v="137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x v="263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x v="367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x v="30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x v="306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x v="18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x v="2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x v="332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x v="123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x v="156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x v="251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x v="18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x v="36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x v="25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x v="369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x v="37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x v="53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x v="280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x v="43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x v="370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x v="242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x v="134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x v="102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x v="232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x v="137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x v="143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x v="49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x v="37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x v="372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x v="245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x v="213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x v="373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x v="28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x v="30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x v="89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x v="218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88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x v="374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x v="9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x v="37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x v="375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x v="376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x v="286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x v="154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x v="370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x v="176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x v="234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x v="377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x v="48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x v="254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x v="378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x v="314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x v="37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x v="37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x v="380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x v="38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x v="382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x v="383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x v="384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x v="38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x v="209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x v="38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x v="4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x v="37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x v="89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x v="17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x v="387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x v="17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x v="388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x v="5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x v="144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x v="389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x v="296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x v="46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x v="134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x v="9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x v="390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x v="137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x v="16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x v="391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x v="18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x v="392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x v="393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x v="281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x v="89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x v="366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x v="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x v="394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x v="226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x v="121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x v="383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x v="35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x v="4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x v="212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x v="39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x v="369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x v="225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x v="45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x v="39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x v="41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x v="298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x v="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x v="191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x v="6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x v="5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x v="189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x v="323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x v="282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x v="396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x v="4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x v="92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x v="17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x v="232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x v="397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x v="252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x v="110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x v="311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x v="39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x v="106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x v="103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x v="228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x v="398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x v="207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x v="323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x v="115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x v="83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x v="367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x v="21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x v="39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x v="250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x v="400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x v="325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x v="9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x v="36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x v="47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x v="301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x v="395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x v="4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x v="58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x v="222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x v="141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x v="8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x v="284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x v="401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x v="8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x v="271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x v="402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x v="37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x v="263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x v="301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x v="212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x v="403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x v="125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x v="3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x v="404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x v="89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x v="272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x v="392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x v="405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x v="308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x v="334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x v="15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x v="268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x v="86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x v="19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x v="304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x v="406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x v="309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x v="259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x v="22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x v="47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x v="275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x v="373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x v="18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x v="79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x v="24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x v="130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x v="109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x v="288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x v="150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x v="15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x v="201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x v="154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x v="28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x v="214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x v="40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x v="72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x v="111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173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x v="408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x v="107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x v="264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x v="409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x v="214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x v="22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x v="295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x v="410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x v="228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x v="260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x v="411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x v="41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x v="135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x v="393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x v="66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x v="84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x v="325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x v="413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x v="297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x v="41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x v="113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x v="316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x v="131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x v="415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x v="9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x v="246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x v="51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x v="228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x v="193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x v="163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x v="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x v="246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x v="86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x v="9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x v="416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x v="10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x v="2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x v="41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x v="70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x v="9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x v="34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x v="304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x v="84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x v="263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x v="263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BB5F7-AB08-4480-BAE7-84F737BA24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D5A75-1C38-487C-8E51-F00DA84B39C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33348-A858-4808-9F36-161B914D73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0F050-C470-4496-8993-A8893617BEA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22">
    <pivotField showAll="0"/>
    <pivotField showAll="0"/>
    <pivotField showAll="0"/>
    <pivotField axis="axisPage" multipleItemSelectionAllowed="1" showAll="0">
      <items count="448">
        <item x="0"/>
        <item x="60"/>
        <item x="31"/>
        <item x="126"/>
        <item x="79"/>
        <item h="1" x="67"/>
        <item h="1" x="65"/>
        <item h="1" x="272"/>
        <item h="1" x="81"/>
        <item h="1" x="1"/>
        <item h="1" x="42"/>
        <item h="1" x="39"/>
        <item h="1" x="12"/>
        <item h="1" x="37"/>
        <item h="1" x="89"/>
        <item h="1" x="22"/>
        <item h="1" x="118"/>
        <item h="1" x="196"/>
        <item h="1" x="173"/>
        <item h="1" x="166"/>
        <item h="1" x="186"/>
        <item h="1" x="97"/>
        <item h="1" x="50"/>
        <item h="1" x="54"/>
        <item h="1" x="49"/>
        <item h="1" x="162"/>
        <item h="1" x="33"/>
        <item h="1" x="170"/>
        <item h="1" x="88"/>
        <item h="1" x="74"/>
        <item h="1" x="26"/>
        <item h="1" x="136"/>
        <item h="1" x="41"/>
        <item h="1" x="167"/>
        <item h="1" x="61"/>
        <item h="1" x="220"/>
        <item h="1" x="178"/>
        <item h="1" x="3"/>
        <item h="1" x="333"/>
        <item h="1" x="6"/>
        <item h="1" x="176"/>
        <item h="1" x="53"/>
        <item h="1" x="73"/>
        <item h="1" x="70"/>
        <item h="1" x="92"/>
        <item h="1" x="135"/>
        <item h="1" x="5"/>
        <item h="1" x="98"/>
        <item h="1" x="91"/>
        <item h="1" x="20"/>
        <item h="1" x="36"/>
        <item h="1" x="57"/>
        <item h="1" x="306"/>
        <item h="1" x="291"/>
        <item h="1" x="46"/>
        <item h="1" x="55"/>
        <item h="1" x="8"/>
        <item h="1" x="9"/>
        <item h="1" x="330"/>
        <item h="1" x="191"/>
        <item h="1" x="47"/>
        <item h="1" x="313"/>
        <item h="1" x="85"/>
        <item h="1" x="350"/>
        <item h="1" x="260"/>
        <item h="1" x="143"/>
        <item h="1" x="44"/>
        <item h="1" x="190"/>
        <item h="1" x="71"/>
        <item h="1" x="168"/>
        <item h="1" x="4"/>
        <item h="1" x="106"/>
        <item h="1" x="75"/>
        <item h="1" x="58"/>
        <item h="1" x="48"/>
        <item h="1" x="32"/>
        <item h="1" x="139"/>
        <item h="1" x="111"/>
        <item h="1" x="141"/>
        <item h="1" x="275"/>
        <item h="1" x="133"/>
        <item h="1" x="251"/>
        <item h="1" x="35"/>
        <item h="1" x="200"/>
        <item h="1" x="25"/>
        <item h="1" x="14"/>
        <item h="1" x="243"/>
        <item h="1" x="29"/>
        <item h="1" x="151"/>
        <item h="1" x="40"/>
        <item h="1" x="103"/>
        <item h="1" x="62"/>
        <item h="1" x="122"/>
        <item h="1" x="34"/>
        <item h="1" x="83"/>
        <item h="1" x="435"/>
        <item h="1" x="344"/>
        <item h="1" x="144"/>
        <item h="1" x="358"/>
        <item h="1" x="66"/>
        <item h="1" x="408"/>
        <item h="1" x="405"/>
        <item h="1" x="287"/>
        <item h="1" x="317"/>
        <item h="1" x="174"/>
        <item h="1" x="77"/>
        <item h="1" x="311"/>
        <item h="1" x="204"/>
        <item h="1" x="224"/>
        <item h="1" x="124"/>
        <item h="1" x="410"/>
        <item h="1" x="110"/>
        <item h="1" x="286"/>
        <item h="1" x="334"/>
        <item h="1" x="329"/>
        <item h="1" x="134"/>
        <item h="1" x="356"/>
        <item h="1" x="10"/>
        <item h="1" x="258"/>
        <item h="1" x="379"/>
        <item h="1" x="171"/>
        <item h="1" x="303"/>
        <item h="1" x="241"/>
        <item h="1" x="312"/>
        <item h="1" x="69"/>
        <item h="1" x="194"/>
        <item h="1" x="43"/>
        <item h="1" x="219"/>
        <item h="1" x="203"/>
        <item h="1" x="267"/>
        <item h="1" x="349"/>
        <item h="1" x="428"/>
        <item h="1" x="117"/>
        <item h="1" x="211"/>
        <item h="1" x="424"/>
        <item h="1" x="373"/>
        <item h="1" x="130"/>
        <item h="1" x="229"/>
        <item h="1" x="242"/>
        <item h="1" x="431"/>
        <item h="1" x="169"/>
        <item h="1" x="415"/>
        <item h="1" x="423"/>
        <item h="1" x="113"/>
        <item h="1" x="157"/>
        <item h="1" x="369"/>
        <item h="1" x="142"/>
        <item h="1" x="440"/>
        <item h="1" x="328"/>
        <item h="1" x="433"/>
        <item h="1" x="403"/>
        <item h="1" x="316"/>
        <item h="1" x="131"/>
        <item h="1" x="94"/>
        <item h="1" x="180"/>
        <item h="1" x="24"/>
        <item h="1" x="237"/>
        <item h="1" x="160"/>
        <item h="1" x="213"/>
        <item h="1" x="386"/>
        <item h="1" x="376"/>
        <item h="1" x="357"/>
        <item h="1" x="240"/>
        <item h="1" x="226"/>
        <item h="1" x="28"/>
        <item h="1" x="292"/>
        <item h="1" x="185"/>
        <item h="1" x="399"/>
        <item h="1" x="430"/>
        <item h="1" x="370"/>
        <item h="1" x="352"/>
        <item h="1" x="390"/>
        <item h="1" x="400"/>
        <item h="1" x="378"/>
        <item h="1" x="145"/>
        <item h="1" x="382"/>
        <item h="1" x="132"/>
        <item h="1" x="281"/>
        <item h="1" x="64"/>
        <item h="1" x="18"/>
        <item h="1" x="338"/>
        <item h="1" x="221"/>
        <item h="1" x="138"/>
        <item h="1" x="234"/>
        <item h="1" x="163"/>
        <item h="1" x="394"/>
        <item h="1" x="87"/>
        <item h="1" x="175"/>
        <item h="1" x="182"/>
        <item h="1" x="362"/>
        <item h="1" x="15"/>
        <item h="1" x="236"/>
        <item h="1" x="146"/>
        <item h="1" x="371"/>
        <item h="1" x="109"/>
        <item h="1" x="302"/>
        <item h="1" x="205"/>
        <item h="1" x="445"/>
        <item h="1" x="161"/>
        <item h="1" x="276"/>
        <item h="1" x="80"/>
        <item h="1" x="209"/>
        <item h="1" x="407"/>
        <item h="1" x="426"/>
        <item h="1" x="321"/>
        <item h="1" x="384"/>
        <item h="1" x="101"/>
        <item h="1" x="207"/>
        <item h="1" x="325"/>
        <item h="1" x="271"/>
        <item h="1" x="414"/>
        <item h="1" x="339"/>
        <item h="1" x="310"/>
        <item h="1" x="56"/>
        <item h="1" x="432"/>
        <item h="1" x="322"/>
        <item h="1" x="218"/>
        <item h="1" x="381"/>
        <item h="1" x="148"/>
        <item h="1" x="93"/>
        <item h="1" x="193"/>
        <item h="1" x="299"/>
        <item h="1" x="355"/>
        <item h="1" x="177"/>
        <item h="1" x="411"/>
        <item h="1" x="11"/>
        <item h="1" x="417"/>
        <item h="1" x="342"/>
        <item h="1" x="107"/>
        <item h="1" x="233"/>
        <item h="1" x="314"/>
        <item h="1" x="179"/>
        <item h="1" x="197"/>
        <item h="1" x="396"/>
        <item h="1" x="13"/>
        <item h="1" x="300"/>
        <item h="1" x="401"/>
        <item h="1" x="165"/>
        <item h="1" x="337"/>
        <item h="1" x="404"/>
        <item h="1" x="318"/>
        <item h="1" x="159"/>
        <item h="1" x="153"/>
        <item h="1" x="439"/>
        <item h="1" x="326"/>
        <item h="1" x="137"/>
        <item h="1" x="393"/>
        <item h="1" x="296"/>
        <item h="1" x="262"/>
        <item h="1" x="38"/>
        <item h="1" x="121"/>
        <item h="1" x="279"/>
        <item h="1" x="278"/>
        <item h="1" x="108"/>
        <item h="1" x="19"/>
        <item h="1" x="398"/>
        <item h="1" x="202"/>
        <item h="1" x="17"/>
        <item h="1" x="51"/>
        <item h="1" x="336"/>
        <item h="1" x="208"/>
        <item h="1" x="309"/>
        <item h="1" x="315"/>
        <item h="1" x="127"/>
        <item h="1" x="402"/>
        <item h="1" x="387"/>
        <item h="1" x="238"/>
        <item h="1" x="359"/>
        <item h="1" x="82"/>
        <item h="1" x="347"/>
        <item h="1" x="201"/>
        <item h="1" x="268"/>
        <item h="1" x="105"/>
        <item h="1" x="27"/>
        <item h="1" x="254"/>
        <item h="1" x="259"/>
        <item h="1" x="235"/>
        <item h="1" x="100"/>
        <item h="1" x="152"/>
        <item h="1" x="293"/>
        <item h="1" x="307"/>
        <item h="1" x="68"/>
        <item h="1" x="354"/>
        <item h="1" x="21"/>
        <item h="1" x="2"/>
        <item h="1" x="323"/>
        <item h="1" x="392"/>
        <item h="1" x="78"/>
        <item h="1" x="231"/>
        <item h="1" x="7"/>
        <item h="1" x="280"/>
        <item h="1" x="391"/>
        <item h="1" x="446"/>
        <item h="1" x="181"/>
        <item h="1" x="188"/>
        <item h="1" x="222"/>
        <item h="1" x="247"/>
        <item h="1" x="250"/>
        <item h="1" x="212"/>
        <item h="1" x="228"/>
        <item h="1" x="232"/>
        <item h="1" x="129"/>
        <item h="1" x="295"/>
        <item h="1" x="406"/>
        <item h="1" x="265"/>
        <item h="1" x="380"/>
        <item h="1" x="199"/>
        <item h="1" x="374"/>
        <item h="1" x="195"/>
        <item h="1" x="351"/>
        <item h="1" x="84"/>
        <item h="1" x="343"/>
        <item h="1" x="353"/>
        <item h="1" x="441"/>
        <item h="1" x="256"/>
        <item h="1" x="158"/>
        <item h="1" x="319"/>
        <item h="1" x="155"/>
        <item h="1" x="63"/>
        <item h="1" x="375"/>
        <item h="1" x="290"/>
        <item h="1" x="30"/>
        <item h="1" x="388"/>
        <item h="1" x="427"/>
        <item h="1" x="59"/>
        <item h="1" x="123"/>
        <item h="1" x="368"/>
        <item h="1" x="443"/>
        <item h="1" x="156"/>
        <item h="1" x="23"/>
        <item h="1" x="16"/>
        <item h="1" x="270"/>
        <item h="1" x="420"/>
        <item h="1" x="248"/>
        <item h="1" x="230"/>
        <item h="1" x="244"/>
        <item h="1" x="210"/>
        <item h="1" x="95"/>
        <item h="1" x="112"/>
        <item h="1" x="327"/>
        <item h="1" x="164"/>
        <item h="1" x="289"/>
        <item h="1" x="340"/>
        <item h="1" x="116"/>
        <item h="1" x="365"/>
        <item h="1" x="324"/>
        <item h="1" x="397"/>
        <item h="1" x="444"/>
        <item h="1" x="86"/>
        <item h="1" x="147"/>
        <item h="1" x="438"/>
        <item h="1" x="436"/>
        <item h="1" x="363"/>
        <item h="1" x="266"/>
        <item h="1" x="252"/>
        <item h="1" x="263"/>
        <item h="1" x="102"/>
        <item h="1" x="389"/>
        <item h="1" x="120"/>
        <item h="1" x="419"/>
        <item h="1" x="297"/>
        <item h="1" x="257"/>
        <item h="1" x="285"/>
        <item h="1" x="184"/>
        <item h="1" x="273"/>
        <item h="1" x="76"/>
        <item h="1" x="425"/>
        <item h="1" x="261"/>
        <item h="1" x="154"/>
        <item h="1" x="320"/>
        <item h="1" x="215"/>
        <item h="1" x="45"/>
        <item h="1" x="421"/>
        <item h="1" x="429"/>
        <item h="1" x="413"/>
        <item h="1" x="416"/>
        <item h="1" x="249"/>
        <item h="1" x="284"/>
        <item h="1" x="367"/>
        <item h="1" x="187"/>
        <item h="1" x="104"/>
        <item h="1" x="90"/>
        <item h="1" x="225"/>
        <item h="1" x="385"/>
        <item h="1" x="172"/>
        <item h="1" x="189"/>
        <item h="1" x="308"/>
        <item h="1" x="345"/>
        <item h="1" x="372"/>
        <item h="1" x="198"/>
        <item h="1" x="305"/>
        <item h="1" x="361"/>
        <item h="1" x="418"/>
        <item h="1" x="409"/>
        <item h="1" x="115"/>
        <item h="1" x="434"/>
        <item h="1" x="288"/>
        <item h="1" x="206"/>
        <item h="1" x="183"/>
        <item h="1" x="253"/>
        <item h="1" x="96"/>
        <item h="1" x="298"/>
        <item h="1" x="227"/>
        <item h="1" x="422"/>
        <item h="1" x="304"/>
        <item h="1" x="99"/>
        <item h="1" x="366"/>
        <item h="1" x="217"/>
        <item h="1" x="128"/>
        <item h="1" x="264"/>
        <item h="1" x="412"/>
        <item h="1" x="282"/>
        <item h="1" x="364"/>
        <item h="1" x="301"/>
        <item h="1" x="395"/>
        <item h="1" x="294"/>
        <item h="1" x="437"/>
        <item h="1" x="125"/>
        <item h="1" x="246"/>
        <item h="1" x="269"/>
        <item h="1" x="335"/>
        <item h="1" x="223"/>
        <item h="1" x="114"/>
        <item h="1" x="245"/>
        <item h="1" x="255"/>
        <item h="1" x="119"/>
        <item h="1" x="140"/>
        <item h="1" x="274"/>
        <item h="1" x="346"/>
        <item h="1" x="192"/>
        <item h="1" x="377"/>
        <item h="1" x="283"/>
        <item h="1" x="150"/>
        <item h="1" x="383"/>
        <item h="1" x="442"/>
        <item h="1" x="239"/>
        <item h="1" x="332"/>
        <item h="1" x="277"/>
        <item h="1" x="348"/>
        <item h="1" x="149"/>
        <item h="1" x="214"/>
        <item h="1" x="341"/>
        <item h="1" x="360"/>
        <item h="1" x="72"/>
        <item h="1" x="331"/>
        <item h="1" x="216"/>
        <item h="1" x="52"/>
        <item t="default"/>
      </items>
    </pivotField>
    <pivotField showAll="0"/>
    <pivotField showAll="0"/>
    <pivotField axis="axisRow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3" hier="-1"/>
  </pageFields>
  <dataFields count="1">
    <dataField name="Count of outcome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CF7E1-2028-450A-86C5-8C2C5C0E65D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:E9" firstHeaderRow="1" firstDataRow="1" firstDataCol="1" rowPageCount="1" colPageCount="1"/>
  <pivotFields count="22">
    <pivotField showAll="0"/>
    <pivotField showAll="0"/>
    <pivotField showAll="0"/>
    <pivotField multipleItemSelectionAllowed="1" showAll="0">
      <items count="448">
        <item x="0"/>
        <item x="60"/>
        <item x="31"/>
        <item x="126"/>
        <item x="79"/>
        <item h="1" x="67"/>
        <item h="1" x="65"/>
        <item h="1" x="272"/>
        <item h="1" x="81"/>
        <item h="1" x="1"/>
        <item h="1" x="42"/>
        <item h="1" x="39"/>
        <item h="1" x="12"/>
        <item h="1" x="37"/>
        <item h="1" x="89"/>
        <item h="1" x="22"/>
        <item h="1" x="118"/>
        <item h="1" x="196"/>
        <item h="1" x="173"/>
        <item h="1" x="166"/>
        <item h="1" x="186"/>
        <item h="1" x="97"/>
        <item h="1" x="50"/>
        <item h="1" x="54"/>
        <item h="1" x="49"/>
        <item h="1" x="162"/>
        <item h="1" x="33"/>
        <item h="1" x="170"/>
        <item h="1" x="88"/>
        <item h="1" x="74"/>
        <item h="1" x="26"/>
        <item h="1" x="136"/>
        <item h="1" x="41"/>
        <item h="1" x="167"/>
        <item h="1" x="61"/>
        <item h="1" x="220"/>
        <item h="1" x="178"/>
        <item h="1" x="3"/>
        <item h="1" x="333"/>
        <item h="1" x="6"/>
        <item h="1" x="176"/>
        <item h="1" x="53"/>
        <item h="1" x="73"/>
        <item h="1" x="70"/>
        <item h="1" x="92"/>
        <item h="1" x="135"/>
        <item h="1" x="5"/>
        <item h="1" x="98"/>
        <item h="1" x="91"/>
        <item h="1" x="20"/>
        <item h="1" x="36"/>
        <item h="1" x="57"/>
        <item h="1" x="306"/>
        <item h="1" x="291"/>
        <item h="1" x="46"/>
        <item h="1" x="55"/>
        <item h="1" x="8"/>
        <item h="1" x="9"/>
        <item h="1" x="330"/>
        <item h="1" x="191"/>
        <item h="1" x="47"/>
        <item h="1" x="313"/>
        <item h="1" x="85"/>
        <item h="1" x="350"/>
        <item h="1" x="260"/>
        <item h="1" x="143"/>
        <item h="1" x="44"/>
        <item h="1" x="190"/>
        <item h="1" x="71"/>
        <item h="1" x="168"/>
        <item h="1" x="4"/>
        <item h="1" x="106"/>
        <item h="1" x="75"/>
        <item h="1" x="58"/>
        <item h="1" x="48"/>
        <item h="1" x="32"/>
        <item h="1" x="139"/>
        <item h="1" x="111"/>
        <item h="1" x="141"/>
        <item h="1" x="275"/>
        <item h="1" x="133"/>
        <item h="1" x="251"/>
        <item h="1" x="35"/>
        <item h="1" x="200"/>
        <item h="1" x="25"/>
        <item h="1" x="14"/>
        <item h="1" x="243"/>
        <item h="1" x="29"/>
        <item h="1" x="151"/>
        <item h="1" x="40"/>
        <item h="1" x="103"/>
        <item h="1" x="62"/>
        <item h="1" x="122"/>
        <item h="1" x="34"/>
        <item h="1" x="83"/>
        <item h="1" x="435"/>
        <item h="1" x="344"/>
        <item h="1" x="144"/>
        <item h="1" x="358"/>
        <item h="1" x="66"/>
        <item h="1" x="408"/>
        <item h="1" x="405"/>
        <item h="1" x="287"/>
        <item h="1" x="317"/>
        <item h="1" x="174"/>
        <item h="1" x="77"/>
        <item h="1" x="311"/>
        <item h="1" x="204"/>
        <item h="1" x="224"/>
        <item h="1" x="124"/>
        <item h="1" x="410"/>
        <item h="1" x="110"/>
        <item h="1" x="286"/>
        <item h="1" x="334"/>
        <item h="1" x="329"/>
        <item h="1" x="134"/>
        <item h="1" x="356"/>
        <item h="1" x="10"/>
        <item h="1" x="258"/>
        <item h="1" x="379"/>
        <item h="1" x="171"/>
        <item h="1" x="303"/>
        <item h="1" x="241"/>
        <item h="1" x="312"/>
        <item h="1" x="69"/>
        <item h="1" x="194"/>
        <item h="1" x="43"/>
        <item h="1" x="219"/>
        <item h="1" x="203"/>
        <item h="1" x="267"/>
        <item h="1" x="349"/>
        <item h="1" x="428"/>
        <item h="1" x="117"/>
        <item h="1" x="211"/>
        <item h="1" x="424"/>
        <item h="1" x="373"/>
        <item h="1" x="130"/>
        <item h="1" x="229"/>
        <item h="1" x="242"/>
        <item h="1" x="431"/>
        <item h="1" x="169"/>
        <item h="1" x="415"/>
        <item h="1" x="423"/>
        <item h="1" x="113"/>
        <item h="1" x="157"/>
        <item h="1" x="369"/>
        <item h="1" x="142"/>
        <item h="1" x="440"/>
        <item h="1" x="328"/>
        <item h="1" x="433"/>
        <item h="1" x="403"/>
        <item h="1" x="316"/>
        <item h="1" x="131"/>
        <item h="1" x="94"/>
        <item h="1" x="180"/>
        <item h="1" x="24"/>
        <item h="1" x="237"/>
        <item h="1" x="160"/>
        <item h="1" x="213"/>
        <item h="1" x="386"/>
        <item h="1" x="376"/>
        <item h="1" x="357"/>
        <item h="1" x="240"/>
        <item h="1" x="226"/>
        <item h="1" x="28"/>
        <item h="1" x="292"/>
        <item h="1" x="185"/>
        <item h="1" x="399"/>
        <item h="1" x="430"/>
        <item h="1" x="370"/>
        <item h="1" x="352"/>
        <item h="1" x="390"/>
        <item h="1" x="400"/>
        <item h="1" x="378"/>
        <item h="1" x="145"/>
        <item h="1" x="382"/>
        <item h="1" x="132"/>
        <item h="1" x="281"/>
        <item h="1" x="64"/>
        <item h="1" x="18"/>
        <item h="1" x="338"/>
        <item h="1" x="221"/>
        <item h="1" x="138"/>
        <item h="1" x="234"/>
        <item h="1" x="163"/>
        <item h="1" x="394"/>
        <item h="1" x="87"/>
        <item h="1" x="175"/>
        <item h="1" x="182"/>
        <item h="1" x="362"/>
        <item h="1" x="15"/>
        <item h="1" x="236"/>
        <item h="1" x="146"/>
        <item h="1" x="371"/>
        <item h="1" x="109"/>
        <item h="1" x="302"/>
        <item h="1" x="205"/>
        <item h="1" x="445"/>
        <item h="1" x="161"/>
        <item h="1" x="276"/>
        <item h="1" x="80"/>
        <item h="1" x="209"/>
        <item h="1" x="407"/>
        <item h="1" x="426"/>
        <item h="1" x="321"/>
        <item h="1" x="384"/>
        <item h="1" x="101"/>
        <item h="1" x="207"/>
        <item h="1" x="325"/>
        <item h="1" x="271"/>
        <item h="1" x="414"/>
        <item h="1" x="339"/>
        <item h="1" x="310"/>
        <item h="1" x="56"/>
        <item h="1" x="432"/>
        <item h="1" x="322"/>
        <item h="1" x="218"/>
        <item h="1" x="381"/>
        <item h="1" x="148"/>
        <item h="1" x="93"/>
        <item h="1" x="193"/>
        <item h="1" x="299"/>
        <item h="1" x="355"/>
        <item h="1" x="177"/>
        <item h="1" x="411"/>
        <item h="1" x="11"/>
        <item h="1" x="417"/>
        <item h="1" x="342"/>
        <item h="1" x="107"/>
        <item h="1" x="233"/>
        <item h="1" x="314"/>
        <item h="1" x="179"/>
        <item h="1" x="197"/>
        <item h="1" x="396"/>
        <item h="1" x="13"/>
        <item h="1" x="300"/>
        <item h="1" x="401"/>
        <item h="1" x="165"/>
        <item h="1" x="337"/>
        <item h="1" x="404"/>
        <item h="1" x="318"/>
        <item h="1" x="159"/>
        <item h="1" x="153"/>
        <item h="1" x="439"/>
        <item h="1" x="326"/>
        <item h="1" x="137"/>
        <item h="1" x="393"/>
        <item h="1" x="296"/>
        <item h="1" x="262"/>
        <item h="1" x="38"/>
        <item h="1" x="121"/>
        <item h="1" x="279"/>
        <item h="1" x="278"/>
        <item h="1" x="108"/>
        <item h="1" x="19"/>
        <item h="1" x="398"/>
        <item h="1" x="202"/>
        <item h="1" x="17"/>
        <item h="1" x="51"/>
        <item h="1" x="336"/>
        <item h="1" x="208"/>
        <item h="1" x="309"/>
        <item h="1" x="315"/>
        <item h="1" x="127"/>
        <item h="1" x="402"/>
        <item h="1" x="387"/>
        <item h="1" x="238"/>
        <item h="1" x="359"/>
        <item h="1" x="82"/>
        <item h="1" x="347"/>
        <item h="1" x="201"/>
        <item h="1" x="268"/>
        <item h="1" x="105"/>
        <item h="1" x="27"/>
        <item h="1" x="254"/>
        <item h="1" x="259"/>
        <item h="1" x="235"/>
        <item h="1" x="100"/>
        <item h="1" x="152"/>
        <item h="1" x="293"/>
        <item h="1" x="307"/>
        <item h="1" x="68"/>
        <item h="1" x="354"/>
        <item h="1" x="21"/>
        <item h="1" x="2"/>
        <item h="1" x="323"/>
        <item h="1" x="392"/>
        <item h="1" x="78"/>
        <item h="1" x="231"/>
        <item h="1" x="7"/>
        <item h="1" x="280"/>
        <item h="1" x="391"/>
        <item h="1" x="446"/>
        <item h="1" x="181"/>
        <item h="1" x="188"/>
        <item h="1" x="222"/>
        <item h="1" x="247"/>
        <item h="1" x="250"/>
        <item h="1" x="212"/>
        <item h="1" x="228"/>
        <item h="1" x="232"/>
        <item h="1" x="129"/>
        <item h="1" x="295"/>
        <item h="1" x="406"/>
        <item h="1" x="265"/>
        <item h="1" x="380"/>
        <item h="1" x="199"/>
        <item h="1" x="374"/>
        <item h="1" x="195"/>
        <item h="1" x="351"/>
        <item h="1" x="84"/>
        <item h="1" x="343"/>
        <item h="1" x="353"/>
        <item h="1" x="441"/>
        <item h="1" x="256"/>
        <item h="1" x="158"/>
        <item h="1" x="319"/>
        <item h="1" x="155"/>
        <item h="1" x="63"/>
        <item h="1" x="375"/>
        <item h="1" x="290"/>
        <item h="1" x="30"/>
        <item h="1" x="388"/>
        <item h="1" x="427"/>
        <item h="1" x="59"/>
        <item h="1" x="123"/>
        <item h="1" x="368"/>
        <item h="1" x="443"/>
        <item h="1" x="156"/>
        <item h="1" x="23"/>
        <item h="1" x="16"/>
        <item h="1" x="270"/>
        <item h="1" x="420"/>
        <item h="1" x="248"/>
        <item h="1" x="230"/>
        <item h="1" x="244"/>
        <item h="1" x="210"/>
        <item h="1" x="95"/>
        <item h="1" x="112"/>
        <item h="1" x="327"/>
        <item h="1" x="164"/>
        <item h="1" x="289"/>
        <item h="1" x="340"/>
        <item h="1" x="116"/>
        <item h="1" x="365"/>
        <item h="1" x="324"/>
        <item h="1" x="397"/>
        <item h="1" x="444"/>
        <item h="1" x="86"/>
        <item h="1" x="147"/>
        <item h="1" x="438"/>
        <item h="1" x="436"/>
        <item h="1" x="363"/>
        <item h="1" x="266"/>
        <item h="1" x="252"/>
        <item h="1" x="263"/>
        <item h="1" x="102"/>
        <item h="1" x="389"/>
        <item h="1" x="120"/>
        <item h="1" x="419"/>
        <item h="1" x="297"/>
        <item h="1" x="257"/>
        <item h="1" x="285"/>
        <item h="1" x="184"/>
        <item h="1" x="273"/>
        <item h="1" x="76"/>
        <item h="1" x="425"/>
        <item h="1" x="261"/>
        <item h="1" x="154"/>
        <item h="1" x="320"/>
        <item h="1" x="215"/>
        <item h="1" x="45"/>
        <item h="1" x="421"/>
        <item h="1" x="429"/>
        <item h="1" x="413"/>
        <item h="1" x="416"/>
        <item h="1" x="249"/>
        <item h="1" x="284"/>
        <item h="1" x="367"/>
        <item h="1" x="187"/>
        <item h="1" x="104"/>
        <item h="1" x="90"/>
        <item h="1" x="225"/>
        <item h="1" x="385"/>
        <item h="1" x="172"/>
        <item h="1" x="189"/>
        <item h="1" x="308"/>
        <item h="1" x="345"/>
        <item h="1" x="372"/>
        <item h="1" x="198"/>
        <item h="1" x="305"/>
        <item h="1" x="361"/>
        <item h="1" x="418"/>
        <item h="1" x="409"/>
        <item h="1" x="115"/>
        <item h="1" x="434"/>
        <item h="1" x="288"/>
        <item h="1" x="206"/>
        <item h="1" x="183"/>
        <item h="1" x="253"/>
        <item h="1" x="96"/>
        <item h="1" x="298"/>
        <item h="1" x="227"/>
        <item h="1" x="422"/>
        <item h="1" x="304"/>
        <item h="1" x="99"/>
        <item h="1" x="366"/>
        <item h="1" x="217"/>
        <item h="1" x="128"/>
        <item h="1" x="264"/>
        <item h="1" x="412"/>
        <item h="1" x="282"/>
        <item h="1" x="364"/>
        <item h="1" x="301"/>
        <item h="1" x="395"/>
        <item h="1" x="294"/>
        <item h="1" x="437"/>
        <item h="1" x="125"/>
        <item h="1" x="246"/>
        <item h="1" x="269"/>
        <item h="1" x="335"/>
        <item h="1" x="223"/>
        <item h="1" x="114"/>
        <item h="1" x="245"/>
        <item h="1" x="255"/>
        <item h="1" x="119"/>
        <item h="1" x="140"/>
        <item h="1" x="274"/>
        <item h="1" x="346"/>
        <item h="1" x="192"/>
        <item h="1" x="377"/>
        <item h="1" x="283"/>
        <item h="1" x="150"/>
        <item h="1" x="383"/>
        <item h="1" x="442"/>
        <item h="1" x="239"/>
        <item h="1" x="332"/>
        <item h="1" x="277"/>
        <item h="1" x="348"/>
        <item h="1" x="149"/>
        <item h="1" x="214"/>
        <item h="1" x="341"/>
        <item h="1" x="360"/>
        <item h="1" x="72"/>
        <item h="1" x="331"/>
        <item h="1" x="216"/>
        <item h="1" x="52"/>
        <item t="default"/>
      </items>
    </pivotField>
    <pivotField showAll="0"/>
    <pivotField axis="axisPage" multipleItemSelectionAllowed="1" showAll="0">
      <items count="419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L5" sqref="L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875" customWidth="1"/>
    <col min="7" max="7" width="15.625" customWidth="1"/>
    <col min="8" max="8" width="20.625" customWidth="1"/>
    <col min="9" max="9" width="17.75" customWidth="1"/>
    <col min="10" max="10" width="12.875" customWidth="1"/>
    <col min="11" max="11" width="13" customWidth="1"/>
    <col min="12" max="12" width="17.25" customWidth="1"/>
    <col min="13" max="13" width="13.125" customWidth="1"/>
    <col min="14" max="14" width="26.625" customWidth="1"/>
    <col min="15" max="15" width="26.375" customWidth="1"/>
    <col min="16" max="16" width="13.625" customWidth="1"/>
    <col min="17" max="17" width="12.25" customWidth="1"/>
    <col min="18" max="18" width="28" bestFit="1" customWidth="1"/>
    <col min="19" max="19" width="19.625" customWidth="1"/>
    <col min="20" max="20" width="17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2034</v>
      </c>
      <c r="O1" s="1" t="s">
        <v>2035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 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(((L2/60/60)/24)+DATE(1970,1,1))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 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(((L3/60/60)/24)+DATE(1970,1,1))</f>
        <v>41870.208333333336</v>
      </c>
      <c r="O3" s="4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ref="O4:O67" si="5">(((M4/60)/60)/24)+DATE(1970,1,1)</f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5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5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5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5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5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5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5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5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5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5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5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5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5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5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 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(((L67/60/60)/24)+DATE(1970,1,1))</f>
        <v>40570.25</v>
      </c>
      <c r="O67" s="4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ref="O68:O131" si="11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11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11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11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11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11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11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11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 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(((L131/60/60)/24)+DATE(1970,1,1))</f>
        <v>42038.25</v>
      </c>
      <c r="O131" s="4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ref="O132:O195" si="17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 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(((L195/60/60)/24)+DATE(1970,1,1))</f>
        <v>43198.208333333328</v>
      </c>
      <c r="O195" s="4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ref="O196:O259" si="23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 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(((L259/60/60)/24)+DATE(1970,1,1))</f>
        <v>41338.25</v>
      </c>
      <c r="O259" s="4">
        <f t="shared" si="23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ref="O260:O323" si="29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 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(((L323/60/60)/24)+DATE(1970,1,1))</f>
        <v>40634.208333333336</v>
      </c>
      <c r="O323" s="4">
        <f t="shared" si="29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ref="O324:O387" si="35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5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 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(((L387/60/60)/24)+DATE(1970,1,1))</f>
        <v>43553.208333333328</v>
      </c>
      <c r="O387" s="4">
        <f t="shared" si="35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ref="O388:O451" si="41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 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(((L451/60/60)/24)+DATE(1970,1,1))</f>
        <v>43530.25</v>
      </c>
      <c r="O451" s="4">
        <f t="shared" si="41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ref="O452:O515" si="47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 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(((L515/60/60)/24)+DATE(1970,1,1))</f>
        <v>40430.208333333336</v>
      </c>
      <c r="O515" s="4">
        <f t="shared" si="47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ref="O516:O579" si="53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 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(((L579/60/60)/24)+DATE(1970,1,1))</f>
        <v>40613.25</v>
      </c>
      <c r="O579" s="4">
        <f t="shared" si="53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ref="O580:O643" si="59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 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(((L643/60/60)/24)+DATE(1970,1,1))</f>
        <v>42786.25</v>
      </c>
      <c r="O643" s="4">
        <f t="shared" si="59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ref="O644:O707" si="65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 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(((L707/60/60)/24)+DATE(1970,1,1))</f>
        <v>41619.25</v>
      </c>
      <c r="O707" s="4">
        <f t="shared" si="65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ref="O708:O771" si="71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 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(((L771/60/60)/24)+DATE(1970,1,1))</f>
        <v>41501.208333333336</v>
      </c>
      <c r="O771" s="4">
        <f t="shared" si="71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ref="O772:O835" si="77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 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(((L835/60/60)/24)+DATE(1970,1,1))</f>
        <v>40588.25</v>
      </c>
      <c r="O835" s="4">
        <f t="shared" si="77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ref="O836:O899" si="83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 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(((L899/60/60)/24)+DATE(1970,1,1))</f>
        <v>43583.208333333328</v>
      </c>
      <c r="O899" s="4">
        <f t="shared" si="83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ref="O900:O963" si="89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 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(((L963/60/60)/24)+DATE(1970,1,1))</f>
        <v>40591.25</v>
      </c>
      <c r="O963" s="4">
        <f t="shared" si="89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ref="O964:O1001" si="95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100"/>
        <cfvo type="num" val="100"/>
        <cfvo type="num" val="200"/>
        <color rgb="FFC00000"/>
        <color rgb="FF00B050"/>
        <color theme="8"/>
      </colorScale>
    </cfRule>
  </conditionalFormatting>
  <conditionalFormatting sqref="G1:G1048576">
    <cfRule type="cellIs" dxfId="19" priority="1" operator="equal">
      <formula>"canceled"</formula>
    </cfRule>
    <cfRule type="cellIs" dxfId="18" priority="2" operator="equal">
      <formula>"live"</formula>
    </cfRule>
    <cfRule type="cellIs" dxfId="17" priority="3" operator="equal">
      <formula>"successful"</formula>
    </cfRule>
    <cfRule type="cellIs" dxfId="16" priority="4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7BE7-0A70-4A1B-9B72-A246A4F1CC72}">
  <dimension ref="A1:F14"/>
  <sheetViews>
    <sheetView zoomScaleNormal="10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2036</v>
      </c>
    </row>
    <row r="3" spans="1:6" x14ac:dyDescent="0.25">
      <c r="A3" s="5" t="s">
        <v>2048</v>
      </c>
      <c r="B3" s="5" t="s">
        <v>2049</v>
      </c>
    </row>
    <row r="4" spans="1:6" x14ac:dyDescent="0.2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2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2041</v>
      </c>
      <c r="E8">
        <v>4</v>
      </c>
      <c r="F8">
        <v>4</v>
      </c>
    </row>
    <row r="9" spans="1:6" x14ac:dyDescent="0.25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96C-DD11-4E16-AD6C-79B8B39E7B59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>
        <v>2036</v>
      </c>
    </row>
    <row r="2" spans="1:6" x14ac:dyDescent="0.25">
      <c r="A2" s="5" t="s">
        <v>6</v>
      </c>
      <c r="B2" t="s">
        <v>2036</v>
      </c>
    </row>
    <row r="4" spans="1:6" x14ac:dyDescent="0.25">
      <c r="A4" s="5" t="s">
        <v>2048</v>
      </c>
      <c r="B4" s="5" t="s">
        <v>2049</v>
      </c>
    </row>
    <row r="5" spans="1:6" x14ac:dyDescent="0.25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25">
      <c r="A6" s="6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2051</v>
      </c>
      <c r="E7">
        <v>4</v>
      </c>
      <c r="F7">
        <v>4</v>
      </c>
    </row>
    <row r="8" spans="1:6" x14ac:dyDescent="0.25">
      <c r="A8" s="6" t="s">
        <v>2052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2054</v>
      </c>
      <c r="C10">
        <v>8</v>
      </c>
      <c r="E10">
        <v>10</v>
      </c>
      <c r="F10">
        <v>18</v>
      </c>
    </row>
    <row r="11" spans="1:6" x14ac:dyDescent="0.25">
      <c r="A11" s="6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2059</v>
      </c>
      <c r="C15">
        <v>3</v>
      </c>
      <c r="E15">
        <v>4</v>
      </c>
      <c r="F15">
        <v>7</v>
      </c>
    </row>
    <row r="16" spans="1:6" x14ac:dyDescent="0.2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2061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2064</v>
      </c>
      <c r="C20">
        <v>4</v>
      </c>
      <c r="E20">
        <v>4</v>
      </c>
      <c r="F20">
        <v>8</v>
      </c>
    </row>
    <row r="21" spans="1:6" x14ac:dyDescent="0.25">
      <c r="A21" s="6" t="s">
        <v>2065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2066</v>
      </c>
      <c r="C22">
        <v>9</v>
      </c>
      <c r="E22">
        <v>5</v>
      </c>
      <c r="F22">
        <v>14</v>
      </c>
    </row>
    <row r="23" spans="1:6" x14ac:dyDescent="0.25">
      <c r="A23" s="6" t="s">
        <v>2067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2069</v>
      </c>
      <c r="C25">
        <v>7</v>
      </c>
      <c r="E25">
        <v>14</v>
      </c>
      <c r="F25">
        <v>21</v>
      </c>
    </row>
    <row r="26" spans="1:6" x14ac:dyDescent="0.25">
      <c r="A26" s="6" t="s">
        <v>2070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2071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2073</v>
      </c>
      <c r="E29">
        <v>3</v>
      </c>
      <c r="F29">
        <v>3</v>
      </c>
    </row>
    <row r="30" spans="1:6" x14ac:dyDescent="0.25">
      <c r="A30" s="6" t="s">
        <v>2047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51C6-F8EF-4710-B59E-D2987ACA1036}">
  <dimension ref="A1:F17"/>
  <sheetViews>
    <sheetView workbookViewId="0">
      <selection activeCell="H34" sqref="H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2086</v>
      </c>
      <c r="B1" t="s">
        <v>2036</v>
      </c>
    </row>
    <row r="3" spans="1:6" x14ac:dyDescent="0.25">
      <c r="A3" s="5" t="s">
        <v>2048</v>
      </c>
      <c r="B3" s="5" t="s">
        <v>2049</v>
      </c>
    </row>
    <row r="4" spans="1:6" x14ac:dyDescent="0.2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25">
      <c r="A5" s="7" t="s">
        <v>2074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5">
      <c r="A6" s="7" t="s">
        <v>2075</v>
      </c>
      <c r="B6">
        <v>7</v>
      </c>
      <c r="C6">
        <v>28</v>
      </c>
      <c r="E6">
        <v>44</v>
      </c>
      <c r="F6">
        <v>79</v>
      </c>
    </row>
    <row r="7" spans="1:6" x14ac:dyDescent="0.25">
      <c r="A7" s="7" t="s">
        <v>2076</v>
      </c>
      <c r="B7">
        <v>4</v>
      </c>
      <c r="C7">
        <v>33</v>
      </c>
      <c r="E7">
        <v>49</v>
      </c>
      <c r="F7">
        <v>86</v>
      </c>
    </row>
    <row r="8" spans="1:6" x14ac:dyDescent="0.25">
      <c r="A8" s="7" t="s">
        <v>2077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5">
      <c r="A9" s="7" t="s">
        <v>2078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5">
      <c r="A10" s="7" t="s">
        <v>2079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5">
      <c r="A11" s="7" t="s">
        <v>2080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5">
      <c r="A12" s="7" t="s">
        <v>2081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5">
      <c r="A13" s="7" t="s">
        <v>2082</v>
      </c>
      <c r="B13">
        <v>5</v>
      </c>
      <c r="C13">
        <v>23</v>
      </c>
      <c r="E13">
        <v>45</v>
      </c>
      <c r="F13">
        <v>73</v>
      </c>
    </row>
    <row r="14" spans="1:6" x14ac:dyDescent="0.25">
      <c r="A14" s="7" t="s">
        <v>2083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5">
      <c r="A15" s="7" t="s">
        <v>2084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5">
      <c r="A16" s="7" t="s">
        <v>2085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5">
      <c r="A17" s="7" t="s">
        <v>2047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7328-09AC-4915-A6E4-C8467EC6AA26}">
  <dimension ref="A1:G13"/>
  <sheetViews>
    <sheetView workbookViewId="0">
      <selection activeCell="G18" sqref="G18"/>
    </sheetView>
  </sheetViews>
  <sheetFormatPr defaultRowHeight="15.75" x14ac:dyDescent="0.25"/>
  <cols>
    <col min="1" max="1" width="26.25" customWidth="1"/>
    <col min="2" max="2" width="18.625" customWidth="1"/>
    <col min="3" max="3" width="14.875" customWidth="1"/>
    <col min="4" max="4" width="18.625" customWidth="1"/>
    <col min="5" max="5" width="19.625" customWidth="1"/>
    <col min="6" max="6" width="15.5" customWidth="1"/>
    <col min="7" max="7" width="17.75" customWidth="1"/>
  </cols>
  <sheetData>
    <row r="1" spans="1:7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</row>
    <row r="2" spans="1:7" x14ac:dyDescent="0.25">
      <c r="A2" t="s">
        <v>2094</v>
      </c>
      <c r="B2">
        <f>COUNTIFS(Crowdfunding!$G:$G,"successful", Crowdfunding!$D:$D, "&lt;1000")</f>
        <v>30</v>
      </c>
      <c r="C2">
        <f>COUNTIFS(Crowdfunding!$G:$G,"failed", Crowdfunding!$D:$D, "&lt;1000")</f>
        <v>20</v>
      </c>
      <c r="D2">
        <f>COUNTIFS(Crowdfunding!$G:$G,"canceled", Crowdfunding!$D:$D, "&lt;1000")</f>
        <v>1</v>
      </c>
      <c r="E2">
        <f>COUNTIFS(Crowdfunding!$G:$G,"successful", Crowdfunding!$F:$F,"&lt;1000")</f>
        <v>541</v>
      </c>
      <c r="F2">
        <f>COUNTIFS(Crowdfunding!$G:$G,"failed", Crowdfunding!$F:$F,"&lt;1000")</f>
        <v>364</v>
      </c>
      <c r="G2">
        <f>COUNTIFS(Crowdfunding!$G:$G,"canceled", Crowdfunding!$F:$F,"&lt;1000")</f>
        <v>57</v>
      </c>
    </row>
    <row r="3" spans="1:7" x14ac:dyDescent="0.25">
      <c r="A3" t="s">
        <v>2095</v>
      </c>
      <c r="B3">
        <f>COUNTIFS(Crowdfunding!$G:$G,"successful", Crowdfunding!$D:$D, "&gt;1000", Crowdfunding!$G:$G,"successful", Crowdfunding!$D:$D, "&lt;=4999")</f>
        <v>185</v>
      </c>
      <c r="C3">
        <f>COUNTIFS(Crowdfunding!$G:$G,"failed", Crowdfunding!$D:$D, "&gt;1000", Crowdfunding!$G:$G,"failed", Crowdfunding!$D:$D, "&lt;=4999")</f>
        <v>37</v>
      </c>
      <c r="D3">
        <f>COUNTIFS(Crowdfunding!$G:$G,"canceled", Crowdfunding!$D:$D, "&gt;1000", Crowdfunding!$G:$G,"canceled", Crowdfunding!$D:$D, "&lt;=4999")</f>
        <v>2</v>
      </c>
      <c r="E3">
        <f>COUNTIFS(Crowdfunding!$G:$G,"successful", Crowdfunding!$F:$F,"&gt;1000", Crowdfunding!$G:$G,"successful", Crowdfunding!$F:$F,"&lt;=4999")</f>
        <v>24</v>
      </c>
      <c r="F3">
        <f>COUNTIFS(Crowdfunding!$G:$G,"failed", Crowdfunding!$F:$F,"&gt;1000", Crowdfunding!$G:$G,"failed", Crowdfunding!$F:$F,"&lt;=4999")</f>
        <v>0</v>
      </c>
      <c r="G3">
        <f>COUNTIFS(Crowdfunding!$G:$G,"canceled", Crowdfunding!$F:$F,"&gt;1000", Crowdfunding!$G:$G,"canceled", Crowdfunding!$F:$F,"&lt;=4999")</f>
        <v>0</v>
      </c>
    </row>
    <row r="4" spans="1:7" x14ac:dyDescent="0.25">
      <c r="A4" t="s">
        <v>2096</v>
      </c>
      <c r="B4">
        <f>COUNTIFS(Crowdfunding!$G:$G,"successful", Crowdfunding!$D:$D, "&gt;5000", Crowdfunding!$G:$G,"successful", Crowdfunding!$D:$D, "&lt;=9999")</f>
        <v>157</v>
      </c>
      <c r="C4">
        <f>COUNTIFS(Crowdfunding!$G:$G,"failed", Crowdfunding!$D:$D, "&gt;5000", Crowdfunding!$G:$G,"failed", Crowdfunding!$D:$D, "&lt;=9999")</f>
        <v>125</v>
      </c>
      <c r="D4">
        <f>COUNTIFS(Crowdfunding!$G:$G,"canceled", Crowdfunding!$D:$D, "&gt;5000", Crowdfunding!$G:$G,"canceled", Crowdfunding!$D:$D, "&lt;=9999")</f>
        <v>25</v>
      </c>
      <c r="E4">
        <f>COUNTIFS(Crowdfunding!$G:$G,"successful", Crowdfunding!$F:$F, "&gt;5000", Crowdfunding!$G:$G,"successful", Crowdfunding!$F:$F, "&lt;=9999")</f>
        <v>0</v>
      </c>
      <c r="F4">
        <f>COUNTIFS(Crowdfunding!$G:$G,"failed", Crowdfunding!$F:$F,"&gt;5000", Crowdfunding!$G:$G,"failed", Crowdfunding!$F:$F, "&lt;=9999")</f>
        <v>0</v>
      </c>
      <c r="G4">
        <f>COUNTIFS(Crowdfunding!$G:$G,"canceled", Crowdfunding!$F:$F,"&gt;5000", Crowdfunding!$G:$G,"canceled", Crowdfunding!$F:$F, "&lt;=9999")</f>
        <v>0</v>
      </c>
    </row>
    <row r="5" spans="1:7" x14ac:dyDescent="0.25">
      <c r="A5" t="s">
        <v>2097</v>
      </c>
      <c r="B5">
        <f>COUNTIFS(Crowdfunding!$G:$G,"successful", Crowdfunding!$D:$D, "&gt;10000", Crowdfunding!$G:$G,"successful", Crowdfunding!$D:$D, "&lt;=14999")</f>
        <v>2</v>
      </c>
      <c r="C5">
        <f>COUNTIFS(Crowdfunding!$G:$G,"failed", Crowdfunding!$D:$D, "&gt;10000", Crowdfunding!$G:$G,"failed", Crowdfunding!$D:$D, "&lt;=14999")</f>
        <v>0</v>
      </c>
      <c r="D5">
        <f>COUNTIFS(Crowdfunding!$G:$G,"canceled", Crowdfunding!$D:$D, "&gt;10000", Crowdfunding!$G:$G,"canceled", Crowdfunding!$D:$D, "&lt;=14999")</f>
        <v>0</v>
      </c>
      <c r="E5">
        <f>COUNTIFS(Crowdfunding!$G:$G,"successful", Crowdfunding!$F:$F, "&gt;10000", Crowdfunding!$G:$G,"successful", Crowdfunding!$F:$F, "&lt;=14999")</f>
        <v>0</v>
      </c>
      <c r="F5">
        <f>COUNTIFS(Crowdfunding!$G:$G,"failed", Crowdfunding!$F:$F, "&gt;10000", Crowdfunding!$G:$G,"failed", Crowdfunding!$F:$F, "&lt;=14999")</f>
        <v>0</v>
      </c>
      <c r="G5">
        <f>COUNTIFS(Crowdfunding!$G:$G,"canceled", Crowdfunding!$F:$F, "&gt;10000", Crowdfunding!$G:$G,"canceled", Crowdfunding!$F:$F, "&lt;=14999")</f>
        <v>0</v>
      </c>
    </row>
    <row r="6" spans="1:7" x14ac:dyDescent="0.25">
      <c r="A6" t="s">
        <v>2098</v>
      </c>
      <c r="B6">
        <f>COUNTIFS(Crowdfunding!$G:$G,"successful", Crowdfunding!$D:$D, "&gt;15000", Crowdfunding!$G:$G,"successful", Crowdfunding!$D:$D, "&lt;=19999")</f>
        <v>10</v>
      </c>
      <c r="C6">
        <f>COUNTIFS(Crowdfunding!$G:$G,"failed", Crowdfunding!$D:$D, "&gt;15000", Crowdfunding!$G:$G,"failed", Crowdfunding!$D:$D, "&lt;=19999")</f>
        <v>0</v>
      </c>
      <c r="D6">
        <f>COUNTIFS(Crowdfunding!$G:$G,"canceled", Crowdfunding!$D:$D, "&gt;15000", Crowdfunding!$G:$G,"canceled", Crowdfunding!$D:$D, "&lt;=19999")</f>
        <v>0</v>
      </c>
      <c r="E6">
        <f>COUNTIFS(Crowdfunding!$G:$G,"successful", Crowdfunding!$F:$F, "&gt;15000", Crowdfunding!$G:$G,"successful", Crowdfunding!$F:$F, "&lt;=19999")</f>
        <v>0</v>
      </c>
      <c r="F6">
        <f>COUNTIFS(Crowdfunding!$G:$G,"failed", Crowdfunding!$F:$F, "&gt;15000", Crowdfunding!$G:$G,"failed", Crowdfunding!$F:$F, "&lt;=19999")</f>
        <v>0</v>
      </c>
      <c r="G6">
        <f>COUNTIFS(Crowdfunding!$G:$G,"canceled", Crowdfunding!$F:$F, "&gt;15000", Crowdfunding!$G:$G,"canceled", Crowdfunding!$F:$F, "&lt;=19999")</f>
        <v>0</v>
      </c>
    </row>
    <row r="7" spans="1:7" x14ac:dyDescent="0.25">
      <c r="A7" t="s">
        <v>2099</v>
      </c>
      <c r="B7">
        <f>COUNTIFS(Crowdfunding!$G:$G,"successful", Crowdfunding!$D:$D, "&gt;20000", Crowdfunding!$G:$G,"successful", Crowdfunding!$D:$D, "&lt;=24999")</f>
        <v>5</v>
      </c>
      <c r="C7">
        <f>COUNTIFS(Crowdfunding!$G:$G,"failed", Crowdfunding!$D:$D, "&gt;20000", Crowdfunding!$G:$G,"failed", Crowdfunding!$D:$D, "&lt;=24999")</f>
        <v>0</v>
      </c>
      <c r="D7">
        <f>COUNTIFS(Crowdfunding!$G:$G,"canceled", Crowdfunding!$D:$D, "&gt;20000", Crowdfunding!$G:$G,"canceled", Crowdfunding!$D:$D, "&lt;=24999")</f>
        <v>0</v>
      </c>
      <c r="E7">
        <f>COUNTIFS(Crowdfunding!$G:$G,"successful", Crowdfunding!$F:$F, "&gt;20000", Crowdfunding!$G:$G,"successful", Crowdfunding!$F:$F, "&lt;=24999")</f>
        <v>0</v>
      </c>
      <c r="F7">
        <f>COUNTIFS(Crowdfunding!$G:$G,"failed", Crowdfunding!$F:$F, "&gt;20000", Crowdfunding!$G:$G,"failed", Crowdfunding!$F:$F, "&lt;=24999")</f>
        <v>0</v>
      </c>
      <c r="G7">
        <f>COUNTIFS(Crowdfunding!$G:$G,"canceled", Crowdfunding!$F:$F, "&gt;20000", Crowdfunding!$G:$G,"canceled", Crowdfunding!$F:$F, "&lt;=24999")</f>
        <v>0</v>
      </c>
    </row>
    <row r="8" spans="1:7" x14ac:dyDescent="0.25">
      <c r="A8" t="s">
        <v>2100</v>
      </c>
      <c r="B8">
        <f>COUNTIFS(Crowdfunding!$G:$G,"successful", Crowdfunding!$D:$D, "&gt;25000", Crowdfunding!$G:$G,"successful", Crowdfunding!$D:$D, "&lt;=29999")</f>
        <v>10</v>
      </c>
      <c r="C8">
        <f>COUNTIFS(Crowdfunding!$G:$G,"failed", Crowdfunding!$D:$D, "&gt;25000", Crowdfunding!$G:$G,"failed", Crowdfunding!$D:$D, "&lt;=29999")</f>
        <v>3</v>
      </c>
      <c r="D8">
        <f>COUNTIFS(Crowdfunding!$G:$G,"canceled", Crowdfunding!$D:$D, "&gt;25000", Crowdfunding!$G:$G,"canceled", Crowdfunding!$D:$D, "&lt;=29999")</f>
        <v>0</v>
      </c>
      <c r="E8">
        <f>COUNTIFS(Crowdfunding!$G:$G,"successful", Crowdfunding!$F:$F, "&gt;25000", Crowdfunding!$G:$G,"successful", Crowdfunding!$F:$F, "&lt;=29999")</f>
        <v>0</v>
      </c>
      <c r="F8">
        <f>COUNTIFS(Crowdfunding!$G:$G,"failed", Crowdfunding!$F:$F, "&gt;25000", Crowdfunding!$G:$G,"failed", Crowdfunding!$F:$F, "&lt;=29999")</f>
        <v>0</v>
      </c>
      <c r="G8">
        <f>COUNTIFS(Crowdfunding!$G:$G,"canceled", Crowdfunding!$F:$F, "&gt;25000", Crowdfunding!$G:$G,"canceled", Crowdfunding!$F:$F, "&lt;=29999")</f>
        <v>0</v>
      </c>
    </row>
    <row r="9" spans="1:7" x14ac:dyDescent="0.25">
      <c r="A9" t="s">
        <v>2101</v>
      </c>
      <c r="B9">
        <f>COUNTIFS(Crowdfunding!$G:$G,"successful", Crowdfunding!$D:$D, "&gt;30000", Crowdfunding!$G:$G,"successful", Crowdfunding!$D:$D, "&lt;=34999")</f>
        <v>7</v>
      </c>
      <c r="C9">
        <f>COUNTIFS(Crowdfunding!$G:$G,"failed", Crowdfunding!$D:$D, "&gt;30000", Crowdfunding!$G:$G,"failed", Crowdfunding!$D:$D, "&lt;=34999")</f>
        <v>0</v>
      </c>
      <c r="D9">
        <f>COUNTIFS(Crowdfunding!$G:$G,"canceled", Crowdfunding!$D:$D, "&gt;30000", Crowdfunding!$G:$G,"canceled", Crowdfunding!$D:$D, "&lt;=34999")</f>
        <v>0</v>
      </c>
      <c r="E9">
        <f>COUNTIFS(Crowdfunding!$G:$G,"successful", Crowdfunding!$F:$F, "&gt;30000", Crowdfunding!$G:$G,"successful", Crowdfunding!$F:$F, "&lt;=34999")</f>
        <v>0</v>
      </c>
      <c r="F9">
        <f>COUNTIFS(Crowdfunding!$G:$G,"failed", Crowdfunding!$F:$F, "&gt;30000", Crowdfunding!$G:$G,"failed", Crowdfunding!$F:$F, "&lt;=34999")</f>
        <v>0</v>
      </c>
      <c r="G9">
        <f>COUNTIFS(Crowdfunding!$G:$G,"canceled", Crowdfunding!$F:$F, "&gt;30000", Crowdfunding!$G:$G,"canceled", Crowdfunding!$F:$F, "&lt;=34999")</f>
        <v>0</v>
      </c>
    </row>
    <row r="10" spans="1:7" x14ac:dyDescent="0.25">
      <c r="A10" t="s">
        <v>2102</v>
      </c>
      <c r="B10">
        <f>COUNTIFS(Crowdfunding!$G:$G,"successful", Crowdfunding!$D:$D, "&gt;35000", Crowdfunding!$G:$G,"successful", Crowdfunding!$D:$D, "&lt;=39999")</f>
        <v>7</v>
      </c>
      <c r="C10">
        <f>COUNTIFS(Crowdfunding!$G:$G,"failed", Crowdfunding!$D:$D, "&gt;35000", Crowdfunding!$G:$G,"failed", Crowdfunding!$D:$D, "&lt;=39999")</f>
        <v>3</v>
      </c>
      <c r="D10">
        <f>COUNTIFS(Crowdfunding!$G:$G,"canceled", Crowdfunding!$D:$D, "&gt;35000", Crowdfunding!$G:$G,"canceled", Crowdfunding!$D:$D, "&lt;=39999")</f>
        <v>1</v>
      </c>
      <c r="E10">
        <f>COUNTIFS(Crowdfunding!$G:$G,"successful", Crowdfunding!$F:$F, "&gt;35000", Crowdfunding!$G:$G,"successful", Crowdfunding!$F:$F, "&lt;=39999")</f>
        <v>0</v>
      </c>
      <c r="F10">
        <f>COUNTIFS(Crowdfunding!$G:$G,"failed", Crowdfunding!$F:$F, "&gt;35000", Crowdfunding!$G:$G,"failed", Crowdfunding!$F:$F, "&lt;=39999")</f>
        <v>0</v>
      </c>
      <c r="G10">
        <f>COUNTIFS(Crowdfunding!$G:$G,"canceled", Crowdfunding!$F:$F, "&gt;35000", Crowdfunding!$G:$G,"canceled", Crowdfunding!$F:$F, "&lt;=39999")</f>
        <v>0</v>
      </c>
    </row>
    <row r="11" spans="1:7" x14ac:dyDescent="0.25">
      <c r="A11" t="s">
        <v>2103</v>
      </c>
      <c r="B11">
        <f>COUNTIFS(Crowdfunding!$G:$G,"successful", Crowdfunding!$D:$D, "&gt;40000", Crowdfunding!$G:$G,"successful", Crowdfunding!$D:$D, "&lt;=44999")</f>
        <v>11</v>
      </c>
      <c r="C11">
        <f>COUNTIFS(Crowdfunding!$G:$G,"failed", Crowdfunding!$D:$D, "&gt;40000", Crowdfunding!$G:$G,"failed", Crowdfunding!$D:$D, "&lt;=44999")</f>
        <v>3</v>
      </c>
      <c r="D11">
        <f>COUNTIFS(Crowdfunding!$G:$G,"canceled", Crowdfunding!$D:$D, "&gt;40000", Crowdfunding!$G:$G,"canceled", Crowdfunding!$D:$D, "&lt;=44999")</f>
        <v>0</v>
      </c>
      <c r="E11">
        <f>COUNTIFS(Crowdfunding!$G:$G,"successful", Crowdfunding!$F:$F, "&gt;40000", Crowdfunding!$G:$G,"successful", Crowdfunding!$F:$F, "&lt;=44999")</f>
        <v>0</v>
      </c>
      <c r="F11">
        <f>COUNTIFS(Crowdfunding!$G:$G,"failed", Crowdfunding!$F:$F, "&gt;40000", Crowdfunding!$G:$G,"failed", Crowdfunding!$F:$F, "&lt;=44999")</f>
        <v>0</v>
      </c>
      <c r="G11">
        <f>COUNTIFS(Crowdfunding!$G:$G,"canceled", Crowdfunding!$F:$F, "&gt;40000", Crowdfunding!$G:$G,"canceled", Crowdfunding!$F:$F, "&lt;=44999")</f>
        <v>0</v>
      </c>
    </row>
    <row r="12" spans="1:7" x14ac:dyDescent="0.25">
      <c r="A12" t="s">
        <v>2104</v>
      </c>
      <c r="B12">
        <f>COUNTIFS(Crowdfunding!$G:$G,"successful", Crowdfunding!$D:$D, "&gt;45000", Crowdfunding!$G:$G,"successful", Crowdfunding!$D:$D, "&lt;=49999")</f>
        <v>8</v>
      </c>
      <c r="C12">
        <f>COUNTIFS(Crowdfunding!$G:$G,"failed", Crowdfunding!$D:$D, "&gt;45000", Crowdfunding!$G:$G,"failed", Crowdfunding!$D:$D, "&lt;=49999")</f>
        <v>3</v>
      </c>
      <c r="D12">
        <f>COUNTIFS(Crowdfunding!$G:$G,"canceled", Crowdfunding!$D:$D, "&gt;45000", Crowdfunding!$G:$G,"canceled", Crowdfunding!$D:$D, "&lt;=49999")</f>
        <v>0</v>
      </c>
      <c r="E12">
        <f>COUNTIFS(Crowdfunding!$G:$G,"successful", Crowdfunding!$F:$F, "&gt;45000", Crowdfunding!$G:$G,"successful", Crowdfunding!$F:$F, "&lt;=49999")</f>
        <v>0</v>
      </c>
      <c r="F12">
        <f>COUNTIFS(Crowdfunding!$G:$G,"failed", Crowdfunding!$F:$F, "&gt;45000", Crowdfunding!$G:$G,"failed", Crowdfunding!$F:$F, "&lt;=49999")</f>
        <v>0</v>
      </c>
      <c r="G12">
        <f>COUNTIFS(Crowdfunding!$G:$G,"canceled", Crowdfunding!$F:$F, "&gt;45000", Crowdfunding!$G:$G,"canceled", Crowdfunding!$F:$F, "&lt;=49999")</f>
        <v>0</v>
      </c>
    </row>
    <row r="13" spans="1:7" x14ac:dyDescent="0.25">
      <c r="A13" t="s">
        <v>2111</v>
      </c>
      <c r="B13">
        <f>COUNTIFS(Crowdfunding!$G:$G,"successful", Crowdfunding!$D:$D, "&gt;=50000")</f>
        <v>114</v>
      </c>
      <c r="C13">
        <f>COUNTIFS(Crowdfunding!$G:$G,"failed", Crowdfunding!$D:$D, "&gt;=50000")</f>
        <v>163</v>
      </c>
      <c r="D13">
        <f>COUNTIFS(Crowdfunding!$G:$G,"canceled", Crowdfunding!$D:$D, "&gt;=50000")</f>
        <v>28</v>
      </c>
      <c r="E13">
        <f>COUNTIFS(Crowdfunding!$G:$G,"successful", Crowdfunding!$F:$F,"&gt;=50000")</f>
        <v>0</v>
      </c>
      <c r="F13">
        <f>COUNTIFS(Crowdfunding!$G:$G,"failed", Crowdfunding!$F:$F,"&gt;=50000")</f>
        <v>0</v>
      </c>
      <c r="G13">
        <f>COUNTIFS(Crowdfunding!$G:$G,"canceled", Crowdfunding!$F:$F,"&gt;=50000")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0B42-88CA-46B7-BAA7-7DB9947BADC4}">
  <dimension ref="A1:L566"/>
  <sheetViews>
    <sheetView tabSelected="1" workbookViewId="0">
      <selection activeCell="I35" sqref="I35"/>
    </sheetView>
  </sheetViews>
  <sheetFormatPr defaultRowHeight="15.75" x14ac:dyDescent="0.25"/>
  <cols>
    <col min="2" max="2" width="16.75" customWidth="1"/>
    <col min="5" max="5" width="15.875" customWidth="1"/>
    <col min="11" max="11" width="13.5" customWidth="1"/>
    <col min="12" max="12" width="18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2030</v>
      </c>
      <c r="H1" t="s">
        <v>2106</v>
      </c>
      <c r="I1" t="s">
        <v>2107</v>
      </c>
      <c r="J1" t="s">
        <v>2108</v>
      </c>
      <c r="K1" t="s">
        <v>2110</v>
      </c>
      <c r="L1" t="s">
        <v>2109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_xlfn.MODE.SNGL(B:B)</f>
        <v>85</v>
      </c>
      <c r="K2">
        <f>_xlfn.VAR.P(B:B)</f>
        <v>1603373.7324019109</v>
      </c>
      <c r="L2">
        <f>_xlfn.STDEV.P(B:B)</f>
        <v>1266.2439466397898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_xlfn.MODE.SNGL(E:E)</f>
        <v>1</v>
      </c>
      <c r="K3">
        <f>_xlfn.VAR.P(E:E)</f>
        <v>921574.68174133555</v>
      </c>
      <c r="L3">
        <f>_xlfn.STDEV.P(E:E)</f>
        <v>959.98681331637863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D1:D1047940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B413-B789-4ADD-8071-9B98C2200242}">
  <dimension ref="A1:F9"/>
  <sheetViews>
    <sheetView workbookViewId="0">
      <selection activeCell="C20" sqref="C20"/>
    </sheetView>
  </sheetViews>
  <sheetFormatPr defaultRowHeight="15.75" x14ac:dyDescent="0.25"/>
  <cols>
    <col min="1" max="1" width="12.375" bestFit="1" customWidth="1"/>
    <col min="2" max="2" width="16.25" customWidth="1"/>
    <col min="3" max="3" width="3.875" bestFit="1" customWidth="1"/>
    <col min="4" max="4" width="13.5" bestFit="1" customWidth="1"/>
    <col min="5" max="5" width="16.5" bestFit="1" customWidth="1"/>
    <col min="6" max="6" width="67.5" customWidth="1"/>
    <col min="7" max="12" width="1.875" bestFit="1" customWidth="1"/>
    <col min="13" max="102" width="2.875" bestFit="1" customWidth="1"/>
    <col min="103" max="398" width="3.875" bestFit="1" customWidth="1"/>
    <col min="399" max="422" width="4.875" bestFit="1" customWidth="1"/>
    <col min="423" max="423" width="11" bestFit="1" customWidth="1"/>
    <col min="424" max="448" width="6.875" bestFit="1" customWidth="1"/>
    <col min="449" max="449" width="11" bestFit="1" customWidth="1"/>
  </cols>
  <sheetData>
    <row r="1" spans="1:6" x14ac:dyDescent="0.25">
      <c r="A1" s="5" t="s">
        <v>2</v>
      </c>
      <c r="B1" t="s">
        <v>2105</v>
      </c>
      <c r="F1" s="8"/>
    </row>
    <row r="2" spans="1:6" x14ac:dyDescent="0.25">
      <c r="D2" s="5" t="s">
        <v>2029</v>
      </c>
      <c r="E2" t="s">
        <v>2036</v>
      </c>
      <c r="F2" s="8"/>
    </row>
    <row r="3" spans="1:6" x14ac:dyDescent="0.25">
      <c r="A3" s="5" t="s">
        <v>2037</v>
      </c>
      <c r="B3" t="s">
        <v>2048</v>
      </c>
      <c r="F3" s="8"/>
    </row>
    <row r="4" spans="1:6" x14ac:dyDescent="0.25">
      <c r="A4" s="6" t="s">
        <v>74</v>
      </c>
      <c r="B4">
        <v>1</v>
      </c>
      <c r="D4" s="5" t="s">
        <v>2037</v>
      </c>
      <c r="E4" t="s">
        <v>2048</v>
      </c>
      <c r="F4" s="8"/>
    </row>
    <row r="5" spans="1:6" x14ac:dyDescent="0.25">
      <c r="A5" s="6" t="s">
        <v>14</v>
      </c>
      <c r="B5">
        <v>20</v>
      </c>
      <c r="D5" s="6" t="s">
        <v>74</v>
      </c>
      <c r="E5">
        <v>57</v>
      </c>
    </row>
    <row r="6" spans="1:6" x14ac:dyDescent="0.25">
      <c r="A6" s="6" t="s">
        <v>20</v>
      </c>
      <c r="B6">
        <v>30</v>
      </c>
      <c r="D6" s="6" t="s">
        <v>14</v>
      </c>
      <c r="E6">
        <v>364</v>
      </c>
    </row>
    <row r="7" spans="1:6" x14ac:dyDescent="0.25">
      <c r="A7" s="6" t="s">
        <v>2047</v>
      </c>
      <c r="B7">
        <v>51</v>
      </c>
      <c r="D7" s="6" t="s">
        <v>47</v>
      </c>
      <c r="E7">
        <v>14</v>
      </c>
    </row>
    <row r="8" spans="1:6" x14ac:dyDescent="0.25">
      <c r="D8" s="6" t="s">
        <v>20</v>
      </c>
      <c r="E8">
        <v>565</v>
      </c>
    </row>
    <row r="9" spans="1:6" x14ac:dyDescent="0.25">
      <c r="D9" s="6" t="s">
        <v>2047</v>
      </c>
      <c r="E9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statistics</vt:lpstr>
      <vt:lpstr>sub category statistics</vt:lpstr>
      <vt:lpstr>outcomes from launch dates</vt:lpstr>
      <vt:lpstr>Success,fail.canceled metrics</vt:lpstr>
      <vt:lpstr>Mean, Median, Mode</vt:lpstr>
      <vt:lpstr>Pivot chart experiment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ThinkPad</cp:lastModifiedBy>
  <dcterms:created xsi:type="dcterms:W3CDTF">2021-09-29T18:52:28Z</dcterms:created>
  <dcterms:modified xsi:type="dcterms:W3CDTF">2022-12-22T06:13:45Z</dcterms:modified>
</cp:coreProperties>
</file>